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d.docs.live.net/6760181ceebf17e7/Documents/Data Projects/Rent-vs-Buy/"/>
    </mc:Choice>
  </mc:AlternateContent>
  <xr:revisionPtr revIDLastSave="275" documentId="8_{B1F3125F-1D35-46AD-92A3-5068B933CBDA}" xr6:coauthVersionLast="47" xr6:coauthVersionMax="47" xr10:uidLastSave="{C5D453BB-D4E1-42CC-8F37-D3115B01DA92}"/>
  <workbookProtection workbookAlgorithmName="SHA-512" workbookHashValue="fmKv3Z0aiZKDbqxV1P8vD8H9UKq8Ysjz4MaeJ3lCfd48Kre/wxPDfQcOIn4aQQ2Y+aleYXX3NyC7v6lMeJaS0g==" workbookSaltValue="MDnOMqEb5PXK+kT1H+XyFg==" workbookSpinCount="100000" lockStructure="1"/>
  <bookViews>
    <workbookView xWindow="-120" yWindow="-120" windowWidth="29040" windowHeight="15720" xr2:uid="{DC8028E0-F1E7-4B30-B3E3-B87AFB75EF2A}"/>
  </bookViews>
  <sheets>
    <sheet name="Cover" sheetId="1" r:id="rId1"/>
    <sheet name="Overview" sheetId="13" r:id="rId2"/>
    <sheet name="Assumptions" sheetId="2" r:id="rId3"/>
    <sheet name="Results" sheetId="5" r:id="rId4"/>
    <sheet name="Model_30y" sheetId="3" r:id="rId5"/>
    <sheet name="Model_15y" sheetId="6" r:id="rId6"/>
    <sheet name="Model_Renter" sheetId="4" r:id="rId7"/>
    <sheet name="Images" sheetId="14" state="hidden" r:id="rId8"/>
    <sheet name="Monthly_Investment_Check" sheetId="11" state="hidden" r:id="rId9"/>
    <sheet name="Net_Worth_Calculations" sheetId="9" state="hidden" r:id="rId10"/>
    <sheet name="IRR_Calculations" sheetId="10" state="hidden" r:id="rId11"/>
    <sheet name="Lists" sheetId="12" state="hidden" r:id="rId1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1" i="5" l="1"/>
  <c r="E87" i="5"/>
  <c r="D87" i="5"/>
  <c r="B2" i="1"/>
  <c r="K7" i="13"/>
  <c r="K8" i="13"/>
  <c r="G7" i="13"/>
  <c r="G8" i="13" s="1"/>
  <c r="C7" i="13"/>
  <c r="C8" i="13" s="1"/>
  <c r="K14" i="13"/>
  <c r="G14" i="13"/>
  <c r="C14" i="13"/>
  <c r="K6" i="13"/>
  <c r="D13" i="2"/>
  <c r="E13" i="2" s="1"/>
  <c r="A3" i="3"/>
  <c r="A4" i="3"/>
  <c r="A5" i="3" s="1"/>
  <c r="B76" i="5"/>
  <c r="B55" i="5"/>
  <c r="B43" i="5"/>
  <c r="B23" i="5"/>
  <c r="B4" i="5"/>
  <c r="J2" i="3"/>
  <c r="E10" i="5"/>
  <c r="C26" i="5"/>
  <c r="C58" i="5"/>
  <c r="AH2" i="6"/>
  <c r="AH2" i="3"/>
  <c r="E42" i="2"/>
  <c r="D45" i="2"/>
  <c r="E45" i="2" s="1"/>
  <c r="AB15" i="6" s="1"/>
  <c r="D8" i="2"/>
  <c r="D2" i="11"/>
  <c r="W2" i="6"/>
  <c r="W2" i="3"/>
  <c r="F98" i="5"/>
  <c r="D86" i="5"/>
  <c r="E86" i="5"/>
  <c r="E85" i="5"/>
  <c r="D85" i="5"/>
  <c r="L2" i="4"/>
  <c r="AE2" i="3"/>
  <c r="E52" i="2"/>
  <c r="E38" i="2"/>
  <c r="E35" i="2"/>
  <c r="E51" i="2"/>
  <c r="E36" i="2"/>
  <c r="E37" i="2"/>
  <c r="R3" i="3" s="1"/>
  <c r="L2" i="3"/>
  <c r="E16" i="2"/>
  <c r="C21" i="2"/>
  <c r="D24" i="2" s="1"/>
  <c r="E24" i="2" s="1"/>
  <c r="T2" i="3"/>
  <c r="E4" i="4"/>
  <c r="E16" i="4" s="1"/>
  <c r="E5" i="4"/>
  <c r="E17" i="4" s="1"/>
  <c r="E29" i="4" s="1"/>
  <c r="E41" i="4" s="1"/>
  <c r="E53" i="4" s="1"/>
  <c r="E65" i="4" s="1"/>
  <c r="E77" i="4" s="1"/>
  <c r="E89" i="4" s="1"/>
  <c r="E101" i="4" s="1"/>
  <c r="E113" i="4" s="1"/>
  <c r="E125" i="4" s="1"/>
  <c r="E137" i="4" s="1"/>
  <c r="E149" i="4" s="1"/>
  <c r="E161" i="4" s="1"/>
  <c r="E173" i="4" s="1"/>
  <c r="E185" i="4" s="1"/>
  <c r="E197" i="4" s="1"/>
  <c r="E209" i="4" s="1"/>
  <c r="E221" i="4" s="1"/>
  <c r="E233" i="4" s="1"/>
  <c r="E245" i="4" s="1"/>
  <c r="E257" i="4" s="1"/>
  <c r="E269" i="4" s="1"/>
  <c r="E281" i="4" s="1"/>
  <c r="E293" i="4" s="1"/>
  <c r="E305" i="4" s="1"/>
  <c r="E317" i="4" s="1"/>
  <c r="E329" i="4" s="1"/>
  <c r="E341" i="4" s="1"/>
  <c r="E353" i="4" s="1"/>
  <c r="E365" i="4" s="1"/>
  <c r="E377" i="4" s="1"/>
  <c r="E389" i="4" s="1"/>
  <c r="E401" i="4" s="1"/>
  <c r="E413" i="4" s="1"/>
  <c r="E425" i="4" s="1"/>
  <c r="E437" i="4" s="1"/>
  <c r="E449" i="4" s="1"/>
  <c r="E461" i="4" s="1"/>
  <c r="E473" i="4" s="1"/>
  <c r="E485" i="4" s="1"/>
  <c r="E497" i="4" s="1"/>
  <c r="E509" i="4" s="1"/>
  <c r="E521" i="4" s="1"/>
  <c r="E533" i="4" s="1"/>
  <c r="E6" i="4"/>
  <c r="E18" i="4" s="1"/>
  <c r="E7" i="4"/>
  <c r="E19" i="4" s="1"/>
  <c r="E31" i="4" s="1"/>
  <c r="E43" i="4" s="1"/>
  <c r="E55" i="4" s="1"/>
  <c r="E67" i="4" s="1"/>
  <c r="E79" i="4" s="1"/>
  <c r="E91" i="4" s="1"/>
  <c r="E103" i="4" s="1"/>
  <c r="E115" i="4" s="1"/>
  <c r="E127" i="4" s="1"/>
  <c r="E139" i="4" s="1"/>
  <c r="E151" i="4" s="1"/>
  <c r="E163" i="4" s="1"/>
  <c r="E175" i="4" s="1"/>
  <c r="E187" i="4" s="1"/>
  <c r="E199" i="4" s="1"/>
  <c r="E211" i="4" s="1"/>
  <c r="E223" i="4" s="1"/>
  <c r="E235" i="4" s="1"/>
  <c r="E247" i="4" s="1"/>
  <c r="E259" i="4" s="1"/>
  <c r="E271" i="4" s="1"/>
  <c r="E283" i="4" s="1"/>
  <c r="E295" i="4" s="1"/>
  <c r="E307" i="4" s="1"/>
  <c r="E319" i="4" s="1"/>
  <c r="E331" i="4" s="1"/>
  <c r="E343" i="4" s="1"/>
  <c r="E355" i="4" s="1"/>
  <c r="E367" i="4" s="1"/>
  <c r="E379" i="4" s="1"/>
  <c r="E391" i="4" s="1"/>
  <c r="E403" i="4" s="1"/>
  <c r="E415" i="4" s="1"/>
  <c r="E427" i="4" s="1"/>
  <c r="E439" i="4" s="1"/>
  <c r="E451" i="4" s="1"/>
  <c r="E463" i="4" s="1"/>
  <c r="E475" i="4" s="1"/>
  <c r="E487" i="4" s="1"/>
  <c r="E499" i="4" s="1"/>
  <c r="E511" i="4" s="1"/>
  <c r="E523" i="4" s="1"/>
  <c r="E535" i="4" s="1"/>
  <c r="E8" i="4"/>
  <c r="E20" i="4" s="1"/>
  <c r="E9" i="4"/>
  <c r="E21" i="4" s="1"/>
  <c r="E33" i="4" s="1"/>
  <c r="E45" i="4" s="1"/>
  <c r="E57" i="4" s="1"/>
  <c r="E69" i="4" s="1"/>
  <c r="E81" i="4" s="1"/>
  <c r="E93" i="4" s="1"/>
  <c r="E105" i="4" s="1"/>
  <c r="E117" i="4" s="1"/>
  <c r="E129" i="4" s="1"/>
  <c r="E141" i="4" s="1"/>
  <c r="E153" i="4" s="1"/>
  <c r="E165" i="4" s="1"/>
  <c r="E177" i="4" s="1"/>
  <c r="E189" i="4" s="1"/>
  <c r="E201" i="4" s="1"/>
  <c r="E213" i="4" s="1"/>
  <c r="E225" i="4" s="1"/>
  <c r="E237" i="4" s="1"/>
  <c r="E249" i="4" s="1"/>
  <c r="E261" i="4" s="1"/>
  <c r="E273" i="4" s="1"/>
  <c r="E285" i="4" s="1"/>
  <c r="E297" i="4" s="1"/>
  <c r="E309" i="4" s="1"/>
  <c r="E321" i="4" s="1"/>
  <c r="E333" i="4" s="1"/>
  <c r="E345" i="4" s="1"/>
  <c r="E357" i="4" s="1"/>
  <c r="E369" i="4" s="1"/>
  <c r="E381" i="4" s="1"/>
  <c r="E393" i="4" s="1"/>
  <c r="E405" i="4" s="1"/>
  <c r="E417" i="4" s="1"/>
  <c r="E429" i="4" s="1"/>
  <c r="E441" i="4" s="1"/>
  <c r="E453" i="4" s="1"/>
  <c r="E465" i="4" s="1"/>
  <c r="E477" i="4" s="1"/>
  <c r="E489" i="4" s="1"/>
  <c r="E501" i="4" s="1"/>
  <c r="E513" i="4" s="1"/>
  <c r="E525" i="4" s="1"/>
  <c r="E537" i="4" s="1"/>
  <c r="E10" i="4"/>
  <c r="E22" i="4" s="1"/>
  <c r="E11" i="4"/>
  <c r="E23" i="4" s="1"/>
  <c r="E35" i="4" s="1"/>
  <c r="E47" i="4" s="1"/>
  <c r="E59" i="4" s="1"/>
  <c r="E71" i="4" s="1"/>
  <c r="E83" i="4" s="1"/>
  <c r="E95" i="4" s="1"/>
  <c r="E107" i="4" s="1"/>
  <c r="E119" i="4" s="1"/>
  <c r="E131" i="4" s="1"/>
  <c r="E143" i="4" s="1"/>
  <c r="E155" i="4" s="1"/>
  <c r="E167" i="4" s="1"/>
  <c r="E179" i="4" s="1"/>
  <c r="E191" i="4" s="1"/>
  <c r="E203" i="4" s="1"/>
  <c r="E215" i="4" s="1"/>
  <c r="E227" i="4" s="1"/>
  <c r="E239" i="4" s="1"/>
  <c r="E251" i="4" s="1"/>
  <c r="E263" i="4" s="1"/>
  <c r="E275" i="4" s="1"/>
  <c r="E287" i="4" s="1"/>
  <c r="E299" i="4" s="1"/>
  <c r="E311" i="4" s="1"/>
  <c r="E323" i="4" s="1"/>
  <c r="E335" i="4" s="1"/>
  <c r="E347" i="4" s="1"/>
  <c r="E359" i="4" s="1"/>
  <c r="E371" i="4" s="1"/>
  <c r="E383" i="4" s="1"/>
  <c r="E395" i="4" s="1"/>
  <c r="E407" i="4" s="1"/>
  <c r="E419" i="4" s="1"/>
  <c r="E431" i="4" s="1"/>
  <c r="E443" i="4" s="1"/>
  <c r="E455" i="4" s="1"/>
  <c r="E467" i="4" s="1"/>
  <c r="E479" i="4" s="1"/>
  <c r="E491" i="4" s="1"/>
  <c r="E503" i="4" s="1"/>
  <c r="E515" i="4" s="1"/>
  <c r="E527" i="4" s="1"/>
  <c r="E539" i="4" s="1"/>
  <c r="E12" i="4"/>
  <c r="E24" i="4" s="1"/>
  <c r="E36" i="4" s="1"/>
  <c r="E48" i="4" s="1"/>
  <c r="E13" i="4"/>
  <c r="E25" i="4" s="1"/>
  <c r="E37" i="4" s="1"/>
  <c r="E49" i="4" s="1"/>
  <c r="E61" i="4" s="1"/>
  <c r="E73" i="4" s="1"/>
  <c r="E85" i="4" s="1"/>
  <c r="E97" i="4" s="1"/>
  <c r="E109" i="4" s="1"/>
  <c r="E121" i="4" s="1"/>
  <c r="E133" i="4" s="1"/>
  <c r="E145" i="4" s="1"/>
  <c r="E157" i="4" s="1"/>
  <c r="E169" i="4" s="1"/>
  <c r="E181" i="4" s="1"/>
  <c r="E193" i="4" s="1"/>
  <c r="E205" i="4" s="1"/>
  <c r="E217" i="4" s="1"/>
  <c r="E229" i="4" s="1"/>
  <c r="E241" i="4" s="1"/>
  <c r="E253" i="4" s="1"/>
  <c r="E265" i="4" s="1"/>
  <c r="E277" i="4" s="1"/>
  <c r="E289" i="4" s="1"/>
  <c r="E301" i="4" s="1"/>
  <c r="E313" i="4" s="1"/>
  <c r="E325" i="4" s="1"/>
  <c r="E337" i="4" s="1"/>
  <c r="E349" i="4" s="1"/>
  <c r="E361" i="4" s="1"/>
  <c r="E373" i="4" s="1"/>
  <c r="E385" i="4" s="1"/>
  <c r="E397" i="4" s="1"/>
  <c r="E409" i="4" s="1"/>
  <c r="E421" i="4" s="1"/>
  <c r="E433" i="4" s="1"/>
  <c r="E445" i="4" s="1"/>
  <c r="E457" i="4" s="1"/>
  <c r="E469" i="4" s="1"/>
  <c r="E481" i="4" s="1"/>
  <c r="E493" i="4" s="1"/>
  <c r="E505" i="4" s="1"/>
  <c r="E517" i="4" s="1"/>
  <c r="E529" i="4" s="1"/>
  <c r="E541" i="4" s="1"/>
  <c r="E14" i="4"/>
  <c r="E26" i="4" s="1"/>
  <c r="E3" i="4"/>
  <c r="B2" i="6"/>
  <c r="Y2" i="6"/>
  <c r="E46" i="2"/>
  <c r="A3" i="6"/>
  <c r="E17" i="2"/>
  <c r="J2" i="6"/>
  <c r="L2" i="6"/>
  <c r="T2" i="6"/>
  <c r="D3" i="4"/>
  <c r="D15" i="4" s="1"/>
  <c r="D27" i="4" s="1"/>
  <c r="D4" i="4"/>
  <c r="D16" i="4" s="1"/>
  <c r="D5" i="4"/>
  <c r="D17" i="4" s="1"/>
  <c r="D29" i="4" s="1"/>
  <c r="D6" i="4"/>
  <c r="D18" i="4" s="1"/>
  <c r="D7" i="4"/>
  <c r="D8" i="4"/>
  <c r="D20" i="4" s="1"/>
  <c r="D9" i="4"/>
  <c r="D21" i="4" s="1"/>
  <c r="D10" i="4"/>
  <c r="D22" i="4" s="1"/>
  <c r="D11" i="4"/>
  <c r="D23" i="4" s="1"/>
  <c r="D35" i="4" s="1"/>
  <c r="AI35" i="6" s="1"/>
  <c r="D12" i="4"/>
  <c r="D24" i="4" s="1"/>
  <c r="AI24" i="6" s="1"/>
  <c r="D13" i="4"/>
  <c r="AI13" i="6" s="1"/>
  <c r="D14" i="4"/>
  <c r="D26" i="4" s="1"/>
  <c r="B2" i="3"/>
  <c r="E43" i="2"/>
  <c r="F58" i="5"/>
  <c r="E58" i="5"/>
  <c r="D58" i="5"/>
  <c r="E26" i="5"/>
  <c r="D26" i="5"/>
  <c r="F26" i="5"/>
  <c r="A46" i="12"/>
  <c r="A45" i="12"/>
  <c r="A39" i="12"/>
  <c r="A40" i="12"/>
  <c r="A41" i="12"/>
  <c r="A42" i="12"/>
  <c r="A43" i="12"/>
  <c r="A44" i="12"/>
  <c r="A31" i="12"/>
  <c r="A32" i="12"/>
  <c r="A33" i="12"/>
  <c r="A34" i="12"/>
  <c r="A35" i="12"/>
  <c r="A36" i="12"/>
  <c r="A37" i="12"/>
  <c r="A38" i="12"/>
  <c r="A3" i="12"/>
  <c r="A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2" i="12"/>
  <c r="O3" i="4"/>
  <c r="O4" i="4"/>
  <c r="O5" i="4"/>
  <c r="O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319" i="4"/>
  <c r="O320" i="4"/>
  <c r="O321"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0" i="4"/>
  <c r="O351" i="4"/>
  <c r="O352" i="4"/>
  <c r="O353" i="4"/>
  <c r="O354" i="4"/>
  <c r="O355" i="4"/>
  <c r="O356"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O407" i="4"/>
  <c r="O408" i="4"/>
  <c r="O409" i="4"/>
  <c r="O410" i="4"/>
  <c r="O411" i="4"/>
  <c r="O412" i="4"/>
  <c r="O413" i="4"/>
  <c r="O414" i="4"/>
  <c r="O415" i="4"/>
  <c r="O416" i="4"/>
  <c r="O417" i="4"/>
  <c r="O418" i="4"/>
  <c r="O419" i="4"/>
  <c r="O420" i="4"/>
  <c r="O421" i="4"/>
  <c r="O422" i="4"/>
  <c r="O423" i="4"/>
  <c r="O424" i="4"/>
  <c r="O425" i="4"/>
  <c r="O426" i="4"/>
  <c r="O427" i="4"/>
  <c r="O428" i="4"/>
  <c r="O429" i="4"/>
  <c r="O430" i="4"/>
  <c r="O431" i="4"/>
  <c r="O432" i="4"/>
  <c r="O433" i="4"/>
  <c r="O434" i="4"/>
  <c r="O435" i="4"/>
  <c r="O436" i="4"/>
  <c r="O437" i="4"/>
  <c r="O438" i="4"/>
  <c r="O439" i="4"/>
  <c r="O440" i="4"/>
  <c r="O441" i="4"/>
  <c r="O442" i="4"/>
  <c r="O443" i="4"/>
  <c r="O444" i="4"/>
  <c r="O445" i="4"/>
  <c r="O446" i="4"/>
  <c r="O447" i="4"/>
  <c r="O448" i="4"/>
  <c r="O449" i="4"/>
  <c r="O450" i="4"/>
  <c r="O451" i="4"/>
  <c r="O452" i="4"/>
  <c r="O453" i="4"/>
  <c r="O454" i="4"/>
  <c r="O455" i="4"/>
  <c r="O456" i="4"/>
  <c r="O457" i="4"/>
  <c r="O458" i="4"/>
  <c r="O459" i="4"/>
  <c r="O460" i="4"/>
  <c r="O461" i="4"/>
  <c r="O462" i="4"/>
  <c r="O463" i="4"/>
  <c r="O464" i="4"/>
  <c r="O465" i="4"/>
  <c r="O466" i="4"/>
  <c r="O467" i="4"/>
  <c r="O468" i="4"/>
  <c r="O469" i="4"/>
  <c r="O470" i="4"/>
  <c r="O471" i="4"/>
  <c r="O472" i="4"/>
  <c r="O473" i="4"/>
  <c r="O474" i="4"/>
  <c r="O475" i="4"/>
  <c r="O476" i="4"/>
  <c r="O477" i="4"/>
  <c r="O478" i="4"/>
  <c r="O479" i="4"/>
  <c r="O480" i="4"/>
  <c r="O481" i="4"/>
  <c r="O482" i="4"/>
  <c r="O483" i="4"/>
  <c r="O484" i="4"/>
  <c r="O485" i="4"/>
  <c r="O486" i="4"/>
  <c r="O487" i="4"/>
  <c r="O488" i="4"/>
  <c r="O489" i="4"/>
  <c r="O490" i="4"/>
  <c r="O491" i="4"/>
  <c r="O492" i="4"/>
  <c r="O493" i="4"/>
  <c r="O494" i="4"/>
  <c r="O495" i="4"/>
  <c r="O496" i="4"/>
  <c r="O497" i="4"/>
  <c r="O498" i="4"/>
  <c r="O499" i="4"/>
  <c r="O500" i="4"/>
  <c r="O501" i="4"/>
  <c r="O502" i="4"/>
  <c r="O503" i="4"/>
  <c r="O504" i="4"/>
  <c r="O505" i="4"/>
  <c r="O506" i="4"/>
  <c r="O507" i="4"/>
  <c r="O508" i="4"/>
  <c r="O509" i="4"/>
  <c r="O510" i="4"/>
  <c r="O511" i="4"/>
  <c r="O512" i="4"/>
  <c r="O513" i="4"/>
  <c r="O514" i="4"/>
  <c r="O515" i="4"/>
  <c r="O516" i="4"/>
  <c r="O517" i="4"/>
  <c r="O518" i="4"/>
  <c r="O519" i="4"/>
  <c r="O520" i="4"/>
  <c r="O521" i="4"/>
  <c r="O522" i="4"/>
  <c r="O523" i="4"/>
  <c r="O524" i="4"/>
  <c r="O525" i="4"/>
  <c r="O526" i="4"/>
  <c r="O527" i="4"/>
  <c r="O528" i="4"/>
  <c r="O529" i="4"/>
  <c r="O530" i="4"/>
  <c r="O531" i="4"/>
  <c r="O532" i="4"/>
  <c r="O533" i="4"/>
  <c r="O534" i="4"/>
  <c r="O535" i="4"/>
  <c r="O536" i="4"/>
  <c r="O537" i="4"/>
  <c r="O538" i="4"/>
  <c r="O539" i="4"/>
  <c r="O540" i="4"/>
  <c r="O541" i="4"/>
  <c r="O542" i="4"/>
  <c r="O2" i="4"/>
  <c r="A3" i="11"/>
  <c r="B3" i="11" s="1"/>
  <c r="B2" i="11"/>
  <c r="AI2" i="6"/>
  <c r="A3" i="10"/>
  <c r="A4" i="10"/>
  <c r="AI2" i="3"/>
  <c r="B2" i="4"/>
  <c r="B3" i="9"/>
  <c r="B2" i="9"/>
  <c r="A3" i="9"/>
  <c r="A4" i="9"/>
  <c r="A5" i="9"/>
  <c r="B4" i="9"/>
  <c r="A3" i="4"/>
  <c r="A6" i="9"/>
  <c r="B5" i="9"/>
  <c r="A7" i="9"/>
  <c r="B6" i="9"/>
  <c r="A8" i="9"/>
  <c r="B7" i="9"/>
  <c r="A9" i="9"/>
  <c r="B8" i="9"/>
  <c r="A10" i="9"/>
  <c r="B9" i="9"/>
  <c r="A11" i="9"/>
  <c r="B10" i="9"/>
  <c r="A12" i="9"/>
  <c r="B11" i="9"/>
  <c r="A13" i="9"/>
  <c r="B12" i="9"/>
  <c r="A14" i="9"/>
  <c r="B13" i="9"/>
  <c r="A15" i="9"/>
  <c r="B14" i="9"/>
  <c r="A16" i="9"/>
  <c r="B15" i="9"/>
  <c r="A17" i="9"/>
  <c r="B16" i="9"/>
  <c r="A18" i="9"/>
  <c r="B17" i="9"/>
  <c r="A19" i="9"/>
  <c r="B18" i="9"/>
  <c r="A20" i="9"/>
  <c r="B19" i="9"/>
  <c r="A21" i="9"/>
  <c r="B20" i="9"/>
  <c r="A22" i="9"/>
  <c r="B21" i="9"/>
  <c r="A23" i="9"/>
  <c r="B22" i="9"/>
  <c r="A24" i="9"/>
  <c r="B23" i="9"/>
  <c r="A25" i="9"/>
  <c r="B24" i="9"/>
  <c r="A26" i="9"/>
  <c r="B25" i="9"/>
  <c r="A27" i="9"/>
  <c r="B26" i="9"/>
  <c r="A28" i="9"/>
  <c r="B27" i="9"/>
  <c r="A29" i="9"/>
  <c r="B28" i="9"/>
  <c r="A30" i="9"/>
  <c r="B29" i="9"/>
  <c r="A31" i="9"/>
  <c r="B30" i="9"/>
  <c r="A32" i="9"/>
  <c r="B31" i="9"/>
  <c r="A33" i="9"/>
  <c r="B32" i="9"/>
  <c r="A34" i="9"/>
  <c r="B33" i="9"/>
  <c r="A35" i="9"/>
  <c r="B34" i="9"/>
  <c r="A36" i="9"/>
  <c r="B35" i="9"/>
  <c r="A37" i="9"/>
  <c r="B36" i="9"/>
  <c r="A38" i="9"/>
  <c r="B37" i="9"/>
  <c r="A39" i="9"/>
  <c r="B38" i="9"/>
  <c r="A40" i="9"/>
  <c r="B39" i="9"/>
  <c r="A41" i="9"/>
  <c r="B40" i="9"/>
  <c r="A42" i="9"/>
  <c r="B41" i="9"/>
  <c r="A43" i="9"/>
  <c r="B42" i="9"/>
  <c r="A44" i="9"/>
  <c r="B43" i="9"/>
  <c r="A45" i="9"/>
  <c r="B44" i="9"/>
  <c r="A46" i="9"/>
  <c r="B45" i="9"/>
  <c r="A47" i="9"/>
  <c r="B46" i="9"/>
  <c r="A48" i="9"/>
  <c r="B47" i="9"/>
  <c r="A49" i="9"/>
  <c r="B48" i="9"/>
  <c r="A50" i="9"/>
  <c r="B49" i="9"/>
  <c r="A51" i="9"/>
  <c r="B50" i="9"/>
  <c r="A52" i="9"/>
  <c r="B51" i="9"/>
  <c r="A53" i="9"/>
  <c r="B52" i="9"/>
  <c r="A54" i="9"/>
  <c r="B53" i="9"/>
  <c r="A55" i="9"/>
  <c r="B54" i="9"/>
  <c r="A56" i="9"/>
  <c r="B55" i="9"/>
  <c r="A57" i="9"/>
  <c r="B56" i="9"/>
  <c r="A58" i="9"/>
  <c r="B57" i="9"/>
  <c r="A59" i="9"/>
  <c r="B58" i="9"/>
  <c r="A60" i="9"/>
  <c r="B59" i="9"/>
  <c r="A61" i="9"/>
  <c r="B60" i="9"/>
  <c r="A62" i="9"/>
  <c r="B61" i="9"/>
  <c r="A63" i="9"/>
  <c r="B62" i="9"/>
  <c r="A64" i="9"/>
  <c r="B63" i="9"/>
  <c r="A65" i="9"/>
  <c r="B64" i="9"/>
  <c r="A66" i="9"/>
  <c r="B65" i="9"/>
  <c r="A67" i="9"/>
  <c r="B66" i="9"/>
  <c r="A68" i="9"/>
  <c r="B67" i="9"/>
  <c r="A69" i="9"/>
  <c r="B68" i="9"/>
  <c r="A70" i="9"/>
  <c r="B69" i="9"/>
  <c r="A71" i="9"/>
  <c r="B70" i="9"/>
  <c r="A72" i="9"/>
  <c r="B71" i="9"/>
  <c r="A73" i="9"/>
  <c r="B72" i="9"/>
  <c r="A74" i="9"/>
  <c r="B73" i="9"/>
  <c r="A75" i="9"/>
  <c r="B74" i="9"/>
  <c r="A76" i="9"/>
  <c r="B75" i="9"/>
  <c r="A77" i="9"/>
  <c r="B76" i="9"/>
  <c r="A78" i="9"/>
  <c r="B77" i="9"/>
  <c r="A79" i="9"/>
  <c r="B78" i="9"/>
  <c r="A80" i="9"/>
  <c r="B79" i="9"/>
  <c r="A81" i="9"/>
  <c r="B80" i="9"/>
  <c r="A82" i="9"/>
  <c r="B81" i="9"/>
  <c r="A83" i="9"/>
  <c r="B82" i="9"/>
  <c r="A84" i="9"/>
  <c r="B83" i="9"/>
  <c r="A85" i="9"/>
  <c r="B84" i="9"/>
  <c r="A86" i="9"/>
  <c r="B85" i="9"/>
  <c r="A87" i="9"/>
  <c r="B86" i="9"/>
  <c r="A88" i="9"/>
  <c r="B87" i="9"/>
  <c r="A89" i="9"/>
  <c r="B88" i="9"/>
  <c r="A90" i="9"/>
  <c r="B89" i="9"/>
  <c r="A91" i="9"/>
  <c r="B90" i="9"/>
  <c r="A92" i="9"/>
  <c r="B91" i="9"/>
  <c r="A93" i="9"/>
  <c r="B92" i="9"/>
  <c r="A94" i="9"/>
  <c r="B93" i="9"/>
  <c r="A95" i="9"/>
  <c r="B94" i="9"/>
  <c r="A96" i="9"/>
  <c r="B95" i="9"/>
  <c r="A97" i="9"/>
  <c r="B96" i="9"/>
  <c r="A98" i="9"/>
  <c r="B97" i="9"/>
  <c r="A99" i="9"/>
  <c r="B98" i="9"/>
  <c r="A100" i="9"/>
  <c r="B99" i="9"/>
  <c r="A101" i="9"/>
  <c r="B100" i="9"/>
  <c r="A102" i="9"/>
  <c r="B101" i="9"/>
  <c r="A103" i="9"/>
  <c r="B102" i="9"/>
  <c r="A104" i="9"/>
  <c r="B103" i="9"/>
  <c r="A105" i="9"/>
  <c r="B104" i="9"/>
  <c r="A106" i="9"/>
  <c r="B105" i="9"/>
  <c r="A107" i="9"/>
  <c r="B106" i="9"/>
  <c r="A108" i="9"/>
  <c r="B107" i="9"/>
  <c r="A109" i="9"/>
  <c r="B108" i="9"/>
  <c r="A110" i="9"/>
  <c r="B109" i="9"/>
  <c r="A111" i="9"/>
  <c r="B110" i="9"/>
  <c r="A112" i="9"/>
  <c r="B111" i="9"/>
  <c r="A113" i="9"/>
  <c r="B112" i="9"/>
  <c r="A114" i="9"/>
  <c r="B113" i="9"/>
  <c r="A115" i="9"/>
  <c r="B114" i="9"/>
  <c r="A116" i="9"/>
  <c r="B115" i="9"/>
  <c r="A117" i="9"/>
  <c r="B116" i="9"/>
  <c r="A118" i="9"/>
  <c r="B117" i="9"/>
  <c r="A119" i="9"/>
  <c r="B118" i="9"/>
  <c r="A120" i="9"/>
  <c r="B119" i="9"/>
  <c r="A121" i="9"/>
  <c r="B120" i="9"/>
  <c r="A122" i="9"/>
  <c r="B121" i="9"/>
  <c r="A123" i="9"/>
  <c r="B122" i="9"/>
  <c r="A124" i="9"/>
  <c r="B123" i="9"/>
  <c r="A125" i="9"/>
  <c r="B124" i="9"/>
  <c r="A126" i="9"/>
  <c r="B125" i="9"/>
  <c r="A127" i="9"/>
  <c r="B126" i="9"/>
  <c r="A128" i="9"/>
  <c r="B127" i="9"/>
  <c r="A129" i="9"/>
  <c r="B128" i="9"/>
  <c r="A130" i="9"/>
  <c r="B129" i="9"/>
  <c r="A131" i="9"/>
  <c r="B130" i="9"/>
  <c r="A132" i="9"/>
  <c r="B131" i="9"/>
  <c r="A133" i="9"/>
  <c r="B132" i="9"/>
  <c r="A134" i="9"/>
  <c r="B133" i="9"/>
  <c r="A135" i="9"/>
  <c r="B134" i="9"/>
  <c r="A136" i="9"/>
  <c r="B135" i="9"/>
  <c r="A137" i="9"/>
  <c r="B136" i="9"/>
  <c r="A138" i="9"/>
  <c r="B137" i="9"/>
  <c r="A139" i="9"/>
  <c r="B138" i="9"/>
  <c r="A140" i="9"/>
  <c r="B139" i="9"/>
  <c r="A141" i="9"/>
  <c r="B140" i="9"/>
  <c r="A142" i="9"/>
  <c r="B141" i="9"/>
  <c r="A143" i="9"/>
  <c r="B142" i="9"/>
  <c r="A144" i="9"/>
  <c r="B143" i="9"/>
  <c r="A145" i="9"/>
  <c r="B144" i="9"/>
  <c r="A146" i="9"/>
  <c r="B145" i="9"/>
  <c r="A147" i="9"/>
  <c r="B146" i="9"/>
  <c r="A148" i="9"/>
  <c r="B147" i="9"/>
  <c r="A149" i="9"/>
  <c r="B148" i="9"/>
  <c r="A150" i="9"/>
  <c r="B149" i="9"/>
  <c r="A151" i="9"/>
  <c r="B150" i="9"/>
  <c r="A152" i="9"/>
  <c r="B151" i="9"/>
  <c r="A153" i="9"/>
  <c r="B152" i="9"/>
  <c r="A154" i="9"/>
  <c r="B153" i="9"/>
  <c r="A155" i="9"/>
  <c r="B154" i="9"/>
  <c r="A156" i="9"/>
  <c r="B155" i="9"/>
  <c r="A157" i="9"/>
  <c r="B156" i="9"/>
  <c r="A158" i="9"/>
  <c r="B157" i="9"/>
  <c r="A159" i="9"/>
  <c r="B158" i="9"/>
  <c r="A160" i="9"/>
  <c r="B159" i="9"/>
  <c r="A161" i="9"/>
  <c r="B160" i="9"/>
  <c r="A162" i="9"/>
  <c r="B161" i="9"/>
  <c r="A163" i="9"/>
  <c r="B162" i="9"/>
  <c r="A164" i="9"/>
  <c r="B163" i="9"/>
  <c r="A165" i="9"/>
  <c r="B164" i="9"/>
  <c r="A166" i="9"/>
  <c r="B165" i="9"/>
  <c r="A167" i="9"/>
  <c r="B166" i="9"/>
  <c r="A168" i="9"/>
  <c r="B167" i="9"/>
  <c r="A169" i="9"/>
  <c r="B168" i="9"/>
  <c r="A170" i="9"/>
  <c r="B169" i="9"/>
  <c r="A171" i="9"/>
  <c r="B170" i="9"/>
  <c r="A172" i="9"/>
  <c r="B171" i="9"/>
  <c r="A173" i="9"/>
  <c r="B172" i="9"/>
  <c r="A174" i="9"/>
  <c r="B173" i="9"/>
  <c r="A175" i="9"/>
  <c r="B174" i="9"/>
  <c r="A176" i="9"/>
  <c r="B175" i="9"/>
  <c r="A177" i="9"/>
  <c r="B176" i="9"/>
  <c r="A178" i="9"/>
  <c r="B177" i="9"/>
  <c r="A179" i="9"/>
  <c r="B178" i="9"/>
  <c r="A180" i="9"/>
  <c r="B179" i="9"/>
  <c r="A181" i="9"/>
  <c r="B180" i="9"/>
  <c r="A182" i="9"/>
  <c r="B181" i="9"/>
  <c r="A183" i="9"/>
  <c r="B182" i="9"/>
  <c r="A184" i="9"/>
  <c r="B183" i="9"/>
  <c r="A185" i="9"/>
  <c r="B184" i="9"/>
  <c r="A186" i="9"/>
  <c r="B185" i="9"/>
  <c r="A187" i="9"/>
  <c r="B186" i="9"/>
  <c r="A188" i="9"/>
  <c r="B187" i="9"/>
  <c r="A189" i="9"/>
  <c r="B188" i="9"/>
  <c r="A190" i="9"/>
  <c r="B189" i="9"/>
  <c r="A191" i="9"/>
  <c r="B190" i="9"/>
  <c r="A192" i="9"/>
  <c r="B191" i="9"/>
  <c r="A193" i="9"/>
  <c r="B192" i="9"/>
  <c r="A194" i="9"/>
  <c r="B193" i="9"/>
  <c r="A195" i="9"/>
  <c r="B194" i="9"/>
  <c r="A196" i="9"/>
  <c r="B195" i="9"/>
  <c r="A197" i="9"/>
  <c r="B196" i="9"/>
  <c r="A198" i="9"/>
  <c r="B197" i="9"/>
  <c r="A199" i="9"/>
  <c r="B198" i="9"/>
  <c r="A200" i="9"/>
  <c r="B199" i="9"/>
  <c r="A201" i="9"/>
  <c r="B200" i="9"/>
  <c r="A202" i="9"/>
  <c r="B201" i="9"/>
  <c r="A203" i="9"/>
  <c r="B202" i="9"/>
  <c r="A204" i="9"/>
  <c r="B203" i="9"/>
  <c r="A205" i="9"/>
  <c r="B204" i="9"/>
  <c r="A206" i="9"/>
  <c r="B205" i="9"/>
  <c r="A207" i="9"/>
  <c r="B206" i="9"/>
  <c r="A208" i="9"/>
  <c r="B207" i="9"/>
  <c r="A209" i="9"/>
  <c r="B208" i="9"/>
  <c r="A210" i="9"/>
  <c r="B209" i="9"/>
  <c r="A211" i="9"/>
  <c r="B210" i="9"/>
  <c r="A212" i="9"/>
  <c r="B211" i="9"/>
  <c r="A213" i="9"/>
  <c r="B212" i="9"/>
  <c r="A214" i="9"/>
  <c r="B213" i="9"/>
  <c r="A215" i="9"/>
  <c r="B214" i="9"/>
  <c r="A216" i="9"/>
  <c r="B215" i="9"/>
  <c r="A217" i="9"/>
  <c r="B216" i="9"/>
  <c r="A218" i="9"/>
  <c r="B217" i="9"/>
  <c r="A219" i="9"/>
  <c r="B218" i="9"/>
  <c r="A220" i="9"/>
  <c r="B219" i="9"/>
  <c r="A221" i="9"/>
  <c r="B220" i="9"/>
  <c r="A222" i="9"/>
  <c r="B221" i="9"/>
  <c r="A223" i="9"/>
  <c r="B222" i="9"/>
  <c r="A224" i="9"/>
  <c r="B223" i="9"/>
  <c r="A225" i="9"/>
  <c r="B224" i="9"/>
  <c r="A226" i="9"/>
  <c r="B225" i="9"/>
  <c r="A227" i="9"/>
  <c r="B226" i="9"/>
  <c r="A228" i="9"/>
  <c r="B227" i="9"/>
  <c r="A229" i="9"/>
  <c r="B228" i="9"/>
  <c r="A230" i="9"/>
  <c r="B229" i="9"/>
  <c r="A231" i="9"/>
  <c r="B230" i="9"/>
  <c r="A232" i="9"/>
  <c r="B231" i="9"/>
  <c r="A233" i="9"/>
  <c r="B232" i="9"/>
  <c r="A234" i="9"/>
  <c r="B233" i="9"/>
  <c r="A235" i="9"/>
  <c r="B234" i="9"/>
  <c r="A236" i="9"/>
  <c r="B235" i="9"/>
  <c r="A237" i="9"/>
  <c r="B236" i="9"/>
  <c r="A238" i="9"/>
  <c r="B237" i="9"/>
  <c r="A239" i="9"/>
  <c r="B238" i="9"/>
  <c r="A240" i="9"/>
  <c r="B239" i="9"/>
  <c r="A241" i="9"/>
  <c r="B240" i="9"/>
  <c r="A242" i="9"/>
  <c r="B241" i="9"/>
  <c r="A243" i="9"/>
  <c r="B242" i="9"/>
  <c r="A244" i="9"/>
  <c r="B243" i="9"/>
  <c r="A245" i="9"/>
  <c r="B244" i="9"/>
  <c r="A246" i="9"/>
  <c r="B245" i="9"/>
  <c r="A247" i="9"/>
  <c r="B246" i="9"/>
  <c r="A248" i="9"/>
  <c r="B247" i="9"/>
  <c r="A249" i="9"/>
  <c r="B248" i="9"/>
  <c r="A250" i="9"/>
  <c r="B249" i="9"/>
  <c r="A251" i="9"/>
  <c r="B250" i="9"/>
  <c r="A252" i="9"/>
  <c r="B251" i="9"/>
  <c r="A253" i="9"/>
  <c r="B252" i="9"/>
  <c r="A254" i="9"/>
  <c r="B253" i="9"/>
  <c r="A255" i="9"/>
  <c r="B254" i="9"/>
  <c r="A256" i="9"/>
  <c r="B255" i="9"/>
  <c r="A257" i="9"/>
  <c r="B256" i="9"/>
  <c r="A258" i="9"/>
  <c r="B257" i="9"/>
  <c r="A259" i="9"/>
  <c r="B258" i="9"/>
  <c r="A260" i="9"/>
  <c r="B259" i="9"/>
  <c r="A261" i="9"/>
  <c r="B260" i="9"/>
  <c r="A262" i="9"/>
  <c r="B261" i="9"/>
  <c r="A263" i="9"/>
  <c r="B262" i="9"/>
  <c r="A264" i="9"/>
  <c r="B263" i="9"/>
  <c r="A265" i="9"/>
  <c r="B264" i="9"/>
  <c r="A266" i="9"/>
  <c r="B265" i="9"/>
  <c r="A267" i="9"/>
  <c r="B266" i="9"/>
  <c r="A268" i="9"/>
  <c r="B267" i="9"/>
  <c r="A269" i="9"/>
  <c r="B268" i="9"/>
  <c r="A270" i="9"/>
  <c r="B269" i="9"/>
  <c r="A271" i="9"/>
  <c r="B270" i="9"/>
  <c r="A272" i="9"/>
  <c r="B271" i="9"/>
  <c r="A273" i="9"/>
  <c r="B272" i="9"/>
  <c r="A274" i="9"/>
  <c r="B273" i="9"/>
  <c r="A275" i="9"/>
  <c r="B274" i="9"/>
  <c r="A276" i="9"/>
  <c r="B275" i="9"/>
  <c r="A277" i="9"/>
  <c r="B276" i="9"/>
  <c r="A278" i="9"/>
  <c r="B277" i="9"/>
  <c r="A279" i="9"/>
  <c r="B278" i="9"/>
  <c r="A280" i="9"/>
  <c r="B279" i="9"/>
  <c r="A281" i="9"/>
  <c r="B280" i="9"/>
  <c r="A282" i="9"/>
  <c r="B281" i="9"/>
  <c r="A283" i="9"/>
  <c r="B282" i="9"/>
  <c r="A284" i="9"/>
  <c r="B283" i="9"/>
  <c r="A285" i="9"/>
  <c r="B284" i="9"/>
  <c r="A286" i="9"/>
  <c r="B285" i="9"/>
  <c r="A287" i="9"/>
  <c r="B286" i="9"/>
  <c r="A288" i="9"/>
  <c r="B287" i="9"/>
  <c r="A289" i="9"/>
  <c r="B288" i="9"/>
  <c r="A290" i="9"/>
  <c r="B289" i="9"/>
  <c r="A291" i="9"/>
  <c r="B290" i="9"/>
  <c r="A292" i="9"/>
  <c r="B291" i="9"/>
  <c r="A293" i="9"/>
  <c r="B292" i="9"/>
  <c r="A294" i="9"/>
  <c r="B293" i="9"/>
  <c r="A295" i="9"/>
  <c r="B294" i="9"/>
  <c r="A296" i="9"/>
  <c r="B295" i="9"/>
  <c r="A297" i="9"/>
  <c r="B296" i="9"/>
  <c r="A298" i="9"/>
  <c r="B297" i="9"/>
  <c r="A299" i="9"/>
  <c r="B298" i="9"/>
  <c r="A300" i="9"/>
  <c r="B299" i="9"/>
  <c r="A301" i="9"/>
  <c r="B300" i="9"/>
  <c r="A302" i="9"/>
  <c r="B301" i="9"/>
  <c r="A303" i="9"/>
  <c r="B302" i="9"/>
  <c r="A304" i="9"/>
  <c r="B303" i="9"/>
  <c r="A305" i="9"/>
  <c r="B304" i="9"/>
  <c r="A306" i="9"/>
  <c r="B305" i="9"/>
  <c r="A307" i="9"/>
  <c r="B306" i="9"/>
  <c r="A308" i="9"/>
  <c r="B307" i="9"/>
  <c r="A309" i="9"/>
  <c r="B308" i="9"/>
  <c r="A310" i="9"/>
  <c r="B309" i="9"/>
  <c r="A311" i="9"/>
  <c r="B310" i="9"/>
  <c r="A312" i="9"/>
  <c r="B311" i="9"/>
  <c r="A313" i="9"/>
  <c r="B312" i="9"/>
  <c r="A314" i="9"/>
  <c r="B313" i="9"/>
  <c r="A315" i="9"/>
  <c r="B314" i="9"/>
  <c r="A316" i="9"/>
  <c r="B315" i="9"/>
  <c r="A317" i="9"/>
  <c r="B316" i="9"/>
  <c r="A318" i="9"/>
  <c r="B317" i="9"/>
  <c r="A319" i="9"/>
  <c r="B318" i="9"/>
  <c r="A320" i="9"/>
  <c r="B319" i="9"/>
  <c r="A321" i="9"/>
  <c r="B320" i="9"/>
  <c r="A322" i="9"/>
  <c r="B321" i="9"/>
  <c r="A323" i="9"/>
  <c r="B322" i="9"/>
  <c r="A324" i="9"/>
  <c r="B323" i="9"/>
  <c r="A325" i="9"/>
  <c r="B324" i="9"/>
  <c r="A326" i="9"/>
  <c r="B325" i="9"/>
  <c r="A327" i="9"/>
  <c r="B326" i="9"/>
  <c r="A328" i="9"/>
  <c r="B327" i="9"/>
  <c r="A329" i="9"/>
  <c r="B328" i="9"/>
  <c r="A330" i="9"/>
  <c r="B329" i="9"/>
  <c r="A331" i="9"/>
  <c r="B330" i="9"/>
  <c r="A332" i="9"/>
  <c r="B331" i="9"/>
  <c r="A333" i="9"/>
  <c r="B332" i="9"/>
  <c r="A334" i="9"/>
  <c r="B333" i="9"/>
  <c r="A335" i="9"/>
  <c r="B334" i="9"/>
  <c r="A336" i="9"/>
  <c r="B335" i="9"/>
  <c r="A337" i="9"/>
  <c r="B336" i="9"/>
  <c r="A338" i="9"/>
  <c r="B337" i="9"/>
  <c r="A339" i="9"/>
  <c r="B338" i="9"/>
  <c r="A340" i="9"/>
  <c r="B339" i="9"/>
  <c r="A341" i="9"/>
  <c r="B340" i="9"/>
  <c r="A342" i="9"/>
  <c r="B341" i="9"/>
  <c r="A343" i="9"/>
  <c r="B342" i="9"/>
  <c r="A344" i="9"/>
  <c r="B343" i="9"/>
  <c r="A345" i="9"/>
  <c r="B344" i="9"/>
  <c r="A346" i="9"/>
  <c r="B345" i="9"/>
  <c r="A347" i="9"/>
  <c r="B346" i="9"/>
  <c r="A348" i="9"/>
  <c r="B347" i="9"/>
  <c r="A349" i="9"/>
  <c r="B348" i="9"/>
  <c r="A350" i="9"/>
  <c r="B349" i="9"/>
  <c r="A351" i="9"/>
  <c r="B350" i="9"/>
  <c r="A352" i="9"/>
  <c r="B351" i="9"/>
  <c r="A353" i="9"/>
  <c r="B352" i="9"/>
  <c r="A354" i="9"/>
  <c r="B353" i="9"/>
  <c r="A355" i="9"/>
  <c r="B354" i="9"/>
  <c r="A356" i="9"/>
  <c r="B355" i="9"/>
  <c r="A357" i="9"/>
  <c r="B356" i="9"/>
  <c r="A358" i="9"/>
  <c r="B357" i="9"/>
  <c r="A359" i="9"/>
  <c r="B358" i="9"/>
  <c r="A360" i="9"/>
  <c r="B359" i="9"/>
  <c r="A361" i="9"/>
  <c r="B360" i="9"/>
  <c r="A362" i="9"/>
  <c r="B361" i="9"/>
  <c r="A363" i="9"/>
  <c r="B362" i="9"/>
  <c r="A364" i="9"/>
  <c r="B363" i="9"/>
  <c r="A365" i="9"/>
  <c r="B364" i="9"/>
  <c r="A366" i="9"/>
  <c r="B365" i="9"/>
  <c r="A367" i="9"/>
  <c r="B366" i="9"/>
  <c r="A368" i="9"/>
  <c r="B367" i="9"/>
  <c r="A369" i="9"/>
  <c r="B368" i="9"/>
  <c r="A370" i="9"/>
  <c r="B369" i="9"/>
  <c r="A371" i="9"/>
  <c r="B370" i="9"/>
  <c r="A372" i="9"/>
  <c r="B371" i="9"/>
  <c r="A373" i="9"/>
  <c r="B372" i="9"/>
  <c r="A374" i="9"/>
  <c r="B373" i="9"/>
  <c r="A375" i="9"/>
  <c r="B374" i="9"/>
  <c r="A376" i="9"/>
  <c r="B375" i="9"/>
  <c r="A377" i="9"/>
  <c r="B376" i="9"/>
  <c r="A378" i="9"/>
  <c r="B377" i="9"/>
  <c r="A379" i="9"/>
  <c r="B378" i="9"/>
  <c r="A380" i="9"/>
  <c r="B379" i="9"/>
  <c r="A381" i="9"/>
  <c r="B380" i="9"/>
  <c r="A382" i="9"/>
  <c r="B381" i="9"/>
  <c r="A383" i="9"/>
  <c r="B382" i="9"/>
  <c r="A384" i="9"/>
  <c r="B383" i="9"/>
  <c r="A385" i="9"/>
  <c r="B384" i="9"/>
  <c r="A386" i="9"/>
  <c r="B385" i="9"/>
  <c r="A387" i="9"/>
  <c r="B386" i="9"/>
  <c r="A388" i="9"/>
  <c r="B387" i="9"/>
  <c r="A389" i="9"/>
  <c r="B388" i="9"/>
  <c r="A390" i="9"/>
  <c r="B389" i="9"/>
  <c r="A391" i="9"/>
  <c r="B390" i="9"/>
  <c r="A392" i="9"/>
  <c r="B391" i="9"/>
  <c r="A393" i="9"/>
  <c r="B392" i="9"/>
  <c r="A394" i="9"/>
  <c r="B393" i="9"/>
  <c r="A395" i="9"/>
  <c r="B394" i="9"/>
  <c r="A396" i="9"/>
  <c r="B395" i="9"/>
  <c r="A397" i="9"/>
  <c r="B396" i="9"/>
  <c r="A398" i="9"/>
  <c r="B397" i="9"/>
  <c r="A399" i="9"/>
  <c r="B398" i="9"/>
  <c r="A400" i="9"/>
  <c r="B399" i="9"/>
  <c r="A401" i="9"/>
  <c r="B400" i="9"/>
  <c r="A402" i="9"/>
  <c r="B401" i="9"/>
  <c r="A403" i="9"/>
  <c r="B402" i="9"/>
  <c r="A404" i="9"/>
  <c r="B403" i="9"/>
  <c r="A405" i="9"/>
  <c r="B404" i="9"/>
  <c r="A406" i="9"/>
  <c r="B405" i="9"/>
  <c r="A407" i="9"/>
  <c r="B406" i="9"/>
  <c r="A408" i="9"/>
  <c r="B407" i="9"/>
  <c r="A409" i="9"/>
  <c r="B408" i="9"/>
  <c r="A410" i="9"/>
  <c r="B409" i="9"/>
  <c r="A411" i="9"/>
  <c r="B410" i="9"/>
  <c r="A412" i="9"/>
  <c r="B411" i="9"/>
  <c r="A413" i="9"/>
  <c r="B412" i="9"/>
  <c r="A414" i="9"/>
  <c r="B413" i="9"/>
  <c r="A415" i="9"/>
  <c r="B414" i="9"/>
  <c r="A416" i="9"/>
  <c r="B415" i="9"/>
  <c r="A417" i="9"/>
  <c r="B416" i="9"/>
  <c r="A418" i="9"/>
  <c r="B417" i="9"/>
  <c r="A419" i="9"/>
  <c r="B418" i="9"/>
  <c r="A420" i="9"/>
  <c r="B419" i="9"/>
  <c r="A421" i="9"/>
  <c r="B420" i="9"/>
  <c r="A422" i="9"/>
  <c r="B421" i="9"/>
  <c r="A423" i="9"/>
  <c r="B422" i="9"/>
  <c r="A424" i="9"/>
  <c r="B423" i="9"/>
  <c r="A425" i="9"/>
  <c r="B424" i="9"/>
  <c r="A426" i="9"/>
  <c r="B425" i="9"/>
  <c r="A427" i="9"/>
  <c r="B426" i="9"/>
  <c r="A428" i="9"/>
  <c r="B427" i="9"/>
  <c r="A429" i="9"/>
  <c r="B428" i="9"/>
  <c r="A430" i="9"/>
  <c r="B429" i="9"/>
  <c r="A431" i="9"/>
  <c r="B430" i="9"/>
  <c r="A432" i="9"/>
  <c r="B431" i="9"/>
  <c r="A433" i="9"/>
  <c r="B432" i="9"/>
  <c r="A434" i="9"/>
  <c r="B433" i="9"/>
  <c r="A435" i="9"/>
  <c r="B434" i="9"/>
  <c r="A436" i="9"/>
  <c r="B435" i="9"/>
  <c r="A437" i="9"/>
  <c r="B436" i="9"/>
  <c r="A438" i="9"/>
  <c r="B437" i="9"/>
  <c r="A439" i="9"/>
  <c r="B438" i="9"/>
  <c r="A440" i="9"/>
  <c r="B439" i="9"/>
  <c r="A441" i="9"/>
  <c r="B440" i="9"/>
  <c r="A442" i="9"/>
  <c r="B441" i="9"/>
  <c r="A443" i="9"/>
  <c r="B442" i="9"/>
  <c r="A444" i="9"/>
  <c r="B443" i="9"/>
  <c r="A445" i="9"/>
  <c r="B444" i="9"/>
  <c r="A446" i="9"/>
  <c r="B445" i="9"/>
  <c r="A447" i="9"/>
  <c r="B446" i="9"/>
  <c r="A448" i="9"/>
  <c r="B447" i="9"/>
  <c r="A449" i="9"/>
  <c r="B448" i="9"/>
  <c r="A450" i="9"/>
  <c r="B449" i="9"/>
  <c r="A451" i="9"/>
  <c r="B450" i="9"/>
  <c r="A452" i="9"/>
  <c r="B451" i="9"/>
  <c r="A453" i="9"/>
  <c r="B452" i="9"/>
  <c r="A454" i="9"/>
  <c r="B453" i="9"/>
  <c r="A455" i="9"/>
  <c r="B454" i="9"/>
  <c r="A456" i="9"/>
  <c r="B455" i="9"/>
  <c r="A457" i="9"/>
  <c r="B456" i="9"/>
  <c r="A458" i="9"/>
  <c r="B457" i="9"/>
  <c r="A459" i="9"/>
  <c r="B458" i="9"/>
  <c r="A460" i="9"/>
  <c r="B459" i="9"/>
  <c r="A461" i="9"/>
  <c r="B460" i="9"/>
  <c r="A462" i="9"/>
  <c r="B461" i="9"/>
  <c r="A463" i="9"/>
  <c r="B462" i="9"/>
  <c r="A464" i="9"/>
  <c r="B463" i="9"/>
  <c r="A465" i="9"/>
  <c r="B464" i="9"/>
  <c r="A466" i="9"/>
  <c r="B465" i="9"/>
  <c r="A467" i="9"/>
  <c r="B466" i="9"/>
  <c r="A468" i="9"/>
  <c r="B467" i="9"/>
  <c r="A469" i="9"/>
  <c r="B468" i="9"/>
  <c r="A470" i="9"/>
  <c r="B469" i="9"/>
  <c r="A471" i="9"/>
  <c r="B470" i="9"/>
  <c r="A472" i="9"/>
  <c r="B471" i="9"/>
  <c r="A473" i="9"/>
  <c r="B472" i="9"/>
  <c r="A474" i="9"/>
  <c r="B473" i="9"/>
  <c r="A475" i="9"/>
  <c r="B474" i="9"/>
  <c r="A476" i="9"/>
  <c r="B475" i="9"/>
  <c r="A477" i="9"/>
  <c r="B476" i="9"/>
  <c r="A478" i="9"/>
  <c r="B477" i="9"/>
  <c r="A479" i="9"/>
  <c r="B478" i="9"/>
  <c r="A480" i="9"/>
  <c r="B479" i="9"/>
  <c r="A481" i="9"/>
  <c r="B480" i="9"/>
  <c r="A482" i="9"/>
  <c r="B481" i="9"/>
  <c r="A483" i="9"/>
  <c r="B482" i="9"/>
  <c r="A484" i="9"/>
  <c r="B483" i="9"/>
  <c r="A485" i="9"/>
  <c r="B484" i="9"/>
  <c r="A486" i="9"/>
  <c r="B485" i="9"/>
  <c r="A487" i="9"/>
  <c r="B486" i="9"/>
  <c r="A488" i="9"/>
  <c r="B487" i="9"/>
  <c r="A489" i="9"/>
  <c r="B488" i="9"/>
  <c r="A490" i="9"/>
  <c r="B489" i="9"/>
  <c r="A491" i="9"/>
  <c r="B490" i="9"/>
  <c r="A492" i="9"/>
  <c r="B491" i="9"/>
  <c r="A493" i="9"/>
  <c r="B492" i="9"/>
  <c r="A494" i="9"/>
  <c r="B493" i="9"/>
  <c r="A495" i="9"/>
  <c r="B494" i="9"/>
  <c r="A496" i="9"/>
  <c r="B495" i="9"/>
  <c r="A497" i="9"/>
  <c r="B496" i="9"/>
  <c r="A498" i="9"/>
  <c r="B497" i="9"/>
  <c r="A499" i="9"/>
  <c r="B498" i="9"/>
  <c r="A500" i="9"/>
  <c r="B499" i="9"/>
  <c r="A501" i="9"/>
  <c r="B500" i="9"/>
  <c r="A502" i="9"/>
  <c r="B501" i="9"/>
  <c r="A503" i="9"/>
  <c r="B502" i="9"/>
  <c r="A504" i="9"/>
  <c r="B503" i="9"/>
  <c r="A505" i="9"/>
  <c r="B504" i="9"/>
  <c r="A506" i="9"/>
  <c r="B505" i="9"/>
  <c r="A507" i="9"/>
  <c r="B506" i="9"/>
  <c r="A508" i="9"/>
  <c r="B507" i="9"/>
  <c r="A509" i="9"/>
  <c r="B508" i="9"/>
  <c r="A510" i="9"/>
  <c r="B509" i="9"/>
  <c r="A511" i="9"/>
  <c r="B510" i="9"/>
  <c r="A512" i="9"/>
  <c r="B511" i="9"/>
  <c r="A513" i="9"/>
  <c r="B512" i="9"/>
  <c r="A514" i="9"/>
  <c r="B513" i="9"/>
  <c r="A515" i="9"/>
  <c r="B514" i="9"/>
  <c r="A516" i="9"/>
  <c r="B515" i="9"/>
  <c r="A517" i="9"/>
  <c r="B516" i="9"/>
  <c r="A518" i="9"/>
  <c r="B517" i="9"/>
  <c r="A519" i="9"/>
  <c r="B518" i="9"/>
  <c r="A520" i="9"/>
  <c r="B519" i="9"/>
  <c r="A521" i="9"/>
  <c r="B520" i="9"/>
  <c r="A522" i="9"/>
  <c r="B521" i="9"/>
  <c r="A523" i="9"/>
  <c r="B522" i="9"/>
  <c r="A524" i="9"/>
  <c r="B523" i="9"/>
  <c r="A525" i="9"/>
  <c r="B524" i="9"/>
  <c r="A526" i="9"/>
  <c r="B525" i="9"/>
  <c r="A527" i="9"/>
  <c r="B526" i="9"/>
  <c r="A528" i="9"/>
  <c r="B527" i="9"/>
  <c r="A529" i="9"/>
  <c r="B528" i="9"/>
  <c r="A530" i="9"/>
  <c r="B529" i="9"/>
  <c r="A531" i="9"/>
  <c r="B530" i="9"/>
  <c r="A532" i="9"/>
  <c r="B531" i="9"/>
  <c r="A533" i="9"/>
  <c r="B532" i="9"/>
  <c r="A534" i="9"/>
  <c r="B533" i="9"/>
  <c r="A535" i="9"/>
  <c r="B534" i="9"/>
  <c r="A536" i="9"/>
  <c r="B535" i="9"/>
  <c r="A537" i="9"/>
  <c r="B536" i="9"/>
  <c r="A538" i="9"/>
  <c r="B537" i="9"/>
  <c r="A539" i="9"/>
  <c r="B538" i="9"/>
  <c r="A540" i="9"/>
  <c r="B539" i="9"/>
  <c r="A541" i="9"/>
  <c r="B540" i="9"/>
  <c r="A542" i="9"/>
  <c r="B542" i="9"/>
  <c r="B541" i="9"/>
  <c r="C10" i="13" l="1"/>
  <c r="G10" i="13"/>
  <c r="K10" i="13"/>
  <c r="G5" i="13"/>
  <c r="K5" i="13"/>
  <c r="C5" i="13"/>
  <c r="A6" i="3"/>
  <c r="B5" i="3"/>
  <c r="B4" i="3"/>
  <c r="J2" i="4"/>
  <c r="N2" i="4" s="1"/>
  <c r="P2" i="4" s="1"/>
  <c r="J3" i="3"/>
  <c r="J4" i="3" s="1"/>
  <c r="D4" i="3"/>
  <c r="D5" i="3"/>
  <c r="D6" i="3"/>
  <c r="C2" i="3"/>
  <c r="C3" i="3"/>
  <c r="C4" i="3"/>
  <c r="D2" i="3"/>
  <c r="C5" i="3"/>
  <c r="D3" i="3"/>
  <c r="C6" i="3"/>
  <c r="AJ2" i="3"/>
  <c r="U2" i="3"/>
  <c r="U2" i="6"/>
  <c r="X2" i="6" s="1"/>
  <c r="Z2" i="6" s="1"/>
  <c r="A4" i="11"/>
  <c r="R7" i="6"/>
  <c r="R19" i="6" s="1"/>
  <c r="R31" i="6" s="1"/>
  <c r="R43" i="6" s="1"/>
  <c r="R55" i="6" s="1"/>
  <c r="R67" i="6" s="1"/>
  <c r="R79" i="6" s="1"/>
  <c r="R91" i="6" s="1"/>
  <c r="R103" i="6" s="1"/>
  <c r="R115" i="6" s="1"/>
  <c r="R127" i="6" s="1"/>
  <c r="R139" i="6" s="1"/>
  <c r="R151" i="6" s="1"/>
  <c r="R163" i="6" s="1"/>
  <c r="R175" i="6" s="1"/>
  <c r="R187" i="6" s="1"/>
  <c r="R199" i="6" s="1"/>
  <c r="R211" i="6" s="1"/>
  <c r="R223" i="6" s="1"/>
  <c r="R235" i="6" s="1"/>
  <c r="R247" i="6" s="1"/>
  <c r="R259" i="6" s="1"/>
  <c r="R271" i="6" s="1"/>
  <c r="R283" i="6" s="1"/>
  <c r="R295" i="6" s="1"/>
  <c r="R307" i="6" s="1"/>
  <c r="R319" i="6" s="1"/>
  <c r="R331" i="6" s="1"/>
  <c r="R343" i="6" s="1"/>
  <c r="R355" i="6" s="1"/>
  <c r="R367" i="6" s="1"/>
  <c r="R379" i="6" s="1"/>
  <c r="R391" i="6" s="1"/>
  <c r="R403" i="6" s="1"/>
  <c r="R415" i="6" s="1"/>
  <c r="R427" i="6" s="1"/>
  <c r="R439" i="6" s="1"/>
  <c r="R451" i="6" s="1"/>
  <c r="R463" i="6" s="1"/>
  <c r="R475" i="6" s="1"/>
  <c r="R487" i="6" s="1"/>
  <c r="R499" i="6" s="1"/>
  <c r="R511" i="6" s="1"/>
  <c r="R523" i="6" s="1"/>
  <c r="R535" i="6" s="1"/>
  <c r="J3" i="6"/>
  <c r="J4" i="6" s="1"/>
  <c r="J5" i="6" s="1"/>
  <c r="AI4" i="6"/>
  <c r="E15" i="4"/>
  <c r="E27" i="4" s="1"/>
  <c r="E39" i="4" s="1"/>
  <c r="E51" i="4" s="1"/>
  <c r="E63" i="4" s="1"/>
  <c r="E75" i="4" s="1"/>
  <c r="E87" i="4" s="1"/>
  <c r="E99" i="4" s="1"/>
  <c r="E111" i="4" s="1"/>
  <c r="E123" i="4" s="1"/>
  <c r="E135" i="4" s="1"/>
  <c r="E147" i="4" s="1"/>
  <c r="E159" i="4" s="1"/>
  <c r="E171" i="4" s="1"/>
  <c r="E183" i="4" s="1"/>
  <c r="E195" i="4" s="1"/>
  <c r="E207" i="4" s="1"/>
  <c r="E219" i="4" s="1"/>
  <c r="E231" i="4" s="1"/>
  <c r="E243" i="4" s="1"/>
  <c r="E255" i="4" s="1"/>
  <c r="E267" i="4" s="1"/>
  <c r="E279" i="4" s="1"/>
  <c r="E291" i="4" s="1"/>
  <c r="E303" i="4" s="1"/>
  <c r="E315" i="4" s="1"/>
  <c r="E327" i="4" s="1"/>
  <c r="E339" i="4" s="1"/>
  <c r="E351" i="4" s="1"/>
  <c r="E363" i="4" s="1"/>
  <c r="E375" i="4" s="1"/>
  <c r="E387" i="4" s="1"/>
  <c r="E399" i="4" s="1"/>
  <c r="E411" i="4" s="1"/>
  <c r="E423" i="4" s="1"/>
  <c r="E435" i="4" s="1"/>
  <c r="E447" i="4" s="1"/>
  <c r="E459" i="4" s="1"/>
  <c r="E471" i="4" s="1"/>
  <c r="E483" i="4" s="1"/>
  <c r="E495" i="4" s="1"/>
  <c r="E507" i="4" s="1"/>
  <c r="E519" i="4" s="1"/>
  <c r="E531" i="4" s="1"/>
  <c r="R15" i="3"/>
  <c r="R27" i="3" s="1"/>
  <c r="R39" i="3" s="1"/>
  <c r="R51" i="3" s="1"/>
  <c r="R63" i="3" s="1"/>
  <c r="R75" i="3" s="1"/>
  <c r="R87" i="3" s="1"/>
  <c r="R99" i="3" s="1"/>
  <c r="R111" i="3" s="1"/>
  <c r="R123" i="3" s="1"/>
  <c r="R135" i="3" s="1"/>
  <c r="R147" i="3" s="1"/>
  <c r="R159" i="3" s="1"/>
  <c r="R171" i="3" s="1"/>
  <c r="R183" i="3" s="1"/>
  <c r="R195" i="3" s="1"/>
  <c r="R207" i="3" s="1"/>
  <c r="R219" i="3" s="1"/>
  <c r="R231" i="3" s="1"/>
  <c r="R243" i="3" s="1"/>
  <c r="R255" i="3" s="1"/>
  <c r="R267" i="3" s="1"/>
  <c r="R279" i="3" s="1"/>
  <c r="R291" i="3" s="1"/>
  <c r="R303" i="3" s="1"/>
  <c r="R315" i="3" s="1"/>
  <c r="R327" i="3" s="1"/>
  <c r="R339" i="3" s="1"/>
  <c r="R351" i="3" s="1"/>
  <c r="R363" i="3" s="1"/>
  <c r="R375" i="3" s="1"/>
  <c r="R387" i="3" s="1"/>
  <c r="R399" i="3" s="1"/>
  <c r="R411" i="3" s="1"/>
  <c r="R423" i="3" s="1"/>
  <c r="R435" i="3" s="1"/>
  <c r="R447" i="3" s="1"/>
  <c r="R459" i="3" s="1"/>
  <c r="R471" i="3" s="1"/>
  <c r="R483" i="3" s="1"/>
  <c r="R495" i="3" s="1"/>
  <c r="R507" i="3" s="1"/>
  <c r="R519" i="3" s="1"/>
  <c r="R531" i="3" s="1"/>
  <c r="AI17" i="6"/>
  <c r="AI17" i="3"/>
  <c r="AI6" i="3"/>
  <c r="AB263" i="3"/>
  <c r="AB176" i="3"/>
  <c r="AI5" i="3"/>
  <c r="AI5" i="6"/>
  <c r="AB434" i="3"/>
  <c r="AB429" i="3"/>
  <c r="AB400" i="3"/>
  <c r="AB336" i="3"/>
  <c r="AB514" i="3"/>
  <c r="AB504" i="3"/>
  <c r="AI12" i="3"/>
  <c r="AB246" i="3"/>
  <c r="AI12" i="6"/>
  <c r="AB536" i="3"/>
  <c r="AB231" i="3"/>
  <c r="AB525" i="3"/>
  <c r="AB226" i="3"/>
  <c r="AI8" i="3"/>
  <c r="AI4" i="3"/>
  <c r="AB510" i="3"/>
  <c r="AB173" i="3"/>
  <c r="AB482" i="3"/>
  <c r="AB478" i="3"/>
  <c r="AB450" i="3"/>
  <c r="I302" i="4"/>
  <c r="AB397" i="3"/>
  <c r="AB359" i="3"/>
  <c r="R8" i="6"/>
  <c r="R20" i="6" s="1"/>
  <c r="R32" i="6" s="1"/>
  <c r="R44" i="6" s="1"/>
  <c r="R56" i="6" s="1"/>
  <c r="R68" i="6" s="1"/>
  <c r="R80" i="6" s="1"/>
  <c r="R92" i="6" s="1"/>
  <c r="R104" i="6" s="1"/>
  <c r="R116" i="6" s="1"/>
  <c r="R128" i="6" s="1"/>
  <c r="R140" i="6" s="1"/>
  <c r="R152" i="6" s="1"/>
  <c r="R164" i="6" s="1"/>
  <c r="R176" i="6" s="1"/>
  <c r="R188" i="6" s="1"/>
  <c r="R200" i="6" s="1"/>
  <c r="R212" i="6" s="1"/>
  <c r="R224" i="6" s="1"/>
  <c r="R236" i="6" s="1"/>
  <c r="R248" i="6" s="1"/>
  <c r="R260" i="6" s="1"/>
  <c r="R272" i="6" s="1"/>
  <c r="R284" i="6" s="1"/>
  <c r="R296" i="6" s="1"/>
  <c r="R308" i="6" s="1"/>
  <c r="R320" i="6" s="1"/>
  <c r="R332" i="6" s="1"/>
  <c r="R344" i="6" s="1"/>
  <c r="R356" i="6" s="1"/>
  <c r="R368" i="6" s="1"/>
  <c r="R380" i="6" s="1"/>
  <c r="R392" i="6" s="1"/>
  <c r="R404" i="6" s="1"/>
  <c r="R416" i="6" s="1"/>
  <c r="R428" i="6" s="1"/>
  <c r="R440" i="6" s="1"/>
  <c r="R452" i="6" s="1"/>
  <c r="R464" i="6" s="1"/>
  <c r="R476" i="6" s="1"/>
  <c r="R488" i="6" s="1"/>
  <c r="R500" i="6" s="1"/>
  <c r="R512" i="6" s="1"/>
  <c r="R524" i="6" s="1"/>
  <c r="R536" i="6" s="1"/>
  <c r="AB472" i="3"/>
  <c r="AB327" i="3"/>
  <c r="AB162" i="3"/>
  <c r="AB470" i="3"/>
  <c r="AB318" i="3"/>
  <c r="AB141" i="3"/>
  <c r="AB542" i="3"/>
  <c r="AB466" i="3"/>
  <c r="AB304" i="3"/>
  <c r="AB130" i="3"/>
  <c r="AB541" i="3"/>
  <c r="AB455" i="3"/>
  <c r="AB295" i="3"/>
  <c r="AB59" i="3"/>
  <c r="AB290" i="3"/>
  <c r="AB528" i="3"/>
  <c r="AB440" i="3"/>
  <c r="AB272" i="3"/>
  <c r="AB519" i="3"/>
  <c r="AB430" i="3"/>
  <c r="AB248" i="3"/>
  <c r="I231" i="4"/>
  <c r="AB503" i="3"/>
  <c r="AB376" i="3"/>
  <c r="AB210" i="3"/>
  <c r="AB493" i="3"/>
  <c r="AB368" i="3"/>
  <c r="AB199" i="3"/>
  <c r="AB487" i="3"/>
  <c r="AB360" i="3"/>
  <c r="AB182" i="3"/>
  <c r="AI14" i="6"/>
  <c r="AI8" i="6"/>
  <c r="AB502" i="3"/>
  <c r="AB464" i="3"/>
  <c r="AB418" i="3"/>
  <c r="AB358" i="3"/>
  <c r="AB288" i="3"/>
  <c r="AB222" i="3"/>
  <c r="AB158" i="3"/>
  <c r="I494" i="4"/>
  <c r="AB535" i="3"/>
  <c r="AB498" i="3"/>
  <c r="AB462" i="3"/>
  <c r="AB414" i="3"/>
  <c r="AB354" i="3"/>
  <c r="AB286" i="3"/>
  <c r="AB216" i="3"/>
  <c r="AB152" i="3"/>
  <c r="I439" i="4"/>
  <c r="AB534" i="3"/>
  <c r="AB496" i="3"/>
  <c r="AB461" i="3"/>
  <c r="AB408" i="3"/>
  <c r="AB344" i="3"/>
  <c r="AB285" i="3"/>
  <c r="AB215" i="3"/>
  <c r="AB150" i="3"/>
  <c r="I391" i="4"/>
  <c r="AB530" i="3"/>
  <c r="AB494" i="3"/>
  <c r="AB456" i="3"/>
  <c r="AB406" i="3"/>
  <c r="AB342" i="3"/>
  <c r="AB280" i="3"/>
  <c r="AB214" i="3"/>
  <c r="AB144" i="3"/>
  <c r="I351" i="4"/>
  <c r="AB526" i="3"/>
  <c r="AB488" i="3"/>
  <c r="AB454" i="3"/>
  <c r="AB398" i="3"/>
  <c r="AB333" i="3"/>
  <c r="AB269" i="3"/>
  <c r="AB208" i="3"/>
  <c r="AB132" i="3"/>
  <c r="I238" i="4"/>
  <c r="AB520" i="3"/>
  <c r="AB486" i="3"/>
  <c r="AB448" i="3"/>
  <c r="AB392" i="3"/>
  <c r="AB326" i="3"/>
  <c r="AB258" i="3"/>
  <c r="AB194" i="3"/>
  <c r="AB107" i="3"/>
  <c r="I87" i="4"/>
  <c r="AB446" i="3"/>
  <c r="AB391" i="3"/>
  <c r="AB322" i="3"/>
  <c r="AB254" i="3"/>
  <c r="AB190" i="3"/>
  <c r="AB87" i="3"/>
  <c r="I16" i="4"/>
  <c r="AB518" i="3"/>
  <c r="AB480" i="3"/>
  <c r="AB445" i="3"/>
  <c r="AB382" i="3"/>
  <c r="AB320" i="3"/>
  <c r="AB253" i="3"/>
  <c r="AB184" i="3"/>
  <c r="AB82" i="3"/>
  <c r="AB344" i="6"/>
  <c r="AB512" i="3"/>
  <c r="AB477" i="3"/>
  <c r="AB438" i="3"/>
  <c r="AB374" i="3"/>
  <c r="AB310" i="3"/>
  <c r="AB247" i="3"/>
  <c r="AB178" i="3"/>
  <c r="AB43" i="3"/>
  <c r="AB509" i="3"/>
  <c r="AB471" i="3"/>
  <c r="AB432" i="3"/>
  <c r="AB365" i="3"/>
  <c r="AB301" i="3"/>
  <c r="AB237" i="3"/>
  <c r="AB174" i="3"/>
  <c r="I206" i="4"/>
  <c r="AB424" i="3"/>
  <c r="AB390" i="3"/>
  <c r="AB352" i="3"/>
  <c r="AB317" i="3"/>
  <c r="AB279" i="3"/>
  <c r="AB242" i="3"/>
  <c r="AB206" i="3"/>
  <c r="AB168" i="3"/>
  <c r="AB127" i="3"/>
  <c r="I191" i="4"/>
  <c r="AB423" i="3"/>
  <c r="AB386" i="3"/>
  <c r="AB350" i="3"/>
  <c r="AB312" i="3"/>
  <c r="AB278" i="3"/>
  <c r="AB240" i="3"/>
  <c r="AB205" i="3"/>
  <c r="AB167" i="3"/>
  <c r="AB117" i="3"/>
  <c r="I535" i="4"/>
  <c r="I147" i="4"/>
  <c r="AB422" i="3"/>
  <c r="AB384" i="3"/>
  <c r="AB349" i="3"/>
  <c r="AB311" i="3"/>
  <c r="AB274" i="3"/>
  <c r="AB238" i="3"/>
  <c r="AB200" i="3"/>
  <c r="AB166" i="3"/>
  <c r="AB114" i="3"/>
  <c r="I510" i="4"/>
  <c r="I129" i="4"/>
  <c r="AB416" i="3"/>
  <c r="AB381" i="3"/>
  <c r="AB343" i="3"/>
  <c r="AB306" i="3"/>
  <c r="AB270" i="3"/>
  <c r="AB232" i="3"/>
  <c r="AB198" i="3"/>
  <c r="AB160" i="3"/>
  <c r="AB102" i="3"/>
  <c r="I487" i="4"/>
  <c r="I33" i="4"/>
  <c r="AB413" i="3"/>
  <c r="AB375" i="3"/>
  <c r="AB338" i="3"/>
  <c r="AB302" i="3"/>
  <c r="AB264" i="3"/>
  <c r="AB230" i="3"/>
  <c r="AB192" i="3"/>
  <c r="AB157" i="3"/>
  <c r="AB86" i="3"/>
  <c r="I431" i="4"/>
  <c r="AB527" i="6"/>
  <c r="AB407" i="3"/>
  <c r="AB370" i="3"/>
  <c r="AB334" i="3"/>
  <c r="AB296" i="3"/>
  <c r="AB262" i="3"/>
  <c r="AB224" i="3"/>
  <c r="AB189" i="3"/>
  <c r="AB151" i="3"/>
  <c r="AB69" i="3"/>
  <c r="I381" i="4"/>
  <c r="AB255" i="6"/>
  <c r="AB439" i="3"/>
  <c r="AB402" i="3"/>
  <c r="AB366" i="3"/>
  <c r="AB328" i="3"/>
  <c r="AB294" i="3"/>
  <c r="AB256" i="3"/>
  <c r="AB221" i="3"/>
  <c r="AB183" i="3"/>
  <c r="AB146" i="3"/>
  <c r="AB46" i="3"/>
  <c r="I349" i="4"/>
  <c r="AB142" i="3"/>
  <c r="AB7" i="3"/>
  <c r="I279" i="4"/>
  <c r="AB540" i="3"/>
  <c r="AB524" i="3"/>
  <c r="AB508" i="3"/>
  <c r="AB492" i="3"/>
  <c r="AB476" i="3"/>
  <c r="AB460" i="3"/>
  <c r="AB444" i="3"/>
  <c r="AB428" i="3"/>
  <c r="AB412" i="3"/>
  <c r="AB396" i="3"/>
  <c r="AB380" i="3"/>
  <c r="AB364" i="3"/>
  <c r="AB348" i="3"/>
  <c r="AB332" i="3"/>
  <c r="AB316" i="3"/>
  <c r="AB300" i="3"/>
  <c r="AB284" i="3"/>
  <c r="AB268" i="3"/>
  <c r="AB252" i="3"/>
  <c r="AB236" i="3"/>
  <c r="AB220" i="3"/>
  <c r="AB204" i="3"/>
  <c r="AB188" i="3"/>
  <c r="AB172" i="3"/>
  <c r="AB156" i="3"/>
  <c r="AB138" i="3"/>
  <c r="AB101" i="3"/>
  <c r="AB37" i="3"/>
  <c r="I485" i="4"/>
  <c r="I334" i="4"/>
  <c r="I189" i="4"/>
  <c r="AB495" i="6"/>
  <c r="AB539" i="3"/>
  <c r="AB523" i="3"/>
  <c r="AB507" i="3"/>
  <c r="AB491" i="3"/>
  <c r="AB475" i="3"/>
  <c r="AB459" i="3"/>
  <c r="AB443" i="3"/>
  <c r="AB427" i="3"/>
  <c r="AB411" i="3"/>
  <c r="AB395" i="3"/>
  <c r="AB379" i="3"/>
  <c r="AB363" i="3"/>
  <c r="AB347" i="3"/>
  <c r="AB331" i="3"/>
  <c r="AB315" i="3"/>
  <c r="AB299" i="3"/>
  <c r="AB283" i="3"/>
  <c r="AB267" i="3"/>
  <c r="AB251" i="3"/>
  <c r="AB235" i="3"/>
  <c r="AB219" i="3"/>
  <c r="AB203" i="3"/>
  <c r="AB187" i="3"/>
  <c r="AB171" i="3"/>
  <c r="AB155" i="3"/>
  <c r="AB136" i="3"/>
  <c r="AB98" i="3"/>
  <c r="AB29" i="3"/>
  <c r="I479" i="4"/>
  <c r="I327" i="4"/>
  <c r="I183" i="4"/>
  <c r="AB490" i="6"/>
  <c r="AB538" i="3"/>
  <c r="AB522" i="3"/>
  <c r="AB506" i="3"/>
  <c r="AB490" i="3"/>
  <c r="AB474" i="3"/>
  <c r="AB458" i="3"/>
  <c r="AB442" i="3"/>
  <c r="AB426" i="3"/>
  <c r="AB410" i="3"/>
  <c r="AB394" i="3"/>
  <c r="AB378" i="3"/>
  <c r="AB362" i="3"/>
  <c r="AB346" i="3"/>
  <c r="AB330" i="3"/>
  <c r="AB314" i="3"/>
  <c r="AB298" i="3"/>
  <c r="AB282" i="3"/>
  <c r="AB266" i="3"/>
  <c r="AB250" i="3"/>
  <c r="AB234" i="3"/>
  <c r="AB218" i="3"/>
  <c r="AB202" i="3"/>
  <c r="AB186" i="3"/>
  <c r="AB170" i="3"/>
  <c r="AB154" i="3"/>
  <c r="AB135" i="3"/>
  <c r="AB93" i="3"/>
  <c r="AB27" i="3"/>
  <c r="I462" i="4"/>
  <c r="I311" i="4"/>
  <c r="I174" i="4"/>
  <c r="AB477" i="6"/>
  <c r="AB537" i="3"/>
  <c r="AB521" i="3"/>
  <c r="AB505" i="3"/>
  <c r="AB489" i="3"/>
  <c r="AB473" i="3"/>
  <c r="AB457" i="3"/>
  <c r="AB441" i="3"/>
  <c r="AB425" i="3"/>
  <c r="AB409" i="3"/>
  <c r="AB393" i="3"/>
  <c r="AB377" i="3"/>
  <c r="AB361" i="3"/>
  <c r="AB345" i="3"/>
  <c r="AB329" i="3"/>
  <c r="AB313" i="3"/>
  <c r="AB297" i="3"/>
  <c r="AB281" i="3"/>
  <c r="AB265" i="3"/>
  <c r="AB249" i="3"/>
  <c r="AB233" i="3"/>
  <c r="AB217" i="3"/>
  <c r="AB201" i="3"/>
  <c r="AB185" i="3"/>
  <c r="AB169" i="3"/>
  <c r="AB153" i="3"/>
  <c r="AB134" i="3"/>
  <c r="AB90" i="3"/>
  <c r="AB23" i="3"/>
  <c r="I455" i="4"/>
  <c r="I309" i="4"/>
  <c r="I155" i="4"/>
  <c r="AB417" i="6"/>
  <c r="I437" i="4"/>
  <c r="I287" i="4"/>
  <c r="I145" i="4"/>
  <c r="AB289" i="6"/>
  <c r="AB533" i="3"/>
  <c r="AB517" i="3"/>
  <c r="AB501" i="3"/>
  <c r="AB485" i="3"/>
  <c r="AB469" i="3"/>
  <c r="AB453" i="3"/>
  <c r="AB437" i="3"/>
  <c r="AB421" i="3"/>
  <c r="AB405" i="3"/>
  <c r="AB389" i="3"/>
  <c r="AB373" i="3"/>
  <c r="AB357" i="3"/>
  <c r="AB341" i="3"/>
  <c r="AB325" i="3"/>
  <c r="AB309" i="3"/>
  <c r="AB293" i="3"/>
  <c r="AB277" i="3"/>
  <c r="AB261" i="3"/>
  <c r="AB245" i="3"/>
  <c r="AB229" i="3"/>
  <c r="AB213" i="3"/>
  <c r="AB197" i="3"/>
  <c r="AB181" i="3"/>
  <c r="AB165" i="3"/>
  <c r="AB149" i="3"/>
  <c r="AB126" i="3"/>
  <c r="AB78" i="3"/>
  <c r="I413" i="4"/>
  <c r="I277" i="4"/>
  <c r="I121" i="4"/>
  <c r="AB231" i="6"/>
  <c r="AB532" i="3"/>
  <c r="AB516" i="3"/>
  <c r="AB500" i="3"/>
  <c r="AB484" i="3"/>
  <c r="AB468" i="3"/>
  <c r="AB452" i="3"/>
  <c r="AB436" i="3"/>
  <c r="AB420" i="3"/>
  <c r="AB404" i="3"/>
  <c r="AB388" i="3"/>
  <c r="AB372" i="3"/>
  <c r="AB356" i="3"/>
  <c r="AB340" i="3"/>
  <c r="AB324" i="3"/>
  <c r="AB308" i="3"/>
  <c r="AB292" i="3"/>
  <c r="AB276" i="3"/>
  <c r="AB260" i="3"/>
  <c r="AB244" i="3"/>
  <c r="AB228" i="3"/>
  <c r="AB212" i="3"/>
  <c r="AB196" i="3"/>
  <c r="AB180" i="3"/>
  <c r="AB164" i="3"/>
  <c r="AB148" i="3"/>
  <c r="AB125" i="3"/>
  <c r="AB71" i="3"/>
  <c r="I405" i="4"/>
  <c r="I261" i="4"/>
  <c r="I99" i="4"/>
  <c r="AB207" i="6"/>
  <c r="AB531" i="3"/>
  <c r="AB515" i="3"/>
  <c r="AB499" i="3"/>
  <c r="AB483" i="3"/>
  <c r="AB467" i="3"/>
  <c r="AB451" i="3"/>
  <c r="AB435" i="3"/>
  <c r="AB419" i="3"/>
  <c r="AB403" i="3"/>
  <c r="AB387" i="3"/>
  <c r="AB371" i="3"/>
  <c r="AB355" i="3"/>
  <c r="AB339" i="3"/>
  <c r="AB323" i="3"/>
  <c r="AB307" i="3"/>
  <c r="AB291" i="3"/>
  <c r="AB275" i="3"/>
  <c r="AB259" i="3"/>
  <c r="AB243" i="3"/>
  <c r="AB227" i="3"/>
  <c r="AB211" i="3"/>
  <c r="AB195" i="3"/>
  <c r="AB179" i="3"/>
  <c r="AB163" i="3"/>
  <c r="AB147" i="3"/>
  <c r="AB119" i="3"/>
  <c r="AB70" i="3"/>
  <c r="I542" i="4"/>
  <c r="I398" i="4"/>
  <c r="I253" i="4"/>
  <c r="I90" i="4"/>
  <c r="AB529" i="3"/>
  <c r="AB513" i="3"/>
  <c r="AB497" i="3"/>
  <c r="AB481" i="3"/>
  <c r="AB465" i="3"/>
  <c r="AB449" i="3"/>
  <c r="AB433" i="3"/>
  <c r="AB417" i="3"/>
  <c r="AB401" i="3"/>
  <c r="AB385" i="3"/>
  <c r="AB369" i="3"/>
  <c r="AB353" i="3"/>
  <c r="AB337" i="3"/>
  <c r="AB321" i="3"/>
  <c r="AB305" i="3"/>
  <c r="AB289" i="3"/>
  <c r="AB273" i="3"/>
  <c r="AB257" i="3"/>
  <c r="AB241" i="3"/>
  <c r="AB225" i="3"/>
  <c r="AB209" i="3"/>
  <c r="AB193" i="3"/>
  <c r="AB177" i="3"/>
  <c r="AB161" i="3"/>
  <c r="AB145" i="3"/>
  <c r="AB116" i="3"/>
  <c r="AB62" i="3"/>
  <c r="I511" i="4"/>
  <c r="I383" i="4"/>
  <c r="I237" i="4"/>
  <c r="I59" i="4"/>
  <c r="AI14" i="3"/>
  <c r="AB527" i="3"/>
  <c r="AB511" i="3"/>
  <c r="AB495" i="3"/>
  <c r="AB479" i="3"/>
  <c r="AB463" i="3"/>
  <c r="AB447" i="3"/>
  <c r="AB431" i="3"/>
  <c r="AB415" i="3"/>
  <c r="AB399" i="3"/>
  <c r="AB383" i="3"/>
  <c r="AB367" i="3"/>
  <c r="AB351" i="3"/>
  <c r="AB335" i="3"/>
  <c r="AB319" i="3"/>
  <c r="AB303" i="3"/>
  <c r="AB287" i="3"/>
  <c r="AB271" i="3"/>
  <c r="AB255" i="3"/>
  <c r="AB239" i="3"/>
  <c r="AB223" i="3"/>
  <c r="AB207" i="3"/>
  <c r="AB191" i="3"/>
  <c r="AB175" i="3"/>
  <c r="AB159" i="3"/>
  <c r="AB143" i="3"/>
  <c r="AB110" i="3"/>
  <c r="AB47" i="3"/>
  <c r="I509" i="4"/>
  <c r="I357" i="4"/>
  <c r="I223" i="4"/>
  <c r="I31" i="4"/>
  <c r="D32" i="4"/>
  <c r="AI32" i="3" s="1"/>
  <c r="AI20" i="3"/>
  <c r="AB140" i="3"/>
  <c r="AB123" i="3"/>
  <c r="AB95" i="3"/>
  <c r="AB66" i="3"/>
  <c r="AB13" i="3"/>
  <c r="I503" i="4"/>
  <c r="I430" i="4"/>
  <c r="I341" i="4"/>
  <c r="I255" i="4"/>
  <c r="I181" i="4"/>
  <c r="I74" i="4"/>
  <c r="AB437" i="6"/>
  <c r="AB200" i="6"/>
  <c r="AI10" i="6"/>
  <c r="AB139" i="3"/>
  <c r="AB122" i="3"/>
  <c r="AB94" i="3"/>
  <c r="AB63" i="3"/>
  <c r="AB11" i="3"/>
  <c r="I501" i="4"/>
  <c r="I414" i="4"/>
  <c r="I335" i="4"/>
  <c r="I254" i="4"/>
  <c r="I175" i="4"/>
  <c r="I71" i="4"/>
  <c r="AB424" i="6"/>
  <c r="AB177" i="6"/>
  <c r="AI10" i="3"/>
  <c r="AB164" i="6"/>
  <c r="AB137" i="3"/>
  <c r="AB118" i="3"/>
  <c r="AB91" i="3"/>
  <c r="AB61" i="3"/>
  <c r="AB5" i="3"/>
  <c r="I493" i="4"/>
  <c r="I407" i="4"/>
  <c r="I333" i="4"/>
  <c r="I245" i="4"/>
  <c r="I156" i="4"/>
  <c r="I46" i="4"/>
  <c r="AB405" i="6"/>
  <c r="AB149" i="6"/>
  <c r="I43" i="4"/>
  <c r="AB385" i="6"/>
  <c r="AB53" i="6"/>
  <c r="AB369" i="6"/>
  <c r="AB51" i="6"/>
  <c r="AB359" i="6"/>
  <c r="AB4" i="6"/>
  <c r="AB133" i="3"/>
  <c r="AB111" i="3"/>
  <c r="AB85" i="3"/>
  <c r="AB45" i="3"/>
  <c r="I463" i="4"/>
  <c r="I389" i="4"/>
  <c r="I303" i="4"/>
  <c r="I229" i="4"/>
  <c r="I138" i="4"/>
  <c r="AB349" i="6"/>
  <c r="AB131" i="3"/>
  <c r="AB109" i="3"/>
  <c r="AB79" i="3"/>
  <c r="AB39" i="3"/>
  <c r="I541" i="4"/>
  <c r="I461" i="4"/>
  <c r="I382" i="4"/>
  <c r="I295" i="4"/>
  <c r="I207" i="4"/>
  <c r="I127" i="4"/>
  <c r="I15" i="4"/>
  <c r="AB327" i="6"/>
  <c r="AI9" i="6"/>
  <c r="AB129" i="3"/>
  <c r="AB106" i="3"/>
  <c r="AB77" i="3"/>
  <c r="AB31" i="3"/>
  <c r="I533" i="4"/>
  <c r="I447" i="4"/>
  <c r="I365" i="4"/>
  <c r="I286" i="4"/>
  <c r="I205" i="4"/>
  <c r="I118" i="4"/>
  <c r="AB513" i="6"/>
  <c r="AB271" i="6"/>
  <c r="AI9" i="3"/>
  <c r="AB128" i="3"/>
  <c r="AB103" i="3"/>
  <c r="AB75" i="3"/>
  <c r="AB30" i="3"/>
  <c r="I517" i="4"/>
  <c r="I445" i="4"/>
  <c r="I359" i="4"/>
  <c r="I285" i="4"/>
  <c r="I199" i="4"/>
  <c r="I117" i="4"/>
  <c r="AB504" i="6"/>
  <c r="AB266" i="6"/>
  <c r="R12" i="3"/>
  <c r="R24" i="3" s="1"/>
  <c r="R36" i="3" s="1"/>
  <c r="R48" i="3" s="1"/>
  <c r="R60" i="3" s="1"/>
  <c r="R72" i="3" s="1"/>
  <c r="R84" i="3" s="1"/>
  <c r="R96" i="3" s="1"/>
  <c r="R108" i="3" s="1"/>
  <c r="R120" i="3" s="1"/>
  <c r="R132" i="3" s="1"/>
  <c r="R144" i="3" s="1"/>
  <c r="R156" i="3" s="1"/>
  <c r="R168" i="3" s="1"/>
  <c r="R180" i="3" s="1"/>
  <c r="R192" i="3" s="1"/>
  <c r="R204" i="3" s="1"/>
  <c r="R216" i="3" s="1"/>
  <c r="R228" i="3" s="1"/>
  <c r="R240" i="3" s="1"/>
  <c r="R252" i="3" s="1"/>
  <c r="R264" i="3" s="1"/>
  <c r="R276" i="3" s="1"/>
  <c r="R288" i="3" s="1"/>
  <c r="R300" i="3" s="1"/>
  <c r="R312" i="3" s="1"/>
  <c r="R324" i="3" s="1"/>
  <c r="R336" i="3" s="1"/>
  <c r="R348" i="3" s="1"/>
  <c r="R360" i="3" s="1"/>
  <c r="R372" i="3" s="1"/>
  <c r="R384" i="3" s="1"/>
  <c r="R396" i="3" s="1"/>
  <c r="R408" i="3" s="1"/>
  <c r="R420" i="3" s="1"/>
  <c r="R432" i="3" s="1"/>
  <c r="R444" i="3" s="1"/>
  <c r="R456" i="3" s="1"/>
  <c r="R468" i="3" s="1"/>
  <c r="R480" i="3" s="1"/>
  <c r="R492" i="3" s="1"/>
  <c r="R504" i="3" s="1"/>
  <c r="R516" i="3" s="1"/>
  <c r="R528" i="3" s="1"/>
  <c r="R540" i="3" s="1"/>
  <c r="D33" i="4"/>
  <c r="AI33" i="6" s="1"/>
  <c r="AI21" i="6"/>
  <c r="AI21" i="3"/>
  <c r="AI20" i="6"/>
  <c r="AB20" i="6"/>
  <c r="I453" i="4"/>
  <c r="I399" i="4"/>
  <c r="I350" i="4"/>
  <c r="I301" i="4"/>
  <c r="I247" i="4"/>
  <c r="I197" i="4"/>
  <c r="I139" i="4"/>
  <c r="I72" i="4"/>
  <c r="AB541" i="6"/>
  <c r="AB403" i="6"/>
  <c r="AB244" i="6"/>
  <c r="AB34" i="3"/>
  <c r="I495" i="4"/>
  <c r="I446" i="4"/>
  <c r="I397" i="4"/>
  <c r="I343" i="4"/>
  <c r="I293" i="4"/>
  <c r="I239" i="4"/>
  <c r="I190" i="4"/>
  <c r="I137" i="4"/>
  <c r="I61" i="4"/>
  <c r="AB522" i="6"/>
  <c r="AB381" i="6"/>
  <c r="AB228" i="6"/>
  <c r="AB21" i="3"/>
  <c r="I527" i="4"/>
  <c r="I478" i="4"/>
  <c r="I429" i="4"/>
  <c r="I375" i="4"/>
  <c r="I325" i="4"/>
  <c r="I271" i="4"/>
  <c r="I222" i="4"/>
  <c r="I173" i="4"/>
  <c r="I111" i="4"/>
  <c r="D25" i="4"/>
  <c r="D37" i="4" s="1"/>
  <c r="AI37" i="6" s="1"/>
  <c r="AB472" i="6"/>
  <c r="AB324" i="6"/>
  <c r="AB133" i="6"/>
  <c r="R11" i="3"/>
  <c r="R23" i="3" s="1"/>
  <c r="R35" i="3" s="1"/>
  <c r="R47" i="3" s="1"/>
  <c r="R59" i="3" s="1"/>
  <c r="R71" i="3" s="1"/>
  <c r="R83" i="3" s="1"/>
  <c r="R95" i="3" s="1"/>
  <c r="R107" i="3" s="1"/>
  <c r="R119" i="3" s="1"/>
  <c r="R131" i="3" s="1"/>
  <c r="R143" i="3" s="1"/>
  <c r="R155" i="3" s="1"/>
  <c r="R167" i="3" s="1"/>
  <c r="R179" i="3" s="1"/>
  <c r="R191" i="3" s="1"/>
  <c r="R203" i="3" s="1"/>
  <c r="R215" i="3" s="1"/>
  <c r="R227" i="3" s="1"/>
  <c r="R239" i="3" s="1"/>
  <c r="R251" i="3" s="1"/>
  <c r="R263" i="3" s="1"/>
  <c r="R275" i="3" s="1"/>
  <c r="R287" i="3" s="1"/>
  <c r="R299" i="3" s="1"/>
  <c r="R311" i="3" s="1"/>
  <c r="R323" i="3" s="1"/>
  <c r="R335" i="3" s="1"/>
  <c r="R347" i="3" s="1"/>
  <c r="R359" i="3" s="1"/>
  <c r="R371" i="3" s="1"/>
  <c r="R383" i="3" s="1"/>
  <c r="R395" i="3" s="1"/>
  <c r="R407" i="3" s="1"/>
  <c r="R419" i="3" s="1"/>
  <c r="R431" i="3" s="1"/>
  <c r="R443" i="3" s="1"/>
  <c r="R455" i="3" s="1"/>
  <c r="R467" i="3" s="1"/>
  <c r="R479" i="3" s="1"/>
  <c r="R491" i="3" s="1"/>
  <c r="R503" i="3" s="1"/>
  <c r="R515" i="3" s="1"/>
  <c r="R527" i="3" s="1"/>
  <c r="R539" i="3" s="1"/>
  <c r="AB55" i="3"/>
  <c r="AB18" i="3"/>
  <c r="I526" i="4"/>
  <c r="I477" i="4"/>
  <c r="I423" i="4"/>
  <c r="I373" i="4"/>
  <c r="I319" i="4"/>
  <c r="I270" i="4"/>
  <c r="I221" i="4"/>
  <c r="I165" i="4"/>
  <c r="I109" i="4"/>
  <c r="I4" i="4"/>
  <c r="AB463" i="6"/>
  <c r="AB311" i="6"/>
  <c r="AB111" i="6"/>
  <c r="R9" i="3"/>
  <c r="R21" i="3" s="1"/>
  <c r="R33" i="3" s="1"/>
  <c r="R45" i="3" s="1"/>
  <c r="R57" i="3" s="1"/>
  <c r="R69" i="3" s="1"/>
  <c r="R81" i="3" s="1"/>
  <c r="R93" i="3" s="1"/>
  <c r="R105" i="3" s="1"/>
  <c r="R117" i="3" s="1"/>
  <c r="R129" i="3" s="1"/>
  <c r="R141" i="3" s="1"/>
  <c r="R153" i="3" s="1"/>
  <c r="R165" i="3" s="1"/>
  <c r="R177" i="3" s="1"/>
  <c r="R189" i="3" s="1"/>
  <c r="R201" i="3" s="1"/>
  <c r="R213" i="3" s="1"/>
  <c r="R225" i="3" s="1"/>
  <c r="R237" i="3" s="1"/>
  <c r="R249" i="3" s="1"/>
  <c r="R261" i="3" s="1"/>
  <c r="R273" i="3" s="1"/>
  <c r="R285" i="3" s="1"/>
  <c r="R297" i="3" s="1"/>
  <c r="R309" i="3" s="1"/>
  <c r="R321" i="3" s="1"/>
  <c r="R333" i="3" s="1"/>
  <c r="R345" i="3" s="1"/>
  <c r="R357" i="3" s="1"/>
  <c r="R369" i="3" s="1"/>
  <c r="R381" i="3" s="1"/>
  <c r="R393" i="3" s="1"/>
  <c r="R405" i="3" s="1"/>
  <c r="R417" i="3" s="1"/>
  <c r="R429" i="3" s="1"/>
  <c r="R441" i="3" s="1"/>
  <c r="R453" i="3" s="1"/>
  <c r="R465" i="3" s="1"/>
  <c r="R477" i="3" s="1"/>
  <c r="R489" i="3" s="1"/>
  <c r="R501" i="3" s="1"/>
  <c r="R513" i="3" s="1"/>
  <c r="R525" i="3" s="1"/>
  <c r="R537" i="3" s="1"/>
  <c r="AB53" i="3"/>
  <c r="AB15" i="3"/>
  <c r="I525" i="4"/>
  <c r="I471" i="4"/>
  <c r="I421" i="4"/>
  <c r="I367" i="4"/>
  <c r="I318" i="4"/>
  <c r="I269" i="4"/>
  <c r="I215" i="4"/>
  <c r="I163" i="4"/>
  <c r="I101" i="4"/>
  <c r="I22" i="4"/>
  <c r="AB458" i="6"/>
  <c r="AB303" i="6"/>
  <c r="AB104" i="6"/>
  <c r="AB50" i="3"/>
  <c r="AB14" i="3"/>
  <c r="I519" i="4"/>
  <c r="I469" i="4"/>
  <c r="I415" i="4"/>
  <c r="I366" i="4"/>
  <c r="I317" i="4"/>
  <c r="I263" i="4"/>
  <c r="I213" i="4"/>
  <c r="I157" i="4"/>
  <c r="I100" i="4"/>
  <c r="AB440" i="6"/>
  <c r="AB292" i="6"/>
  <c r="AB79" i="6"/>
  <c r="R8" i="3"/>
  <c r="R20" i="3" s="1"/>
  <c r="R32" i="3" s="1"/>
  <c r="R44" i="3" s="1"/>
  <c r="R56" i="3" s="1"/>
  <c r="R68" i="3" s="1"/>
  <c r="R80" i="3" s="1"/>
  <c r="R92" i="3" s="1"/>
  <c r="R104" i="3" s="1"/>
  <c r="R116" i="3" s="1"/>
  <c r="R128" i="3" s="1"/>
  <c r="R140" i="3" s="1"/>
  <c r="R152" i="3" s="1"/>
  <c r="R164" i="3" s="1"/>
  <c r="R176" i="3" s="1"/>
  <c r="R188" i="3" s="1"/>
  <c r="R200" i="3" s="1"/>
  <c r="R212" i="3" s="1"/>
  <c r="R224" i="3" s="1"/>
  <c r="R236" i="3" s="1"/>
  <c r="R248" i="3" s="1"/>
  <c r="R260" i="3" s="1"/>
  <c r="R272" i="3" s="1"/>
  <c r="R284" i="3" s="1"/>
  <c r="R296" i="3" s="1"/>
  <c r="R308" i="3" s="1"/>
  <c r="R320" i="3" s="1"/>
  <c r="R332" i="3" s="1"/>
  <c r="R344" i="3" s="1"/>
  <c r="R356" i="3" s="1"/>
  <c r="R368" i="3" s="1"/>
  <c r="R380" i="3" s="1"/>
  <c r="R392" i="3" s="1"/>
  <c r="R404" i="3" s="1"/>
  <c r="R416" i="3" s="1"/>
  <c r="R428" i="3" s="1"/>
  <c r="R440" i="3" s="1"/>
  <c r="R452" i="3" s="1"/>
  <c r="R464" i="3" s="1"/>
  <c r="R476" i="3" s="1"/>
  <c r="R488" i="3" s="1"/>
  <c r="R500" i="3" s="1"/>
  <c r="R512" i="3" s="1"/>
  <c r="R524" i="3" s="1"/>
  <c r="R536" i="3" s="1"/>
  <c r="D28" i="4"/>
  <c r="AI28" i="6" s="1"/>
  <c r="AI16" i="3"/>
  <c r="AI16" i="6"/>
  <c r="I45" i="4"/>
  <c r="I23" i="4"/>
  <c r="I10" i="4"/>
  <c r="AB511" i="6"/>
  <c r="AB474" i="6"/>
  <c r="AB439" i="6"/>
  <c r="AB404" i="6"/>
  <c r="AB360" i="6"/>
  <c r="AB325" i="6"/>
  <c r="AB291" i="6"/>
  <c r="AB245" i="6"/>
  <c r="AB205" i="6"/>
  <c r="AB163" i="6"/>
  <c r="AB109" i="6"/>
  <c r="AB52" i="6"/>
  <c r="AB124" i="3"/>
  <c r="AB108" i="3"/>
  <c r="AB92" i="3"/>
  <c r="AB76" i="3"/>
  <c r="AB60" i="3"/>
  <c r="AB44" i="3"/>
  <c r="AB28" i="3"/>
  <c r="AB12" i="3"/>
  <c r="I540" i="4"/>
  <c r="I524" i="4"/>
  <c r="I508" i="4"/>
  <c r="I492" i="4"/>
  <c r="I476" i="4"/>
  <c r="I460" i="4"/>
  <c r="I444" i="4"/>
  <c r="I428" i="4"/>
  <c r="I412" i="4"/>
  <c r="I396" i="4"/>
  <c r="I380" i="4"/>
  <c r="I364" i="4"/>
  <c r="I348" i="4"/>
  <c r="I332" i="4"/>
  <c r="I316" i="4"/>
  <c r="I300" i="4"/>
  <c r="I284" i="4"/>
  <c r="I268" i="4"/>
  <c r="I252" i="4"/>
  <c r="I236" i="4"/>
  <c r="I220" i="4"/>
  <c r="I204" i="4"/>
  <c r="I188" i="4"/>
  <c r="I172" i="4"/>
  <c r="I154" i="4"/>
  <c r="I134" i="4"/>
  <c r="I116" i="4"/>
  <c r="I98" i="4"/>
  <c r="I70" i="4"/>
  <c r="I42" i="4"/>
  <c r="I21" i="4"/>
  <c r="I9" i="4"/>
  <c r="AB538" i="6"/>
  <c r="AB503" i="6"/>
  <c r="AB471" i="6"/>
  <c r="AB436" i="6"/>
  <c r="AB401" i="6"/>
  <c r="AB357" i="6"/>
  <c r="AB323" i="6"/>
  <c r="AB287" i="6"/>
  <c r="AB243" i="6"/>
  <c r="AB199" i="6"/>
  <c r="AB148" i="6"/>
  <c r="AB103" i="6"/>
  <c r="AB49" i="6"/>
  <c r="AI23" i="6"/>
  <c r="I539" i="4"/>
  <c r="I523" i="4"/>
  <c r="I507" i="4"/>
  <c r="I491" i="4"/>
  <c r="I475" i="4"/>
  <c r="I459" i="4"/>
  <c r="I443" i="4"/>
  <c r="I427" i="4"/>
  <c r="I411" i="4"/>
  <c r="I395" i="4"/>
  <c r="I379" i="4"/>
  <c r="I363" i="4"/>
  <c r="I347" i="4"/>
  <c r="I331" i="4"/>
  <c r="I315" i="4"/>
  <c r="I299" i="4"/>
  <c r="I283" i="4"/>
  <c r="I267" i="4"/>
  <c r="I251" i="4"/>
  <c r="I235" i="4"/>
  <c r="I219" i="4"/>
  <c r="I203" i="4"/>
  <c r="I187" i="4"/>
  <c r="I171" i="4"/>
  <c r="I153" i="4"/>
  <c r="I133" i="4"/>
  <c r="I115" i="4"/>
  <c r="I96" i="4"/>
  <c r="I68" i="4"/>
  <c r="I41" i="4"/>
  <c r="AB533" i="6"/>
  <c r="AB501" i="6"/>
  <c r="AB469" i="6"/>
  <c r="AB435" i="6"/>
  <c r="AB397" i="6"/>
  <c r="AB356" i="6"/>
  <c r="AB321" i="6"/>
  <c r="AB282" i="6"/>
  <c r="AB241" i="6"/>
  <c r="AB197" i="6"/>
  <c r="AB147" i="6"/>
  <c r="AB101" i="6"/>
  <c r="AB47" i="6"/>
  <c r="AI23" i="3"/>
  <c r="AB74" i="3"/>
  <c r="AB58" i="3"/>
  <c r="AB42" i="3"/>
  <c r="AB26" i="3"/>
  <c r="AB10" i="3"/>
  <c r="I538" i="4"/>
  <c r="I522" i="4"/>
  <c r="I506" i="4"/>
  <c r="I490" i="4"/>
  <c r="I474" i="4"/>
  <c r="I458" i="4"/>
  <c r="I442" i="4"/>
  <c r="I426" i="4"/>
  <c r="I410" i="4"/>
  <c r="I394" i="4"/>
  <c r="I378" i="4"/>
  <c r="I362" i="4"/>
  <c r="I346" i="4"/>
  <c r="I330" i="4"/>
  <c r="I314" i="4"/>
  <c r="I298" i="4"/>
  <c r="I282" i="4"/>
  <c r="I266" i="4"/>
  <c r="I250" i="4"/>
  <c r="I234" i="4"/>
  <c r="I218" i="4"/>
  <c r="I202" i="4"/>
  <c r="I186" i="4"/>
  <c r="I170" i="4"/>
  <c r="I150" i="4"/>
  <c r="I132" i="4"/>
  <c r="I114" i="4"/>
  <c r="I93" i="4"/>
  <c r="I66" i="4"/>
  <c r="I38" i="4"/>
  <c r="I20" i="4"/>
  <c r="AB532" i="6"/>
  <c r="AB500" i="6"/>
  <c r="AB468" i="6"/>
  <c r="AB433" i="6"/>
  <c r="AB389" i="6"/>
  <c r="AB355" i="6"/>
  <c r="AB319" i="6"/>
  <c r="AB276" i="6"/>
  <c r="AB239" i="6"/>
  <c r="AB196" i="6"/>
  <c r="AB145" i="6"/>
  <c r="AB100" i="6"/>
  <c r="AB45" i="6"/>
  <c r="AB121" i="3"/>
  <c r="AB105" i="3"/>
  <c r="AB89" i="3"/>
  <c r="AB73" i="3"/>
  <c r="AB57" i="3"/>
  <c r="AB41" i="3"/>
  <c r="AB25" i="3"/>
  <c r="AB9" i="3"/>
  <c r="I537" i="4"/>
  <c r="I521" i="4"/>
  <c r="I505" i="4"/>
  <c r="I489" i="4"/>
  <c r="I473" i="4"/>
  <c r="I457" i="4"/>
  <c r="I441" i="4"/>
  <c r="I425" i="4"/>
  <c r="I409" i="4"/>
  <c r="I393" i="4"/>
  <c r="I377" i="4"/>
  <c r="I361" i="4"/>
  <c r="I345" i="4"/>
  <c r="I329" i="4"/>
  <c r="I313" i="4"/>
  <c r="I297" i="4"/>
  <c r="I281" i="4"/>
  <c r="I265" i="4"/>
  <c r="I249" i="4"/>
  <c r="I233" i="4"/>
  <c r="I217" i="4"/>
  <c r="I201" i="4"/>
  <c r="I185" i="4"/>
  <c r="I169" i="4"/>
  <c r="I149" i="4"/>
  <c r="I131" i="4"/>
  <c r="I113" i="4"/>
  <c r="I92" i="4"/>
  <c r="I64" i="4"/>
  <c r="I36" i="4"/>
  <c r="I7" i="4"/>
  <c r="AB531" i="6"/>
  <c r="AB499" i="6"/>
  <c r="AB467" i="6"/>
  <c r="AB431" i="6"/>
  <c r="AB388" i="6"/>
  <c r="AB353" i="6"/>
  <c r="AB317" i="6"/>
  <c r="AB275" i="6"/>
  <c r="AB237" i="6"/>
  <c r="AB195" i="6"/>
  <c r="AB143" i="6"/>
  <c r="AB85" i="6"/>
  <c r="AB40" i="6"/>
  <c r="AB120" i="3"/>
  <c r="AB104" i="3"/>
  <c r="AB88" i="3"/>
  <c r="AB72" i="3"/>
  <c r="AB56" i="3"/>
  <c r="AB40" i="3"/>
  <c r="AB24" i="3"/>
  <c r="AB8" i="3"/>
  <c r="I536" i="4"/>
  <c r="I520" i="4"/>
  <c r="I504" i="4"/>
  <c r="I488" i="4"/>
  <c r="I472" i="4"/>
  <c r="I456" i="4"/>
  <c r="I440" i="4"/>
  <c r="I424" i="4"/>
  <c r="I408" i="4"/>
  <c r="I392" i="4"/>
  <c r="I376" i="4"/>
  <c r="I360" i="4"/>
  <c r="I344" i="4"/>
  <c r="I328" i="4"/>
  <c r="I312" i="4"/>
  <c r="I296" i="4"/>
  <c r="I280" i="4"/>
  <c r="I264" i="4"/>
  <c r="I248" i="4"/>
  <c r="I232" i="4"/>
  <c r="I216" i="4"/>
  <c r="I200" i="4"/>
  <c r="I184" i="4"/>
  <c r="I166" i="4"/>
  <c r="I148" i="4"/>
  <c r="I130" i="4"/>
  <c r="I112" i="4"/>
  <c r="I91" i="4"/>
  <c r="I62" i="4"/>
  <c r="D36" i="4"/>
  <c r="I17" i="4"/>
  <c r="AB529" i="6"/>
  <c r="AB497" i="6"/>
  <c r="AB465" i="6"/>
  <c r="AB429" i="6"/>
  <c r="AB387" i="6"/>
  <c r="AB351" i="6"/>
  <c r="AB314" i="6"/>
  <c r="AB273" i="6"/>
  <c r="AB232" i="6"/>
  <c r="AB181" i="6"/>
  <c r="AB141" i="6"/>
  <c r="AB84" i="6"/>
  <c r="AB39" i="6"/>
  <c r="AB180" i="6"/>
  <c r="AB136" i="6"/>
  <c r="AB83" i="6"/>
  <c r="AB37" i="6"/>
  <c r="AB54" i="3"/>
  <c r="AB38" i="3"/>
  <c r="AB22" i="3"/>
  <c r="AB6" i="3"/>
  <c r="I534" i="4"/>
  <c r="I518" i="4"/>
  <c r="I502" i="4"/>
  <c r="I486" i="4"/>
  <c r="I470" i="4"/>
  <c r="I454" i="4"/>
  <c r="I438" i="4"/>
  <c r="I422" i="4"/>
  <c r="I406" i="4"/>
  <c r="I390" i="4"/>
  <c r="I374" i="4"/>
  <c r="I358" i="4"/>
  <c r="I342" i="4"/>
  <c r="I326" i="4"/>
  <c r="I310" i="4"/>
  <c r="I294" i="4"/>
  <c r="I278" i="4"/>
  <c r="I262" i="4"/>
  <c r="I246" i="4"/>
  <c r="I230" i="4"/>
  <c r="I214" i="4"/>
  <c r="I198" i="4"/>
  <c r="I182" i="4"/>
  <c r="I164" i="4"/>
  <c r="I146" i="4"/>
  <c r="I128" i="4"/>
  <c r="I110" i="4"/>
  <c r="I88" i="4"/>
  <c r="I60" i="4"/>
  <c r="AB525" i="6"/>
  <c r="AB493" i="6"/>
  <c r="AB461" i="6"/>
  <c r="AB419" i="6"/>
  <c r="AB383" i="6"/>
  <c r="AB346" i="6"/>
  <c r="AB305" i="6"/>
  <c r="AB269" i="6"/>
  <c r="AB229" i="6"/>
  <c r="AB179" i="6"/>
  <c r="AB135" i="6"/>
  <c r="AB81" i="6"/>
  <c r="AB36" i="6"/>
  <c r="AI11" i="6"/>
  <c r="AB100" i="3"/>
  <c r="AB84" i="3"/>
  <c r="AB68" i="3"/>
  <c r="AB52" i="3"/>
  <c r="AB36" i="3"/>
  <c r="AB20" i="3"/>
  <c r="AB4" i="3"/>
  <c r="I532" i="4"/>
  <c r="I516" i="4"/>
  <c r="I500" i="4"/>
  <c r="I484" i="4"/>
  <c r="I468" i="4"/>
  <c r="I452" i="4"/>
  <c r="I436" i="4"/>
  <c r="I420" i="4"/>
  <c r="I404" i="4"/>
  <c r="I388" i="4"/>
  <c r="I372" i="4"/>
  <c r="I356" i="4"/>
  <c r="I340" i="4"/>
  <c r="I324" i="4"/>
  <c r="I308" i="4"/>
  <c r="I292" i="4"/>
  <c r="I276" i="4"/>
  <c r="I260" i="4"/>
  <c r="I244" i="4"/>
  <c r="I228" i="4"/>
  <c r="I212" i="4"/>
  <c r="I196" i="4"/>
  <c r="I180" i="4"/>
  <c r="I162" i="4"/>
  <c r="I144" i="4"/>
  <c r="I126" i="4"/>
  <c r="I108" i="4"/>
  <c r="I86" i="4"/>
  <c r="I55" i="4"/>
  <c r="I30" i="4"/>
  <c r="AB520" i="6"/>
  <c r="AB488" i="6"/>
  <c r="AB456" i="6"/>
  <c r="AB415" i="6"/>
  <c r="AB378" i="6"/>
  <c r="AB343" i="6"/>
  <c r="AB301" i="6"/>
  <c r="AB264" i="6"/>
  <c r="AB227" i="6"/>
  <c r="AB175" i="6"/>
  <c r="AB132" i="6"/>
  <c r="AB77" i="6"/>
  <c r="AB19" i="6"/>
  <c r="AI24" i="3"/>
  <c r="AB115" i="3"/>
  <c r="AB99" i="3"/>
  <c r="AB83" i="3"/>
  <c r="AB67" i="3"/>
  <c r="AB51" i="3"/>
  <c r="AB35" i="3"/>
  <c r="AB19" i="3"/>
  <c r="AB3" i="3"/>
  <c r="I531" i="4"/>
  <c r="I515" i="4"/>
  <c r="I499" i="4"/>
  <c r="I483" i="4"/>
  <c r="I467" i="4"/>
  <c r="I451" i="4"/>
  <c r="I435" i="4"/>
  <c r="I419" i="4"/>
  <c r="I403" i="4"/>
  <c r="I387" i="4"/>
  <c r="I371" i="4"/>
  <c r="I355" i="4"/>
  <c r="I339" i="4"/>
  <c r="I323" i="4"/>
  <c r="I307" i="4"/>
  <c r="I291" i="4"/>
  <c r="I275" i="4"/>
  <c r="I259" i="4"/>
  <c r="I243" i="4"/>
  <c r="I227" i="4"/>
  <c r="I211" i="4"/>
  <c r="I195" i="4"/>
  <c r="I179" i="4"/>
  <c r="I161" i="4"/>
  <c r="I143" i="4"/>
  <c r="I125" i="4"/>
  <c r="I107" i="4"/>
  <c r="I84" i="4"/>
  <c r="I53" i="4"/>
  <c r="I29" i="4"/>
  <c r="I3" i="4"/>
  <c r="AB519" i="6"/>
  <c r="AB487" i="6"/>
  <c r="AB453" i="6"/>
  <c r="AB413" i="6"/>
  <c r="AB376" i="6"/>
  <c r="AB340" i="6"/>
  <c r="AB298" i="6"/>
  <c r="AB263" i="6"/>
  <c r="AB213" i="6"/>
  <c r="AB173" i="6"/>
  <c r="AB117" i="6"/>
  <c r="AB72" i="6"/>
  <c r="AB17" i="6"/>
  <c r="I530" i="4"/>
  <c r="I514" i="4"/>
  <c r="I498" i="4"/>
  <c r="I482" i="4"/>
  <c r="I466" i="4"/>
  <c r="I450" i="4"/>
  <c r="I434" i="4"/>
  <c r="I418" i="4"/>
  <c r="I402" i="4"/>
  <c r="I386" i="4"/>
  <c r="I370" i="4"/>
  <c r="I354" i="4"/>
  <c r="I338" i="4"/>
  <c r="I322" i="4"/>
  <c r="I306" i="4"/>
  <c r="I290" i="4"/>
  <c r="I274" i="4"/>
  <c r="I258" i="4"/>
  <c r="I242" i="4"/>
  <c r="I226" i="4"/>
  <c r="I210" i="4"/>
  <c r="I194" i="4"/>
  <c r="I178" i="4"/>
  <c r="I160" i="4"/>
  <c r="I142" i="4"/>
  <c r="I124" i="4"/>
  <c r="I106" i="4"/>
  <c r="I77" i="4"/>
  <c r="I50" i="4"/>
  <c r="I12" i="4"/>
  <c r="AB517" i="6"/>
  <c r="AB485" i="6"/>
  <c r="AB447" i="6"/>
  <c r="AB410" i="6"/>
  <c r="AB375" i="6"/>
  <c r="AB333" i="6"/>
  <c r="AB296" i="6"/>
  <c r="AB261" i="6"/>
  <c r="AB212" i="6"/>
  <c r="AB168" i="6"/>
  <c r="AB116" i="6"/>
  <c r="AB71" i="6"/>
  <c r="AB8" i="6"/>
  <c r="R12" i="6"/>
  <c r="R24" i="6" s="1"/>
  <c r="R36" i="6" s="1"/>
  <c r="R48" i="6" s="1"/>
  <c r="R60" i="6" s="1"/>
  <c r="R72" i="6" s="1"/>
  <c r="R84" i="6" s="1"/>
  <c r="R96" i="6" s="1"/>
  <c r="R108" i="6" s="1"/>
  <c r="R120" i="6" s="1"/>
  <c r="R132" i="6" s="1"/>
  <c r="R144" i="6" s="1"/>
  <c r="R156" i="6" s="1"/>
  <c r="R168" i="6" s="1"/>
  <c r="R180" i="6" s="1"/>
  <c r="R192" i="6" s="1"/>
  <c r="R204" i="6" s="1"/>
  <c r="R216" i="6" s="1"/>
  <c r="R228" i="6" s="1"/>
  <c r="R240" i="6" s="1"/>
  <c r="R252" i="6" s="1"/>
  <c r="R264" i="6" s="1"/>
  <c r="R276" i="6" s="1"/>
  <c r="R288" i="6" s="1"/>
  <c r="R300" i="6" s="1"/>
  <c r="R312" i="6" s="1"/>
  <c r="R324" i="6" s="1"/>
  <c r="R336" i="6" s="1"/>
  <c r="R348" i="6" s="1"/>
  <c r="R360" i="6" s="1"/>
  <c r="R372" i="6" s="1"/>
  <c r="R384" i="6" s="1"/>
  <c r="R396" i="6" s="1"/>
  <c r="R408" i="6" s="1"/>
  <c r="R420" i="6" s="1"/>
  <c r="R432" i="6" s="1"/>
  <c r="R444" i="6" s="1"/>
  <c r="R456" i="6" s="1"/>
  <c r="R468" i="6" s="1"/>
  <c r="R480" i="6" s="1"/>
  <c r="R492" i="6" s="1"/>
  <c r="R504" i="6" s="1"/>
  <c r="R516" i="6" s="1"/>
  <c r="R528" i="6" s="1"/>
  <c r="R540" i="6" s="1"/>
  <c r="AB113" i="3"/>
  <c r="AB97" i="3"/>
  <c r="AB81" i="3"/>
  <c r="AB65" i="3"/>
  <c r="AB49" i="3"/>
  <c r="AB33" i="3"/>
  <c r="AB17" i="3"/>
  <c r="I529" i="4"/>
  <c r="I513" i="4"/>
  <c r="I497" i="4"/>
  <c r="I481" i="4"/>
  <c r="I465" i="4"/>
  <c r="I449" i="4"/>
  <c r="I433" i="4"/>
  <c r="I417" i="4"/>
  <c r="I401" i="4"/>
  <c r="I385" i="4"/>
  <c r="I369" i="4"/>
  <c r="I353" i="4"/>
  <c r="I337" i="4"/>
  <c r="I321" i="4"/>
  <c r="I305" i="4"/>
  <c r="I289" i="4"/>
  <c r="I273" i="4"/>
  <c r="I257" i="4"/>
  <c r="I241" i="4"/>
  <c r="I225" i="4"/>
  <c r="I209" i="4"/>
  <c r="I193" i="4"/>
  <c r="I177" i="4"/>
  <c r="I159" i="4"/>
  <c r="I141" i="4"/>
  <c r="I123" i="4"/>
  <c r="I105" i="4"/>
  <c r="I76" i="4"/>
  <c r="I26" i="4"/>
  <c r="AB516" i="6"/>
  <c r="AB484" i="6"/>
  <c r="AB445" i="6"/>
  <c r="AB408" i="6"/>
  <c r="AB373" i="6"/>
  <c r="AB330" i="6"/>
  <c r="AB295" i="6"/>
  <c r="AB260" i="6"/>
  <c r="AB211" i="6"/>
  <c r="AB167" i="6"/>
  <c r="AB115" i="6"/>
  <c r="AB69" i="6"/>
  <c r="AB7" i="6"/>
  <c r="R11" i="6"/>
  <c r="R23" i="6" s="1"/>
  <c r="R35" i="6" s="1"/>
  <c r="R47" i="6" s="1"/>
  <c r="R59" i="6" s="1"/>
  <c r="R71" i="6" s="1"/>
  <c r="R83" i="6" s="1"/>
  <c r="R95" i="6" s="1"/>
  <c r="R107" i="6" s="1"/>
  <c r="R119" i="6" s="1"/>
  <c r="R131" i="6" s="1"/>
  <c r="R143" i="6" s="1"/>
  <c r="R155" i="6" s="1"/>
  <c r="R167" i="6" s="1"/>
  <c r="R179" i="6" s="1"/>
  <c r="R191" i="6" s="1"/>
  <c r="R203" i="6" s="1"/>
  <c r="R215" i="6" s="1"/>
  <c r="R227" i="6" s="1"/>
  <c r="R239" i="6" s="1"/>
  <c r="R251" i="6" s="1"/>
  <c r="R263" i="6" s="1"/>
  <c r="R275" i="6" s="1"/>
  <c r="R287" i="6" s="1"/>
  <c r="R299" i="6" s="1"/>
  <c r="R311" i="6" s="1"/>
  <c r="R323" i="6" s="1"/>
  <c r="R335" i="6" s="1"/>
  <c r="R347" i="6" s="1"/>
  <c r="R359" i="6" s="1"/>
  <c r="R371" i="6" s="1"/>
  <c r="R383" i="6" s="1"/>
  <c r="R395" i="6" s="1"/>
  <c r="R407" i="6" s="1"/>
  <c r="R419" i="6" s="1"/>
  <c r="R431" i="6" s="1"/>
  <c r="R443" i="6" s="1"/>
  <c r="R455" i="6" s="1"/>
  <c r="R467" i="6" s="1"/>
  <c r="R479" i="6" s="1"/>
  <c r="R491" i="6" s="1"/>
  <c r="R503" i="6" s="1"/>
  <c r="R515" i="6" s="1"/>
  <c r="R527" i="6" s="1"/>
  <c r="R539" i="6" s="1"/>
  <c r="AB112" i="3"/>
  <c r="AB96" i="3"/>
  <c r="AB80" i="3"/>
  <c r="AB64" i="3"/>
  <c r="AB48" i="3"/>
  <c r="AB32" i="3"/>
  <c r="AB16" i="3"/>
  <c r="I528" i="4"/>
  <c r="I512" i="4"/>
  <c r="I496" i="4"/>
  <c r="I480" i="4"/>
  <c r="I464" i="4"/>
  <c r="I448" i="4"/>
  <c r="I432" i="4"/>
  <c r="I416" i="4"/>
  <c r="I400" i="4"/>
  <c r="I384" i="4"/>
  <c r="I368" i="4"/>
  <c r="I352" i="4"/>
  <c r="I336" i="4"/>
  <c r="I320" i="4"/>
  <c r="I304" i="4"/>
  <c r="I288" i="4"/>
  <c r="I272" i="4"/>
  <c r="I256" i="4"/>
  <c r="I240" i="4"/>
  <c r="I224" i="4"/>
  <c r="I208" i="4"/>
  <c r="I192" i="4"/>
  <c r="I176" i="4"/>
  <c r="I158" i="4"/>
  <c r="I140" i="4"/>
  <c r="I122" i="4"/>
  <c r="I102" i="4"/>
  <c r="I75" i="4"/>
  <c r="I47" i="4"/>
  <c r="I11" i="4"/>
  <c r="AB515" i="6"/>
  <c r="AB483" i="6"/>
  <c r="AB442" i="6"/>
  <c r="AB407" i="6"/>
  <c r="AB372" i="6"/>
  <c r="AB328" i="6"/>
  <c r="AB293" i="6"/>
  <c r="AB259" i="6"/>
  <c r="AB209" i="6"/>
  <c r="AB165" i="6"/>
  <c r="AB113" i="6"/>
  <c r="AB68" i="6"/>
  <c r="AB5" i="6"/>
  <c r="R9" i="6"/>
  <c r="R21" i="6" s="1"/>
  <c r="R33" i="6" s="1"/>
  <c r="R45" i="6" s="1"/>
  <c r="R57" i="6" s="1"/>
  <c r="R69" i="6" s="1"/>
  <c r="R81" i="6" s="1"/>
  <c r="R93" i="6" s="1"/>
  <c r="R105" i="6" s="1"/>
  <c r="R117" i="6" s="1"/>
  <c r="R129" i="6" s="1"/>
  <c r="R141" i="6" s="1"/>
  <c r="R153" i="6" s="1"/>
  <c r="R165" i="6" s="1"/>
  <c r="R177" i="6" s="1"/>
  <c r="R189" i="6" s="1"/>
  <c r="R201" i="6" s="1"/>
  <c r="R213" i="6" s="1"/>
  <c r="R225" i="6" s="1"/>
  <c r="R237" i="6" s="1"/>
  <c r="R249" i="6" s="1"/>
  <c r="R261" i="6" s="1"/>
  <c r="R273" i="6" s="1"/>
  <c r="R285" i="6" s="1"/>
  <c r="R297" i="6" s="1"/>
  <c r="R309" i="6" s="1"/>
  <c r="R321" i="6" s="1"/>
  <c r="R333" i="6" s="1"/>
  <c r="R345" i="6" s="1"/>
  <c r="R357" i="6" s="1"/>
  <c r="R369" i="6" s="1"/>
  <c r="R381" i="6" s="1"/>
  <c r="R393" i="6" s="1"/>
  <c r="R405" i="6" s="1"/>
  <c r="R417" i="6" s="1"/>
  <c r="R429" i="6" s="1"/>
  <c r="R441" i="6" s="1"/>
  <c r="R453" i="6" s="1"/>
  <c r="R465" i="6" s="1"/>
  <c r="R477" i="6" s="1"/>
  <c r="R489" i="6" s="1"/>
  <c r="R501" i="6" s="1"/>
  <c r="R513" i="6" s="1"/>
  <c r="R525" i="6" s="1"/>
  <c r="R537" i="6" s="1"/>
  <c r="AI3" i="3"/>
  <c r="AI6" i="6"/>
  <c r="S6" i="6"/>
  <c r="S18" i="6" s="1"/>
  <c r="S30" i="6" s="1"/>
  <c r="S42" i="6" s="1"/>
  <c r="S54" i="6" s="1"/>
  <c r="S66" i="6" s="1"/>
  <c r="S78" i="6" s="1"/>
  <c r="S90" i="6" s="1"/>
  <c r="S102" i="6" s="1"/>
  <c r="S114" i="6" s="1"/>
  <c r="S126" i="6" s="1"/>
  <c r="S138" i="6" s="1"/>
  <c r="S150" i="6" s="1"/>
  <c r="S162" i="6" s="1"/>
  <c r="S174" i="6" s="1"/>
  <c r="S186" i="6" s="1"/>
  <c r="S198" i="6" s="1"/>
  <c r="S210" i="6" s="1"/>
  <c r="S222" i="6" s="1"/>
  <c r="S234" i="6" s="1"/>
  <c r="S246" i="6" s="1"/>
  <c r="S258" i="6" s="1"/>
  <c r="S270" i="6" s="1"/>
  <c r="S282" i="6" s="1"/>
  <c r="S294" i="6" s="1"/>
  <c r="S306" i="6" s="1"/>
  <c r="S318" i="6" s="1"/>
  <c r="S330" i="6" s="1"/>
  <c r="S342" i="6" s="1"/>
  <c r="S354" i="6" s="1"/>
  <c r="S366" i="6" s="1"/>
  <c r="S378" i="6" s="1"/>
  <c r="S390" i="6" s="1"/>
  <c r="S402" i="6" s="1"/>
  <c r="S414" i="6" s="1"/>
  <c r="S426" i="6" s="1"/>
  <c r="S438" i="6" s="1"/>
  <c r="S450" i="6" s="1"/>
  <c r="S462" i="6" s="1"/>
  <c r="S474" i="6" s="1"/>
  <c r="S486" i="6" s="1"/>
  <c r="S498" i="6" s="1"/>
  <c r="S510" i="6" s="1"/>
  <c r="S522" i="6" s="1"/>
  <c r="S534" i="6" s="1"/>
  <c r="S10" i="3"/>
  <c r="S22" i="3" s="1"/>
  <c r="S34" i="3" s="1"/>
  <c r="S46" i="3" s="1"/>
  <c r="S58" i="3" s="1"/>
  <c r="S70" i="3" s="1"/>
  <c r="S82" i="3" s="1"/>
  <c r="S94" i="3" s="1"/>
  <c r="S106" i="3" s="1"/>
  <c r="S118" i="3" s="1"/>
  <c r="S130" i="3" s="1"/>
  <c r="S142" i="3" s="1"/>
  <c r="S154" i="3" s="1"/>
  <c r="S166" i="3" s="1"/>
  <c r="S178" i="3" s="1"/>
  <c r="S190" i="3" s="1"/>
  <c r="S202" i="3" s="1"/>
  <c r="S214" i="3" s="1"/>
  <c r="S226" i="3" s="1"/>
  <c r="S238" i="3" s="1"/>
  <c r="S250" i="3" s="1"/>
  <c r="S262" i="3" s="1"/>
  <c r="S274" i="3" s="1"/>
  <c r="S286" i="3" s="1"/>
  <c r="S298" i="3" s="1"/>
  <c r="S310" i="3" s="1"/>
  <c r="S322" i="3" s="1"/>
  <c r="S334" i="3" s="1"/>
  <c r="S346" i="3" s="1"/>
  <c r="S358" i="3" s="1"/>
  <c r="S370" i="3" s="1"/>
  <c r="S382" i="3" s="1"/>
  <c r="S394" i="3" s="1"/>
  <c r="S406" i="3" s="1"/>
  <c r="S418" i="3" s="1"/>
  <c r="S430" i="3" s="1"/>
  <c r="S442" i="3" s="1"/>
  <c r="S454" i="3" s="1"/>
  <c r="S466" i="3" s="1"/>
  <c r="S478" i="3" s="1"/>
  <c r="S490" i="3" s="1"/>
  <c r="S502" i="3" s="1"/>
  <c r="S514" i="3" s="1"/>
  <c r="S526" i="3" s="1"/>
  <c r="S538" i="3" s="1"/>
  <c r="S7" i="6"/>
  <c r="S19" i="6" s="1"/>
  <c r="S31" i="6" s="1"/>
  <c r="S43" i="6" s="1"/>
  <c r="S55" i="6" s="1"/>
  <c r="S67" i="6" s="1"/>
  <c r="S79" i="6" s="1"/>
  <c r="S91" i="6" s="1"/>
  <c r="S103" i="6" s="1"/>
  <c r="S115" i="6" s="1"/>
  <c r="S127" i="6" s="1"/>
  <c r="S139" i="6" s="1"/>
  <c r="S151" i="6" s="1"/>
  <c r="S163" i="6" s="1"/>
  <c r="S175" i="6" s="1"/>
  <c r="S187" i="6" s="1"/>
  <c r="S199" i="6" s="1"/>
  <c r="S211" i="6" s="1"/>
  <c r="S223" i="6" s="1"/>
  <c r="S235" i="6" s="1"/>
  <c r="S247" i="6" s="1"/>
  <c r="S259" i="6" s="1"/>
  <c r="S271" i="6" s="1"/>
  <c r="S283" i="6" s="1"/>
  <c r="S295" i="6" s="1"/>
  <c r="S307" i="6" s="1"/>
  <c r="S319" i="6" s="1"/>
  <c r="S331" i="6" s="1"/>
  <c r="S343" i="6" s="1"/>
  <c r="S355" i="6" s="1"/>
  <c r="S367" i="6" s="1"/>
  <c r="S379" i="6" s="1"/>
  <c r="S391" i="6" s="1"/>
  <c r="S403" i="6" s="1"/>
  <c r="S415" i="6" s="1"/>
  <c r="S427" i="6" s="1"/>
  <c r="S439" i="6" s="1"/>
  <c r="S451" i="6" s="1"/>
  <c r="S463" i="6" s="1"/>
  <c r="S475" i="6" s="1"/>
  <c r="S487" i="6" s="1"/>
  <c r="S499" i="6" s="1"/>
  <c r="S511" i="6" s="1"/>
  <c r="S523" i="6" s="1"/>
  <c r="S535" i="6" s="1"/>
  <c r="S3" i="3"/>
  <c r="S11" i="3"/>
  <c r="S23" i="3" s="1"/>
  <c r="S35" i="3" s="1"/>
  <c r="S47" i="3" s="1"/>
  <c r="S59" i="3" s="1"/>
  <c r="S71" i="3" s="1"/>
  <c r="S83" i="3" s="1"/>
  <c r="S95" i="3" s="1"/>
  <c r="S107" i="3" s="1"/>
  <c r="S119" i="3" s="1"/>
  <c r="S131" i="3" s="1"/>
  <c r="S143" i="3" s="1"/>
  <c r="S155" i="3" s="1"/>
  <c r="S167" i="3" s="1"/>
  <c r="S179" i="3" s="1"/>
  <c r="S191" i="3" s="1"/>
  <c r="S203" i="3" s="1"/>
  <c r="S215" i="3" s="1"/>
  <c r="S227" i="3" s="1"/>
  <c r="S239" i="3" s="1"/>
  <c r="S251" i="3" s="1"/>
  <c r="S263" i="3" s="1"/>
  <c r="S275" i="3" s="1"/>
  <c r="S287" i="3" s="1"/>
  <c r="S299" i="3" s="1"/>
  <c r="S311" i="3" s="1"/>
  <c r="S323" i="3" s="1"/>
  <c r="S335" i="3" s="1"/>
  <c r="S347" i="3" s="1"/>
  <c r="S359" i="3" s="1"/>
  <c r="S371" i="3" s="1"/>
  <c r="S383" i="3" s="1"/>
  <c r="S395" i="3" s="1"/>
  <c r="S407" i="3" s="1"/>
  <c r="S419" i="3" s="1"/>
  <c r="S431" i="3" s="1"/>
  <c r="S443" i="3" s="1"/>
  <c r="S455" i="3" s="1"/>
  <c r="S467" i="3" s="1"/>
  <c r="S479" i="3" s="1"/>
  <c r="S491" i="3" s="1"/>
  <c r="S503" i="3" s="1"/>
  <c r="S515" i="3" s="1"/>
  <c r="S527" i="3" s="1"/>
  <c r="S539" i="3" s="1"/>
  <c r="S8" i="6"/>
  <c r="S20" i="6" s="1"/>
  <c r="S32" i="6" s="1"/>
  <c r="S44" i="6" s="1"/>
  <c r="S56" i="6" s="1"/>
  <c r="S68" i="6" s="1"/>
  <c r="S80" i="6" s="1"/>
  <c r="S92" i="6" s="1"/>
  <c r="S104" i="6" s="1"/>
  <c r="S116" i="6" s="1"/>
  <c r="S128" i="6" s="1"/>
  <c r="S140" i="6" s="1"/>
  <c r="S152" i="6" s="1"/>
  <c r="S164" i="6" s="1"/>
  <c r="S176" i="6" s="1"/>
  <c r="S188" i="6" s="1"/>
  <c r="S200" i="6" s="1"/>
  <c r="S212" i="6" s="1"/>
  <c r="S224" i="6" s="1"/>
  <c r="S236" i="6" s="1"/>
  <c r="S248" i="6" s="1"/>
  <c r="S260" i="6" s="1"/>
  <c r="S272" i="6" s="1"/>
  <c r="S284" i="6" s="1"/>
  <c r="S296" i="6" s="1"/>
  <c r="S308" i="6" s="1"/>
  <c r="S320" i="6" s="1"/>
  <c r="S332" i="6" s="1"/>
  <c r="S344" i="6" s="1"/>
  <c r="S356" i="6" s="1"/>
  <c r="S368" i="6" s="1"/>
  <c r="S380" i="6" s="1"/>
  <c r="S392" i="6" s="1"/>
  <c r="S404" i="6" s="1"/>
  <c r="S416" i="6" s="1"/>
  <c r="S428" i="6" s="1"/>
  <c r="S440" i="6" s="1"/>
  <c r="S452" i="6" s="1"/>
  <c r="S464" i="6" s="1"/>
  <c r="S476" i="6" s="1"/>
  <c r="S488" i="6" s="1"/>
  <c r="S500" i="6" s="1"/>
  <c r="S512" i="6" s="1"/>
  <c r="S524" i="6" s="1"/>
  <c r="S536" i="6" s="1"/>
  <c r="S9" i="6"/>
  <c r="S21" i="6" s="1"/>
  <c r="S33" i="6" s="1"/>
  <c r="S45" i="6" s="1"/>
  <c r="S57" i="6" s="1"/>
  <c r="S69" i="6" s="1"/>
  <c r="S81" i="6" s="1"/>
  <c r="S93" i="6" s="1"/>
  <c r="S105" i="6" s="1"/>
  <c r="S117" i="6" s="1"/>
  <c r="S129" i="6" s="1"/>
  <c r="S141" i="6" s="1"/>
  <c r="S153" i="6" s="1"/>
  <c r="S165" i="6" s="1"/>
  <c r="S177" i="6" s="1"/>
  <c r="S189" i="6" s="1"/>
  <c r="S201" i="6" s="1"/>
  <c r="S213" i="6" s="1"/>
  <c r="S225" i="6" s="1"/>
  <c r="S237" i="6" s="1"/>
  <c r="S249" i="6" s="1"/>
  <c r="S261" i="6" s="1"/>
  <c r="S273" i="6" s="1"/>
  <c r="S285" i="6" s="1"/>
  <c r="S297" i="6" s="1"/>
  <c r="S309" i="6" s="1"/>
  <c r="S321" i="6" s="1"/>
  <c r="S333" i="6" s="1"/>
  <c r="S345" i="6" s="1"/>
  <c r="S357" i="6" s="1"/>
  <c r="S369" i="6" s="1"/>
  <c r="S381" i="6" s="1"/>
  <c r="S393" i="6" s="1"/>
  <c r="S405" i="6" s="1"/>
  <c r="S417" i="6" s="1"/>
  <c r="S429" i="6" s="1"/>
  <c r="S441" i="6" s="1"/>
  <c r="S453" i="6" s="1"/>
  <c r="S465" i="6" s="1"/>
  <c r="S477" i="6" s="1"/>
  <c r="S489" i="6" s="1"/>
  <c r="S501" i="6" s="1"/>
  <c r="S513" i="6" s="1"/>
  <c r="S525" i="6" s="1"/>
  <c r="S537" i="6" s="1"/>
  <c r="S12" i="3"/>
  <c r="S24" i="3" s="1"/>
  <c r="S36" i="3" s="1"/>
  <c r="S48" i="3" s="1"/>
  <c r="S60" i="3" s="1"/>
  <c r="S72" i="3" s="1"/>
  <c r="S84" i="3" s="1"/>
  <c r="S96" i="3" s="1"/>
  <c r="S108" i="3" s="1"/>
  <c r="S120" i="3" s="1"/>
  <c r="S132" i="3" s="1"/>
  <c r="S144" i="3" s="1"/>
  <c r="S156" i="3" s="1"/>
  <c r="S168" i="3" s="1"/>
  <c r="S180" i="3" s="1"/>
  <c r="S192" i="3" s="1"/>
  <c r="S204" i="3" s="1"/>
  <c r="S216" i="3" s="1"/>
  <c r="S228" i="3" s="1"/>
  <c r="S240" i="3" s="1"/>
  <c r="S252" i="3" s="1"/>
  <c r="S264" i="3" s="1"/>
  <c r="S276" i="3" s="1"/>
  <c r="S288" i="3" s="1"/>
  <c r="S300" i="3" s="1"/>
  <c r="S312" i="3" s="1"/>
  <c r="S324" i="3" s="1"/>
  <c r="S336" i="3" s="1"/>
  <c r="S348" i="3" s="1"/>
  <c r="S360" i="3" s="1"/>
  <c r="S372" i="3" s="1"/>
  <c r="S384" i="3" s="1"/>
  <c r="S396" i="3" s="1"/>
  <c r="S408" i="3" s="1"/>
  <c r="S420" i="3" s="1"/>
  <c r="S432" i="3" s="1"/>
  <c r="S444" i="3" s="1"/>
  <c r="S456" i="3" s="1"/>
  <c r="S468" i="3" s="1"/>
  <c r="S480" i="3" s="1"/>
  <c r="S492" i="3" s="1"/>
  <c r="S504" i="3" s="1"/>
  <c r="S516" i="3" s="1"/>
  <c r="S528" i="3" s="1"/>
  <c r="S540" i="3" s="1"/>
  <c r="S10" i="6"/>
  <c r="S22" i="6" s="1"/>
  <c r="S34" i="6" s="1"/>
  <c r="S46" i="6" s="1"/>
  <c r="S58" i="6" s="1"/>
  <c r="S70" i="6" s="1"/>
  <c r="S82" i="6" s="1"/>
  <c r="S94" i="6" s="1"/>
  <c r="S106" i="6" s="1"/>
  <c r="S118" i="6" s="1"/>
  <c r="S130" i="6" s="1"/>
  <c r="S142" i="6" s="1"/>
  <c r="S154" i="6" s="1"/>
  <c r="S166" i="6" s="1"/>
  <c r="S178" i="6" s="1"/>
  <c r="S190" i="6" s="1"/>
  <c r="S202" i="6" s="1"/>
  <c r="S214" i="6" s="1"/>
  <c r="S226" i="6" s="1"/>
  <c r="S238" i="6" s="1"/>
  <c r="S250" i="6" s="1"/>
  <c r="S262" i="6" s="1"/>
  <c r="S274" i="6" s="1"/>
  <c r="S286" i="6" s="1"/>
  <c r="S298" i="6" s="1"/>
  <c r="S310" i="6" s="1"/>
  <c r="S322" i="6" s="1"/>
  <c r="S334" i="6" s="1"/>
  <c r="S346" i="6" s="1"/>
  <c r="S358" i="6" s="1"/>
  <c r="S370" i="6" s="1"/>
  <c r="S382" i="6" s="1"/>
  <c r="S394" i="6" s="1"/>
  <c r="S406" i="6" s="1"/>
  <c r="S418" i="6" s="1"/>
  <c r="S430" i="6" s="1"/>
  <c r="S442" i="6" s="1"/>
  <c r="S454" i="6" s="1"/>
  <c r="S466" i="6" s="1"/>
  <c r="S478" i="6" s="1"/>
  <c r="S490" i="6" s="1"/>
  <c r="S502" i="6" s="1"/>
  <c r="S514" i="6" s="1"/>
  <c r="S526" i="6" s="1"/>
  <c r="S538" i="6" s="1"/>
  <c r="S13" i="3"/>
  <c r="S25" i="3" s="1"/>
  <c r="S37" i="3" s="1"/>
  <c r="S49" i="3" s="1"/>
  <c r="S61" i="3" s="1"/>
  <c r="S73" i="3" s="1"/>
  <c r="S85" i="3" s="1"/>
  <c r="S97" i="3" s="1"/>
  <c r="S109" i="3" s="1"/>
  <c r="S121" i="3" s="1"/>
  <c r="S133" i="3" s="1"/>
  <c r="S145" i="3" s="1"/>
  <c r="S157" i="3" s="1"/>
  <c r="S169" i="3" s="1"/>
  <c r="S181" i="3" s="1"/>
  <c r="S193" i="3" s="1"/>
  <c r="S205" i="3" s="1"/>
  <c r="S217" i="3" s="1"/>
  <c r="S229" i="3" s="1"/>
  <c r="S241" i="3" s="1"/>
  <c r="S253" i="3" s="1"/>
  <c r="S265" i="3" s="1"/>
  <c r="S277" i="3" s="1"/>
  <c r="S289" i="3" s="1"/>
  <c r="S301" i="3" s="1"/>
  <c r="S313" i="3" s="1"/>
  <c r="S325" i="3" s="1"/>
  <c r="S337" i="3" s="1"/>
  <c r="S349" i="3" s="1"/>
  <c r="S361" i="3" s="1"/>
  <c r="S373" i="3" s="1"/>
  <c r="S385" i="3" s="1"/>
  <c r="S397" i="3" s="1"/>
  <c r="S409" i="3" s="1"/>
  <c r="S421" i="3" s="1"/>
  <c r="S433" i="3" s="1"/>
  <c r="S445" i="3" s="1"/>
  <c r="S457" i="3" s="1"/>
  <c r="S469" i="3" s="1"/>
  <c r="S481" i="3" s="1"/>
  <c r="S493" i="3" s="1"/>
  <c r="S505" i="3" s="1"/>
  <c r="S517" i="3" s="1"/>
  <c r="S529" i="3" s="1"/>
  <c r="S541" i="3" s="1"/>
  <c r="S11" i="6"/>
  <c r="S23" i="6" s="1"/>
  <c r="S35" i="6" s="1"/>
  <c r="S47" i="6" s="1"/>
  <c r="S59" i="6" s="1"/>
  <c r="S71" i="6" s="1"/>
  <c r="S83" i="6" s="1"/>
  <c r="S95" i="6" s="1"/>
  <c r="S107" i="6" s="1"/>
  <c r="S119" i="6" s="1"/>
  <c r="S131" i="6" s="1"/>
  <c r="S143" i="6" s="1"/>
  <c r="S155" i="6" s="1"/>
  <c r="S167" i="6" s="1"/>
  <c r="S179" i="6" s="1"/>
  <c r="S191" i="6" s="1"/>
  <c r="S203" i="6" s="1"/>
  <c r="S215" i="6" s="1"/>
  <c r="S227" i="6" s="1"/>
  <c r="S239" i="6" s="1"/>
  <c r="S251" i="6" s="1"/>
  <c r="S263" i="6" s="1"/>
  <c r="S275" i="6" s="1"/>
  <c r="S287" i="6" s="1"/>
  <c r="S299" i="6" s="1"/>
  <c r="S311" i="6" s="1"/>
  <c r="S323" i="6" s="1"/>
  <c r="S335" i="6" s="1"/>
  <c r="S347" i="6" s="1"/>
  <c r="S359" i="6" s="1"/>
  <c r="S371" i="6" s="1"/>
  <c r="S383" i="6" s="1"/>
  <c r="S395" i="6" s="1"/>
  <c r="S407" i="6" s="1"/>
  <c r="S419" i="6" s="1"/>
  <c r="S431" i="6" s="1"/>
  <c r="S443" i="6" s="1"/>
  <c r="S455" i="6" s="1"/>
  <c r="S467" i="6" s="1"/>
  <c r="S479" i="6" s="1"/>
  <c r="S491" i="6" s="1"/>
  <c r="S503" i="6" s="1"/>
  <c r="S515" i="6" s="1"/>
  <c r="S527" i="6" s="1"/>
  <c r="S539" i="6" s="1"/>
  <c r="S14" i="3"/>
  <c r="S26" i="3" s="1"/>
  <c r="S38" i="3" s="1"/>
  <c r="S50" i="3" s="1"/>
  <c r="S62" i="3" s="1"/>
  <c r="S74" i="3" s="1"/>
  <c r="S86" i="3" s="1"/>
  <c r="S98" i="3" s="1"/>
  <c r="S110" i="3" s="1"/>
  <c r="S122" i="3" s="1"/>
  <c r="S134" i="3" s="1"/>
  <c r="S146" i="3" s="1"/>
  <c r="S158" i="3" s="1"/>
  <c r="S170" i="3" s="1"/>
  <c r="S182" i="3" s="1"/>
  <c r="S194" i="3" s="1"/>
  <c r="S206" i="3" s="1"/>
  <c r="S218" i="3" s="1"/>
  <c r="S230" i="3" s="1"/>
  <c r="S242" i="3" s="1"/>
  <c r="S254" i="3" s="1"/>
  <c r="S266" i="3" s="1"/>
  <c r="S278" i="3" s="1"/>
  <c r="S290" i="3" s="1"/>
  <c r="S302" i="3" s="1"/>
  <c r="S314" i="3" s="1"/>
  <c r="S326" i="3" s="1"/>
  <c r="S338" i="3" s="1"/>
  <c r="S350" i="3" s="1"/>
  <c r="S362" i="3" s="1"/>
  <c r="S374" i="3" s="1"/>
  <c r="S386" i="3" s="1"/>
  <c r="S398" i="3" s="1"/>
  <c r="S410" i="3" s="1"/>
  <c r="S422" i="3" s="1"/>
  <c r="S434" i="3" s="1"/>
  <c r="S446" i="3" s="1"/>
  <c r="S458" i="3" s="1"/>
  <c r="S470" i="3" s="1"/>
  <c r="S482" i="3" s="1"/>
  <c r="S494" i="3" s="1"/>
  <c r="S506" i="3" s="1"/>
  <c r="S518" i="3" s="1"/>
  <c r="S530" i="3" s="1"/>
  <c r="S542" i="3" s="1"/>
  <c r="S12" i="6"/>
  <c r="S24" i="6" s="1"/>
  <c r="S36" i="6" s="1"/>
  <c r="S48" i="6" s="1"/>
  <c r="S60" i="6" s="1"/>
  <c r="S72" i="6" s="1"/>
  <c r="S84" i="6" s="1"/>
  <c r="S96" i="6" s="1"/>
  <c r="S108" i="6" s="1"/>
  <c r="S120" i="6" s="1"/>
  <c r="S132" i="6" s="1"/>
  <c r="S144" i="6" s="1"/>
  <c r="S156" i="6" s="1"/>
  <c r="S168" i="6" s="1"/>
  <c r="S180" i="6" s="1"/>
  <c r="S192" i="6" s="1"/>
  <c r="S204" i="6" s="1"/>
  <c r="S216" i="6" s="1"/>
  <c r="S228" i="6" s="1"/>
  <c r="S240" i="6" s="1"/>
  <c r="S252" i="6" s="1"/>
  <c r="S264" i="6" s="1"/>
  <c r="S276" i="6" s="1"/>
  <c r="S288" i="6" s="1"/>
  <c r="S300" i="6" s="1"/>
  <c r="S312" i="6" s="1"/>
  <c r="S324" i="6" s="1"/>
  <c r="S336" i="6" s="1"/>
  <c r="S348" i="6" s="1"/>
  <c r="S360" i="6" s="1"/>
  <c r="S372" i="6" s="1"/>
  <c r="S384" i="6" s="1"/>
  <c r="S396" i="6" s="1"/>
  <c r="S408" i="6" s="1"/>
  <c r="S420" i="6" s="1"/>
  <c r="S432" i="6" s="1"/>
  <c r="S444" i="6" s="1"/>
  <c r="S456" i="6" s="1"/>
  <c r="S468" i="6" s="1"/>
  <c r="S480" i="6" s="1"/>
  <c r="S492" i="6" s="1"/>
  <c r="S504" i="6" s="1"/>
  <c r="S516" i="6" s="1"/>
  <c r="S528" i="6" s="1"/>
  <c r="S540" i="6" s="1"/>
  <c r="S13" i="6"/>
  <c r="S25" i="6" s="1"/>
  <c r="S37" i="6" s="1"/>
  <c r="S49" i="6" s="1"/>
  <c r="S61" i="6" s="1"/>
  <c r="S73" i="6" s="1"/>
  <c r="S85" i="6" s="1"/>
  <c r="S97" i="6" s="1"/>
  <c r="S109" i="6" s="1"/>
  <c r="S121" i="6" s="1"/>
  <c r="S133" i="6" s="1"/>
  <c r="S145" i="6" s="1"/>
  <c r="S157" i="6" s="1"/>
  <c r="S169" i="6" s="1"/>
  <c r="S181" i="6" s="1"/>
  <c r="S193" i="6" s="1"/>
  <c r="S205" i="6" s="1"/>
  <c r="S217" i="6" s="1"/>
  <c r="S229" i="6" s="1"/>
  <c r="S241" i="6" s="1"/>
  <c r="S253" i="6" s="1"/>
  <c r="S265" i="6" s="1"/>
  <c r="S277" i="6" s="1"/>
  <c r="S289" i="6" s="1"/>
  <c r="S301" i="6" s="1"/>
  <c r="S313" i="6" s="1"/>
  <c r="S325" i="6" s="1"/>
  <c r="S337" i="6" s="1"/>
  <c r="S349" i="6" s="1"/>
  <c r="S361" i="6" s="1"/>
  <c r="S373" i="6" s="1"/>
  <c r="S385" i="6" s="1"/>
  <c r="S397" i="6" s="1"/>
  <c r="S409" i="6" s="1"/>
  <c r="S421" i="6" s="1"/>
  <c r="S433" i="6" s="1"/>
  <c r="S445" i="6" s="1"/>
  <c r="S457" i="6" s="1"/>
  <c r="S469" i="6" s="1"/>
  <c r="S481" i="6" s="1"/>
  <c r="S493" i="6" s="1"/>
  <c r="S505" i="6" s="1"/>
  <c r="S517" i="6" s="1"/>
  <c r="S529" i="6" s="1"/>
  <c r="S541" i="6" s="1"/>
  <c r="S14" i="6"/>
  <c r="S26" i="6" s="1"/>
  <c r="S38" i="6" s="1"/>
  <c r="S50" i="6" s="1"/>
  <c r="S62" i="6" s="1"/>
  <c r="S74" i="6" s="1"/>
  <c r="S86" i="6" s="1"/>
  <c r="S98" i="6" s="1"/>
  <c r="S110" i="6" s="1"/>
  <c r="S122" i="6" s="1"/>
  <c r="S134" i="6" s="1"/>
  <c r="S146" i="6" s="1"/>
  <c r="S158" i="6" s="1"/>
  <c r="S170" i="6" s="1"/>
  <c r="S182" i="6" s="1"/>
  <c r="S194" i="6" s="1"/>
  <c r="S206" i="6" s="1"/>
  <c r="S218" i="6" s="1"/>
  <c r="S230" i="6" s="1"/>
  <c r="S242" i="6" s="1"/>
  <c r="S254" i="6" s="1"/>
  <c r="S266" i="6" s="1"/>
  <c r="S278" i="6" s="1"/>
  <c r="S290" i="6" s="1"/>
  <c r="S302" i="6" s="1"/>
  <c r="S314" i="6" s="1"/>
  <c r="S326" i="6" s="1"/>
  <c r="S338" i="6" s="1"/>
  <c r="S350" i="6" s="1"/>
  <c r="S362" i="6" s="1"/>
  <c r="S374" i="6" s="1"/>
  <c r="S386" i="6" s="1"/>
  <c r="S398" i="6" s="1"/>
  <c r="S410" i="6" s="1"/>
  <c r="S422" i="6" s="1"/>
  <c r="S434" i="6" s="1"/>
  <c r="S446" i="6" s="1"/>
  <c r="S458" i="6" s="1"/>
  <c r="S470" i="6" s="1"/>
  <c r="S482" i="6" s="1"/>
  <c r="S494" i="6" s="1"/>
  <c r="S506" i="6" s="1"/>
  <c r="S518" i="6" s="1"/>
  <c r="S530" i="6" s="1"/>
  <c r="S542" i="6" s="1"/>
  <c r="S4" i="3"/>
  <c r="S16" i="3" s="1"/>
  <c r="S28" i="3" s="1"/>
  <c r="S40" i="3" s="1"/>
  <c r="S52" i="3" s="1"/>
  <c r="S64" i="3" s="1"/>
  <c r="S76" i="3" s="1"/>
  <c r="S88" i="3" s="1"/>
  <c r="S100" i="3" s="1"/>
  <c r="S112" i="3" s="1"/>
  <c r="S124" i="3" s="1"/>
  <c r="S136" i="3" s="1"/>
  <c r="S148" i="3" s="1"/>
  <c r="S160" i="3" s="1"/>
  <c r="S172" i="3" s="1"/>
  <c r="S184" i="3" s="1"/>
  <c r="S196" i="3" s="1"/>
  <c r="S208" i="3" s="1"/>
  <c r="S220" i="3" s="1"/>
  <c r="S232" i="3" s="1"/>
  <c r="S244" i="3" s="1"/>
  <c r="S256" i="3" s="1"/>
  <c r="S268" i="3" s="1"/>
  <c r="S280" i="3" s="1"/>
  <c r="S292" i="3" s="1"/>
  <c r="S304" i="3" s="1"/>
  <c r="S316" i="3" s="1"/>
  <c r="S328" i="3" s="1"/>
  <c r="S340" i="3" s="1"/>
  <c r="S352" i="3" s="1"/>
  <c r="S364" i="3" s="1"/>
  <c r="S376" i="3" s="1"/>
  <c r="S388" i="3" s="1"/>
  <c r="S400" i="3" s="1"/>
  <c r="S412" i="3" s="1"/>
  <c r="S424" i="3" s="1"/>
  <c r="S436" i="3" s="1"/>
  <c r="S448" i="3" s="1"/>
  <c r="S460" i="3" s="1"/>
  <c r="S472" i="3" s="1"/>
  <c r="S484" i="3" s="1"/>
  <c r="S496" i="3" s="1"/>
  <c r="S508" i="3" s="1"/>
  <c r="S520" i="3" s="1"/>
  <c r="S532" i="3" s="1"/>
  <c r="S3" i="6"/>
  <c r="S8" i="3"/>
  <c r="S20" i="3" s="1"/>
  <c r="S32" i="3" s="1"/>
  <c r="S44" i="3" s="1"/>
  <c r="S56" i="3" s="1"/>
  <c r="S68" i="3" s="1"/>
  <c r="S80" i="3" s="1"/>
  <c r="S92" i="3" s="1"/>
  <c r="S104" i="3" s="1"/>
  <c r="S116" i="3" s="1"/>
  <c r="S128" i="3" s="1"/>
  <c r="S140" i="3" s="1"/>
  <c r="S152" i="3" s="1"/>
  <c r="S164" i="3" s="1"/>
  <c r="S176" i="3" s="1"/>
  <c r="S188" i="3" s="1"/>
  <c r="S200" i="3" s="1"/>
  <c r="S212" i="3" s="1"/>
  <c r="S224" i="3" s="1"/>
  <c r="S236" i="3" s="1"/>
  <c r="S248" i="3" s="1"/>
  <c r="S260" i="3" s="1"/>
  <c r="S272" i="3" s="1"/>
  <c r="S284" i="3" s="1"/>
  <c r="S296" i="3" s="1"/>
  <c r="S308" i="3" s="1"/>
  <c r="S320" i="3" s="1"/>
  <c r="S332" i="3" s="1"/>
  <c r="S344" i="3" s="1"/>
  <c r="S356" i="3" s="1"/>
  <c r="S368" i="3" s="1"/>
  <c r="S380" i="3" s="1"/>
  <c r="S392" i="3" s="1"/>
  <c r="S404" i="3" s="1"/>
  <c r="S416" i="3" s="1"/>
  <c r="S428" i="3" s="1"/>
  <c r="S440" i="3" s="1"/>
  <c r="S452" i="3" s="1"/>
  <c r="S464" i="3" s="1"/>
  <c r="S476" i="3" s="1"/>
  <c r="S488" i="3" s="1"/>
  <c r="S500" i="3" s="1"/>
  <c r="S512" i="3" s="1"/>
  <c r="S524" i="3" s="1"/>
  <c r="S536" i="3" s="1"/>
  <c r="S4" i="6"/>
  <c r="S16" i="6" s="1"/>
  <c r="S28" i="6" s="1"/>
  <c r="S40" i="6" s="1"/>
  <c r="S52" i="6" s="1"/>
  <c r="S64" i="6" s="1"/>
  <c r="S76" i="6" s="1"/>
  <c r="S88" i="6" s="1"/>
  <c r="S100" i="6" s="1"/>
  <c r="S112" i="6" s="1"/>
  <c r="S124" i="6" s="1"/>
  <c r="S136" i="6" s="1"/>
  <c r="S148" i="6" s="1"/>
  <c r="S160" i="6" s="1"/>
  <c r="S172" i="6" s="1"/>
  <c r="S184" i="6" s="1"/>
  <c r="S196" i="6" s="1"/>
  <c r="S208" i="6" s="1"/>
  <c r="S220" i="6" s="1"/>
  <c r="S232" i="6" s="1"/>
  <c r="S244" i="6" s="1"/>
  <c r="S256" i="6" s="1"/>
  <c r="S268" i="6" s="1"/>
  <c r="S280" i="6" s="1"/>
  <c r="S292" i="6" s="1"/>
  <c r="S304" i="6" s="1"/>
  <c r="S316" i="6" s="1"/>
  <c r="S328" i="6" s="1"/>
  <c r="S340" i="6" s="1"/>
  <c r="S352" i="6" s="1"/>
  <c r="S364" i="6" s="1"/>
  <c r="S376" i="6" s="1"/>
  <c r="S388" i="6" s="1"/>
  <c r="S400" i="6" s="1"/>
  <c r="S412" i="6" s="1"/>
  <c r="S424" i="6" s="1"/>
  <c r="S436" i="6" s="1"/>
  <c r="S448" i="6" s="1"/>
  <c r="S460" i="6" s="1"/>
  <c r="S472" i="6" s="1"/>
  <c r="S484" i="6" s="1"/>
  <c r="S496" i="6" s="1"/>
  <c r="S508" i="6" s="1"/>
  <c r="S520" i="6" s="1"/>
  <c r="S532" i="6" s="1"/>
  <c r="S9" i="3"/>
  <c r="S21" i="3" s="1"/>
  <c r="S33" i="3" s="1"/>
  <c r="S45" i="3" s="1"/>
  <c r="S57" i="3" s="1"/>
  <c r="S69" i="3" s="1"/>
  <c r="S81" i="3" s="1"/>
  <c r="S93" i="3" s="1"/>
  <c r="S105" i="3" s="1"/>
  <c r="S117" i="3" s="1"/>
  <c r="S129" i="3" s="1"/>
  <c r="S141" i="3" s="1"/>
  <c r="S153" i="3" s="1"/>
  <c r="S165" i="3" s="1"/>
  <c r="S177" i="3" s="1"/>
  <c r="S189" i="3" s="1"/>
  <c r="S201" i="3" s="1"/>
  <c r="S213" i="3" s="1"/>
  <c r="S225" i="3" s="1"/>
  <c r="S237" i="3" s="1"/>
  <c r="S249" i="3" s="1"/>
  <c r="S261" i="3" s="1"/>
  <c r="S273" i="3" s="1"/>
  <c r="S285" i="3" s="1"/>
  <c r="S297" i="3" s="1"/>
  <c r="S309" i="3" s="1"/>
  <c r="S321" i="3" s="1"/>
  <c r="S333" i="3" s="1"/>
  <c r="S345" i="3" s="1"/>
  <c r="S357" i="3" s="1"/>
  <c r="S369" i="3" s="1"/>
  <c r="S381" i="3" s="1"/>
  <c r="S393" i="3" s="1"/>
  <c r="S405" i="3" s="1"/>
  <c r="S417" i="3" s="1"/>
  <c r="S429" i="3" s="1"/>
  <c r="S441" i="3" s="1"/>
  <c r="S453" i="3" s="1"/>
  <c r="S465" i="3" s="1"/>
  <c r="S477" i="3" s="1"/>
  <c r="S489" i="3" s="1"/>
  <c r="S501" i="3" s="1"/>
  <c r="S513" i="3" s="1"/>
  <c r="S525" i="3" s="1"/>
  <c r="S537" i="3" s="1"/>
  <c r="S5" i="6"/>
  <c r="S17" i="6" s="1"/>
  <c r="S29" i="6" s="1"/>
  <c r="S41" i="6" s="1"/>
  <c r="S53" i="6" s="1"/>
  <c r="S65" i="6" s="1"/>
  <c r="S77" i="6" s="1"/>
  <c r="S89" i="6" s="1"/>
  <c r="S101" i="6" s="1"/>
  <c r="S113" i="6" s="1"/>
  <c r="S125" i="6" s="1"/>
  <c r="S137" i="6" s="1"/>
  <c r="S149" i="6" s="1"/>
  <c r="S161" i="6" s="1"/>
  <c r="S173" i="6" s="1"/>
  <c r="S185" i="6" s="1"/>
  <c r="S197" i="6" s="1"/>
  <c r="S209" i="6" s="1"/>
  <c r="S221" i="6" s="1"/>
  <c r="S233" i="6" s="1"/>
  <c r="S245" i="6" s="1"/>
  <c r="S257" i="6" s="1"/>
  <c r="S269" i="6" s="1"/>
  <c r="S281" i="6" s="1"/>
  <c r="S293" i="6" s="1"/>
  <c r="S305" i="6" s="1"/>
  <c r="S317" i="6" s="1"/>
  <c r="S329" i="6" s="1"/>
  <c r="S341" i="6" s="1"/>
  <c r="S353" i="6" s="1"/>
  <c r="S365" i="6" s="1"/>
  <c r="S377" i="6" s="1"/>
  <c r="S389" i="6" s="1"/>
  <c r="S401" i="6" s="1"/>
  <c r="S413" i="6" s="1"/>
  <c r="S425" i="6" s="1"/>
  <c r="S437" i="6" s="1"/>
  <c r="S449" i="6" s="1"/>
  <c r="S461" i="6" s="1"/>
  <c r="S473" i="6" s="1"/>
  <c r="S485" i="6" s="1"/>
  <c r="S497" i="6" s="1"/>
  <c r="S509" i="6" s="1"/>
  <c r="S521" i="6" s="1"/>
  <c r="S533" i="6" s="1"/>
  <c r="AI13" i="3"/>
  <c r="AB9" i="6"/>
  <c r="AB25" i="6"/>
  <c r="AB41" i="6"/>
  <c r="AB57" i="6"/>
  <c r="AB73" i="6"/>
  <c r="AB89" i="6"/>
  <c r="AB105" i="6"/>
  <c r="AB121" i="6"/>
  <c r="AB137" i="6"/>
  <c r="AB153" i="6"/>
  <c r="AB169" i="6"/>
  <c r="AB185" i="6"/>
  <c r="AB201" i="6"/>
  <c r="AB217" i="6"/>
  <c r="AB233" i="6"/>
  <c r="AB249" i="6"/>
  <c r="AB265" i="6"/>
  <c r="AB281" i="6"/>
  <c r="AB297" i="6"/>
  <c r="AB313" i="6"/>
  <c r="AB329" i="6"/>
  <c r="AB345" i="6"/>
  <c r="AB361" i="6"/>
  <c r="AB377" i="6"/>
  <c r="AB393" i="6"/>
  <c r="AB409" i="6"/>
  <c r="AB425" i="6"/>
  <c r="AB441" i="6"/>
  <c r="AB457" i="6"/>
  <c r="AB473" i="6"/>
  <c r="AB489" i="6"/>
  <c r="AB505" i="6"/>
  <c r="AB521" i="6"/>
  <c r="AB537" i="6"/>
  <c r="I5" i="4"/>
  <c r="I13" i="4"/>
  <c r="I34" i="4"/>
  <c r="AB10" i="6"/>
  <c r="AB26" i="6"/>
  <c r="AB42" i="6"/>
  <c r="AB58" i="6"/>
  <c r="AB74" i="6"/>
  <c r="AB90" i="6"/>
  <c r="AB106" i="6"/>
  <c r="AB122" i="6"/>
  <c r="AB138" i="6"/>
  <c r="AB154" i="6"/>
  <c r="AB170" i="6"/>
  <c r="AB186" i="6"/>
  <c r="AB202" i="6"/>
  <c r="AB218" i="6"/>
  <c r="AB234" i="6"/>
  <c r="AB250" i="6"/>
  <c r="AB11" i="6"/>
  <c r="AB27" i="6"/>
  <c r="AB43" i="6"/>
  <c r="AB59" i="6"/>
  <c r="AB75" i="6"/>
  <c r="AB91" i="6"/>
  <c r="AB107" i="6"/>
  <c r="AB123" i="6"/>
  <c r="AB139" i="6"/>
  <c r="AB155" i="6"/>
  <c r="AB171" i="6"/>
  <c r="AB187" i="6"/>
  <c r="AB203" i="6"/>
  <c r="AB219" i="6"/>
  <c r="AB235" i="6"/>
  <c r="AB251" i="6"/>
  <c r="AB267" i="6"/>
  <c r="AB283" i="6"/>
  <c r="AB299" i="6"/>
  <c r="AB315" i="6"/>
  <c r="AB331" i="6"/>
  <c r="AB347" i="6"/>
  <c r="AB363" i="6"/>
  <c r="AB379" i="6"/>
  <c r="AB395" i="6"/>
  <c r="AB411" i="6"/>
  <c r="AB427" i="6"/>
  <c r="AB443" i="6"/>
  <c r="AB459" i="6"/>
  <c r="AB475" i="6"/>
  <c r="AB491" i="6"/>
  <c r="AB507" i="6"/>
  <c r="AB523" i="6"/>
  <c r="AB539" i="6"/>
  <c r="I6" i="4"/>
  <c r="I14" i="4"/>
  <c r="I35" i="4"/>
  <c r="I48" i="4"/>
  <c r="I63" i="4"/>
  <c r="I78" i="4"/>
  <c r="I94" i="4"/>
  <c r="AB12" i="6"/>
  <c r="AB28" i="6"/>
  <c r="AB44" i="6"/>
  <c r="AB60" i="6"/>
  <c r="AB76" i="6"/>
  <c r="AB92" i="6"/>
  <c r="AB108" i="6"/>
  <c r="AB124" i="6"/>
  <c r="AB140" i="6"/>
  <c r="AB156" i="6"/>
  <c r="AB172" i="6"/>
  <c r="AB188" i="6"/>
  <c r="AB204" i="6"/>
  <c r="AB220" i="6"/>
  <c r="AB236" i="6"/>
  <c r="AB252" i="6"/>
  <c r="AB268" i="6"/>
  <c r="AB284" i="6"/>
  <c r="AB300" i="6"/>
  <c r="AB316" i="6"/>
  <c r="AB332" i="6"/>
  <c r="AB348" i="6"/>
  <c r="AB364" i="6"/>
  <c r="AB380" i="6"/>
  <c r="AB396" i="6"/>
  <c r="AB412" i="6"/>
  <c r="AB428" i="6"/>
  <c r="AB444" i="6"/>
  <c r="AB460" i="6"/>
  <c r="AB476" i="6"/>
  <c r="AB492" i="6"/>
  <c r="AB508" i="6"/>
  <c r="AB524" i="6"/>
  <c r="AB540" i="6"/>
  <c r="I24" i="4"/>
  <c r="I49" i="4"/>
  <c r="I79" i="4"/>
  <c r="I95" i="4"/>
  <c r="AB13" i="6"/>
  <c r="AB29" i="6"/>
  <c r="AB14" i="6"/>
  <c r="AB30" i="6"/>
  <c r="AB46" i="6"/>
  <c r="AB62" i="6"/>
  <c r="AB78" i="6"/>
  <c r="AB94" i="6"/>
  <c r="AB110" i="6"/>
  <c r="AB126" i="6"/>
  <c r="AB142" i="6"/>
  <c r="AB158" i="6"/>
  <c r="AB174" i="6"/>
  <c r="AB190" i="6"/>
  <c r="AB206" i="6"/>
  <c r="AB222" i="6"/>
  <c r="AB238" i="6"/>
  <c r="AB254" i="6"/>
  <c r="AB270" i="6"/>
  <c r="AB286" i="6"/>
  <c r="AB302" i="6"/>
  <c r="AB318" i="6"/>
  <c r="AB334" i="6"/>
  <c r="AB350" i="6"/>
  <c r="AB366" i="6"/>
  <c r="AB382" i="6"/>
  <c r="AB398" i="6"/>
  <c r="AB414" i="6"/>
  <c r="AB430" i="6"/>
  <c r="AB446" i="6"/>
  <c r="AB462" i="6"/>
  <c r="AB478" i="6"/>
  <c r="AB494" i="6"/>
  <c r="AB510" i="6"/>
  <c r="AB526" i="6"/>
  <c r="AB542" i="6"/>
  <c r="I25" i="4"/>
  <c r="I37" i="4"/>
  <c r="I51" i="4"/>
  <c r="I65" i="4"/>
  <c r="I81" i="4"/>
  <c r="I97" i="4"/>
  <c r="AB16" i="6"/>
  <c r="AB32" i="6"/>
  <c r="AB48" i="6"/>
  <c r="AB64" i="6"/>
  <c r="AB80" i="6"/>
  <c r="AB96" i="6"/>
  <c r="AB112" i="6"/>
  <c r="AB128" i="6"/>
  <c r="AB144" i="6"/>
  <c r="AB160" i="6"/>
  <c r="AB176" i="6"/>
  <c r="AB192" i="6"/>
  <c r="AB208" i="6"/>
  <c r="AB224" i="6"/>
  <c r="AB240" i="6"/>
  <c r="AB256" i="6"/>
  <c r="AB272" i="6"/>
  <c r="AB288" i="6"/>
  <c r="AB304" i="6"/>
  <c r="AB320" i="6"/>
  <c r="AB336" i="6"/>
  <c r="AB352" i="6"/>
  <c r="AB368" i="6"/>
  <c r="AB384" i="6"/>
  <c r="AB400" i="6"/>
  <c r="AB416" i="6"/>
  <c r="AB432" i="6"/>
  <c r="AB448" i="6"/>
  <c r="AB464" i="6"/>
  <c r="AB480" i="6"/>
  <c r="AB496" i="6"/>
  <c r="AB512" i="6"/>
  <c r="AB528" i="6"/>
  <c r="I27" i="4"/>
  <c r="I39" i="4"/>
  <c r="I52" i="4"/>
  <c r="I67" i="4"/>
  <c r="I83" i="4"/>
  <c r="AB3" i="6"/>
  <c r="AB18" i="6"/>
  <c r="AB34" i="6"/>
  <c r="AB50" i="6"/>
  <c r="AB66" i="6"/>
  <c r="AB82" i="6"/>
  <c r="AB98" i="6"/>
  <c r="AB114" i="6"/>
  <c r="AB130" i="6"/>
  <c r="AB146" i="6"/>
  <c r="AB162" i="6"/>
  <c r="AB178" i="6"/>
  <c r="AB194" i="6"/>
  <c r="AB210" i="6"/>
  <c r="AB226" i="6"/>
  <c r="AB242" i="6"/>
  <c r="AB258" i="6"/>
  <c r="AB274" i="6"/>
  <c r="AB290" i="6"/>
  <c r="AB306" i="6"/>
  <c r="AB322" i="6"/>
  <c r="AB338" i="6"/>
  <c r="AB354" i="6"/>
  <c r="AB370" i="6"/>
  <c r="AB386" i="6"/>
  <c r="AB402" i="6"/>
  <c r="AB418" i="6"/>
  <c r="AB434" i="6"/>
  <c r="AB450" i="6"/>
  <c r="AB466" i="6"/>
  <c r="AB482" i="6"/>
  <c r="AB498" i="6"/>
  <c r="AB514" i="6"/>
  <c r="AB530" i="6"/>
  <c r="I18" i="4"/>
  <c r="I28" i="4"/>
  <c r="I40" i="4"/>
  <c r="I54" i="4"/>
  <c r="I69" i="4"/>
  <c r="I85" i="4"/>
  <c r="AB6" i="6"/>
  <c r="AB22" i="6"/>
  <c r="AB38" i="6"/>
  <c r="AB54" i="6"/>
  <c r="AB70" i="6"/>
  <c r="AB86" i="6"/>
  <c r="AB102" i="6"/>
  <c r="AB118" i="6"/>
  <c r="AB134" i="6"/>
  <c r="AB150" i="6"/>
  <c r="AB166" i="6"/>
  <c r="AB182" i="6"/>
  <c r="AB198" i="6"/>
  <c r="AB214" i="6"/>
  <c r="AB230" i="6"/>
  <c r="AB246" i="6"/>
  <c r="AB262" i="6"/>
  <c r="AB278" i="6"/>
  <c r="AB294" i="6"/>
  <c r="AB310" i="6"/>
  <c r="AB326" i="6"/>
  <c r="AB342" i="6"/>
  <c r="AB358" i="6"/>
  <c r="AB374" i="6"/>
  <c r="AB390" i="6"/>
  <c r="AB406" i="6"/>
  <c r="AB422" i="6"/>
  <c r="AB438" i="6"/>
  <c r="AB454" i="6"/>
  <c r="AB470" i="6"/>
  <c r="AB486" i="6"/>
  <c r="AB502" i="6"/>
  <c r="AB518" i="6"/>
  <c r="AB534" i="6"/>
  <c r="I32" i="4"/>
  <c r="I44" i="4"/>
  <c r="I58" i="4"/>
  <c r="I73" i="4"/>
  <c r="I89" i="4"/>
  <c r="AB131" i="6"/>
  <c r="AB99" i="6"/>
  <c r="AB67" i="6"/>
  <c r="AB35" i="6"/>
  <c r="S7" i="3"/>
  <c r="S19" i="3" s="1"/>
  <c r="S31" i="3" s="1"/>
  <c r="S43" i="3" s="1"/>
  <c r="S55" i="3" s="1"/>
  <c r="S67" i="3" s="1"/>
  <c r="S79" i="3" s="1"/>
  <c r="S91" i="3" s="1"/>
  <c r="S103" i="3" s="1"/>
  <c r="S115" i="3" s="1"/>
  <c r="S127" i="3" s="1"/>
  <c r="S139" i="3" s="1"/>
  <c r="S151" i="3" s="1"/>
  <c r="S163" i="3" s="1"/>
  <c r="S175" i="3" s="1"/>
  <c r="S187" i="3" s="1"/>
  <c r="S199" i="3" s="1"/>
  <c r="S211" i="3" s="1"/>
  <c r="S223" i="3" s="1"/>
  <c r="S235" i="3" s="1"/>
  <c r="S247" i="3" s="1"/>
  <c r="S259" i="3" s="1"/>
  <c r="S271" i="3" s="1"/>
  <c r="S283" i="3" s="1"/>
  <c r="S295" i="3" s="1"/>
  <c r="S307" i="3" s="1"/>
  <c r="S319" i="3" s="1"/>
  <c r="S331" i="3" s="1"/>
  <c r="S343" i="3" s="1"/>
  <c r="S355" i="3" s="1"/>
  <c r="S367" i="3" s="1"/>
  <c r="S379" i="3" s="1"/>
  <c r="S391" i="3" s="1"/>
  <c r="S403" i="3" s="1"/>
  <c r="S415" i="3" s="1"/>
  <c r="S427" i="3" s="1"/>
  <c r="S439" i="3" s="1"/>
  <c r="S451" i="3" s="1"/>
  <c r="S463" i="3" s="1"/>
  <c r="S475" i="3" s="1"/>
  <c r="S487" i="3" s="1"/>
  <c r="S499" i="3" s="1"/>
  <c r="S511" i="3" s="1"/>
  <c r="S523" i="3" s="1"/>
  <c r="S535" i="3" s="1"/>
  <c r="AI3" i="6"/>
  <c r="AB455" i="6"/>
  <c r="AB426" i="6"/>
  <c r="AB399" i="6"/>
  <c r="AB371" i="6"/>
  <c r="AB341" i="6"/>
  <c r="AB312" i="6"/>
  <c r="AB285" i="6"/>
  <c r="AB257" i="6"/>
  <c r="AB225" i="6"/>
  <c r="AB193" i="6"/>
  <c r="AB161" i="6"/>
  <c r="AB129" i="6"/>
  <c r="AB97" i="6"/>
  <c r="AB65" i="6"/>
  <c r="AB33" i="6"/>
  <c r="S6" i="3"/>
  <c r="S18" i="3" s="1"/>
  <c r="S30" i="3" s="1"/>
  <c r="S42" i="3" s="1"/>
  <c r="S54" i="3" s="1"/>
  <c r="S66" i="3" s="1"/>
  <c r="S78" i="3" s="1"/>
  <c r="S90" i="3" s="1"/>
  <c r="S102" i="3" s="1"/>
  <c r="S114" i="3" s="1"/>
  <c r="S126" i="3" s="1"/>
  <c r="S138" i="3" s="1"/>
  <c r="S150" i="3" s="1"/>
  <c r="S162" i="3" s="1"/>
  <c r="S174" i="3" s="1"/>
  <c r="S186" i="3" s="1"/>
  <c r="S198" i="3" s="1"/>
  <c r="S210" i="3" s="1"/>
  <c r="S222" i="3" s="1"/>
  <c r="S234" i="3" s="1"/>
  <c r="S246" i="3" s="1"/>
  <c r="S258" i="3" s="1"/>
  <c r="S270" i="3" s="1"/>
  <c r="S282" i="3" s="1"/>
  <c r="S294" i="3" s="1"/>
  <c r="S306" i="3" s="1"/>
  <c r="S318" i="3" s="1"/>
  <c r="S330" i="3" s="1"/>
  <c r="S342" i="3" s="1"/>
  <c r="S354" i="3" s="1"/>
  <c r="S366" i="3" s="1"/>
  <c r="S378" i="3" s="1"/>
  <c r="S390" i="3" s="1"/>
  <c r="S402" i="3" s="1"/>
  <c r="S414" i="3" s="1"/>
  <c r="S426" i="3" s="1"/>
  <c r="S438" i="3" s="1"/>
  <c r="S450" i="3" s="1"/>
  <c r="S462" i="3" s="1"/>
  <c r="S474" i="3" s="1"/>
  <c r="S486" i="3" s="1"/>
  <c r="S498" i="3" s="1"/>
  <c r="S510" i="3" s="1"/>
  <c r="S522" i="3" s="1"/>
  <c r="S534" i="3" s="1"/>
  <c r="AB223" i="6"/>
  <c r="AB191" i="6"/>
  <c r="AB159" i="6"/>
  <c r="AB127" i="6"/>
  <c r="AB95" i="6"/>
  <c r="AB63" i="6"/>
  <c r="AB31" i="6"/>
  <c r="S5" i="3"/>
  <c r="S17" i="3" s="1"/>
  <c r="S29" i="3" s="1"/>
  <c r="S41" i="3" s="1"/>
  <c r="S53" i="3" s="1"/>
  <c r="S65" i="3" s="1"/>
  <c r="S77" i="3" s="1"/>
  <c r="S89" i="3" s="1"/>
  <c r="S101" i="3" s="1"/>
  <c r="S113" i="3" s="1"/>
  <c r="S125" i="3" s="1"/>
  <c r="S137" i="3" s="1"/>
  <c r="S149" i="3" s="1"/>
  <c r="S161" i="3" s="1"/>
  <c r="S173" i="3" s="1"/>
  <c r="S185" i="3" s="1"/>
  <c r="S197" i="3" s="1"/>
  <c r="S209" i="3" s="1"/>
  <c r="S221" i="3" s="1"/>
  <c r="S233" i="3" s="1"/>
  <c r="S245" i="3" s="1"/>
  <c r="S257" i="3" s="1"/>
  <c r="S269" i="3" s="1"/>
  <c r="S281" i="3" s="1"/>
  <c r="S293" i="3" s="1"/>
  <c r="S305" i="3" s="1"/>
  <c r="S317" i="3" s="1"/>
  <c r="S329" i="3" s="1"/>
  <c r="S341" i="3" s="1"/>
  <c r="S353" i="3" s="1"/>
  <c r="S365" i="3" s="1"/>
  <c r="S377" i="3" s="1"/>
  <c r="S389" i="3" s="1"/>
  <c r="S401" i="3" s="1"/>
  <c r="S413" i="3" s="1"/>
  <c r="S425" i="3" s="1"/>
  <c r="S437" i="3" s="1"/>
  <c r="S449" i="3" s="1"/>
  <c r="S461" i="3" s="1"/>
  <c r="S473" i="3" s="1"/>
  <c r="S485" i="3" s="1"/>
  <c r="S497" i="3" s="1"/>
  <c r="S509" i="3" s="1"/>
  <c r="S521" i="3" s="1"/>
  <c r="S533" i="3" s="1"/>
  <c r="AI11" i="3"/>
  <c r="I168" i="4"/>
  <c r="I152" i="4"/>
  <c r="I136" i="4"/>
  <c r="I120" i="4"/>
  <c r="I104" i="4"/>
  <c r="I82" i="4"/>
  <c r="I57" i="4"/>
  <c r="I8" i="4"/>
  <c r="AB536" i="6"/>
  <c r="AB509" i="6"/>
  <c r="AB481" i="6"/>
  <c r="AB452" i="6"/>
  <c r="AB423" i="6"/>
  <c r="AB394" i="6"/>
  <c r="AB367" i="6"/>
  <c r="AB339" i="6"/>
  <c r="AB309" i="6"/>
  <c r="AB280" i="6"/>
  <c r="AB253" i="6"/>
  <c r="AB221" i="6"/>
  <c r="AB189" i="6"/>
  <c r="AB157" i="6"/>
  <c r="AB125" i="6"/>
  <c r="AB93" i="6"/>
  <c r="AB61" i="6"/>
  <c r="AB24" i="6"/>
  <c r="I167" i="4"/>
  <c r="I151" i="4"/>
  <c r="I135" i="4"/>
  <c r="I119" i="4"/>
  <c r="I103" i="4"/>
  <c r="I80" i="4"/>
  <c r="I56" i="4"/>
  <c r="I19" i="4"/>
  <c r="AB535" i="6"/>
  <c r="AB506" i="6"/>
  <c r="AB479" i="6"/>
  <c r="AB451" i="6"/>
  <c r="AB421" i="6"/>
  <c r="AB392" i="6"/>
  <c r="AB365" i="6"/>
  <c r="AB337" i="6"/>
  <c r="AB308" i="6"/>
  <c r="AB279" i="6"/>
  <c r="AB248" i="6"/>
  <c r="AB216" i="6"/>
  <c r="AB184" i="6"/>
  <c r="AB152" i="6"/>
  <c r="AB120" i="6"/>
  <c r="AB88" i="6"/>
  <c r="AB56" i="6"/>
  <c r="AB23" i="6"/>
  <c r="AB449" i="6"/>
  <c r="AB420" i="6"/>
  <c r="AB391" i="6"/>
  <c r="AB362" i="6"/>
  <c r="AB335" i="6"/>
  <c r="AB307" i="6"/>
  <c r="AB277" i="6"/>
  <c r="AB247" i="6"/>
  <c r="AB215" i="6"/>
  <c r="AB183" i="6"/>
  <c r="AB151" i="6"/>
  <c r="AB119" i="6"/>
  <c r="AB87" i="6"/>
  <c r="AB55" i="6"/>
  <c r="AB21" i="6"/>
  <c r="R10" i="3"/>
  <c r="R22" i="3" s="1"/>
  <c r="R34" i="3" s="1"/>
  <c r="R46" i="3" s="1"/>
  <c r="R58" i="3" s="1"/>
  <c r="R70" i="3" s="1"/>
  <c r="R82" i="3" s="1"/>
  <c r="R94" i="3" s="1"/>
  <c r="R106" i="3" s="1"/>
  <c r="R118" i="3" s="1"/>
  <c r="R130" i="3" s="1"/>
  <c r="R142" i="3" s="1"/>
  <c r="R154" i="3" s="1"/>
  <c r="R166" i="3" s="1"/>
  <c r="R178" i="3" s="1"/>
  <c r="R190" i="3" s="1"/>
  <c r="R202" i="3" s="1"/>
  <c r="R214" i="3" s="1"/>
  <c r="R226" i="3" s="1"/>
  <c r="R238" i="3" s="1"/>
  <c r="R250" i="3" s="1"/>
  <c r="R262" i="3" s="1"/>
  <c r="R274" i="3" s="1"/>
  <c r="R286" i="3" s="1"/>
  <c r="R298" i="3" s="1"/>
  <c r="R310" i="3" s="1"/>
  <c r="R322" i="3" s="1"/>
  <c r="R334" i="3" s="1"/>
  <c r="R346" i="3" s="1"/>
  <c r="R358" i="3" s="1"/>
  <c r="R370" i="3" s="1"/>
  <c r="R382" i="3" s="1"/>
  <c r="R394" i="3" s="1"/>
  <c r="R406" i="3" s="1"/>
  <c r="R418" i="3" s="1"/>
  <c r="R430" i="3" s="1"/>
  <c r="R442" i="3" s="1"/>
  <c r="R454" i="3" s="1"/>
  <c r="R466" i="3" s="1"/>
  <c r="R478" i="3" s="1"/>
  <c r="R490" i="3" s="1"/>
  <c r="R502" i="3" s="1"/>
  <c r="R514" i="3" s="1"/>
  <c r="R526" i="3" s="1"/>
  <c r="R538" i="3" s="1"/>
  <c r="R10" i="6"/>
  <c r="R22" i="6" s="1"/>
  <c r="R34" i="6" s="1"/>
  <c r="R46" i="6" s="1"/>
  <c r="R58" i="6" s="1"/>
  <c r="R70" i="6" s="1"/>
  <c r="R82" i="6" s="1"/>
  <c r="R94" i="6" s="1"/>
  <c r="R106" i="6" s="1"/>
  <c r="R118" i="6" s="1"/>
  <c r="R130" i="6" s="1"/>
  <c r="R142" i="6" s="1"/>
  <c r="R154" i="6" s="1"/>
  <c r="R166" i="6" s="1"/>
  <c r="R178" i="6" s="1"/>
  <c r="R190" i="6" s="1"/>
  <c r="R202" i="6" s="1"/>
  <c r="R214" i="6" s="1"/>
  <c r="R226" i="6" s="1"/>
  <c r="R238" i="6" s="1"/>
  <c r="R250" i="6" s="1"/>
  <c r="R262" i="6" s="1"/>
  <c r="R274" i="6" s="1"/>
  <c r="R286" i="6" s="1"/>
  <c r="R298" i="6" s="1"/>
  <c r="R310" i="6" s="1"/>
  <c r="R322" i="6" s="1"/>
  <c r="R334" i="6" s="1"/>
  <c r="R346" i="6" s="1"/>
  <c r="R358" i="6" s="1"/>
  <c r="R370" i="6" s="1"/>
  <c r="R382" i="6" s="1"/>
  <c r="R394" i="6" s="1"/>
  <c r="R406" i="6" s="1"/>
  <c r="R418" i="6" s="1"/>
  <c r="R430" i="6" s="1"/>
  <c r="R442" i="6" s="1"/>
  <c r="R454" i="6" s="1"/>
  <c r="R466" i="6" s="1"/>
  <c r="R478" i="6" s="1"/>
  <c r="R490" i="6" s="1"/>
  <c r="R502" i="6" s="1"/>
  <c r="R514" i="6" s="1"/>
  <c r="R526" i="6" s="1"/>
  <c r="R538" i="6" s="1"/>
  <c r="R7" i="3"/>
  <c r="R19" i="3" s="1"/>
  <c r="R31" i="3" s="1"/>
  <c r="R43" i="3" s="1"/>
  <c r="R55" i="3" s="1"/>
  <c r="R67" i="3" s="1"/>
  <c r="R79" i="3" s="1"/>
  <c r="R91" i="3" s="1"/>
  <c r="R103" i="3" s="1"/>
  <c r="R115" i="3" s="1"/>
  <c r="R127" i="3" s="1"/>
  <c r="R139" i="3" s="1"/>
  <c r="R151" i="3" s="1"/>
  <c r="R163" i="3" s="1"/>
  <c r="R175" i="3" s="1"/>
  <c r="R187" i="3" s="1"/>
  <c r="R199" i="3" s="1"/>
  <c r="R211" i="3" s="1"/>
  <c r="R223" i="3" s="1"/>
  <c r="R235" i="3" s="1"/>
  <c r="R247" i="3" s="1"/>
  <c r="R259" i="3" s="1"/>
  <c r="R271" i="3" s="1"/>
  <c r="R283" i="3" s="1"/>
  <c r="R295" i="3" s="1"/>
  <c r="R307" i="3" s="1"/>
  <c r="R319" i="3" s="1"/>
  <c r="R331" i="3" s="1"/>
  <c r="R343" i="3" s="1"/>
  <c r="R355" i="3" s="1"/>
  <c r="R367" i="3" s="1"/>
  <c r="R379" i="3" s="1"/>
  <c r="R391" i="3" s="1"/>
  <c r="R403" i="3" s="1"/>
  <c r="R415" i="3" s="1"/>
  <c r="R427" i="3" s="1"/>
  <c r="R439" i="3" s="1"/>
  <c r="R451" i="3" s="1"/>
  <c r="R463" i="3" s="1"/>
  <c r="R475" i="3" s="1"/>
  <c r="R487" i="3" s="1"/>
  <c r="R499" i="3" s="1"/>
  <c r="R511" i="3" s="1"/>
  <c r="R523" i="3" s="1"/>
  <c r="R535" i="3" s="1"/>
  <c r="R6" i="6"/>
  <c r="R18" i="6" s="1"/>
  <c r="R30" i="6" s="1"/>
  <c r="R42" i="6" s="1"/>
  <c r="R54" i="6" s="1"/>
  <c r="R66" i="6" s="1"/>
  <c r="R78" i="6" s="1"/>
  <c r="R90" i="6" s="1"/>
  <c r="R102" i="6" s="1"/>
  <c r="R114" i="6" s="1"/>
  <c r="R126" i="6" s="1"/>
  <c r="R138" i="6" s="1"/>
  <c r="R150" i="6" s="1"/>
  <c r="R162" i="6" s="1"/>
  <c r="R174" i="6" s="1"/>
  <c r="R186" i="6" s="1"/>
  <c r="R198" i="6" s="1"/>
  <c r="R210" i="6" s="1"/>
  <c r="R222" i="6" s="1"/>
  <c r="R234" i="6" s="1"/>
  <c r="R246" i="6" s="1"/>
  <c r="R258" i="6" s="1"/>
  <c r="R270" i="6" s="1"/>
  <c r="R282" i="6" s="1"/>
  <c r="R294" i="6" s="1"/>
  <c r="R306" i="6" s="1"/>
  <c r="R318" i="6" s="1"/>
  <c r="R330" i="6" s="1"/>
  <c r="R342" i="6" s="1"/>
  <c r="R354" i="6" s="1"/>
  <c r="R366" i="6" s="1"/>
  <c r="R378" i="6" s="1"/>
  <c r="R390" i="6" s="1"/>
  <c r="R402" i="6" s="1"/>
  <c r="R414" i="6" s="1"/>
  <c r="R426" i="6" s="1"/>
  <c r="R438" i="6" s="1"/>
  <c r="R450" i="6" s="1"/>
  <c r="R462" i="6" s="1"/>
  <c r="R474" i="6" s="1"/>
  <c r="R486" i="6" s="1"/>
  <c r="R498" i="6" s="1"/>
  <c r="R510" i="6" s="1"/>
  <c r="R522" i="6" s="1"/>
  <c r="R534" i="6" s="1"/>
  <c r="R6" i="3"/>
  <c r="R18" i="3" s="1"/>
  <c r="R30" i="3" s="1"/>
  <c r="R42" i="3" s="1"/>
  <c r="R54" i="3" s="1"/>
  <c r="R66" i="3" s="1"/>
  <c r="R78" i="3" s="1"/>
  <c r="R90" i="3" s="1"/>
  <c r="R102" i="3" s="1"/>
  <c r="R114" i="3" s="1"/>
  <c r="R126" i="3" s="1"/>
  <c r="R138" i="3" s="1"/>
  <c r="R150" i="3" s="1"/>
  <c r="R162" i="3" s="1"/>
  <c r="R174" i="3" s="1"/>
  <c r="R186" i="3" s="1"/>
  <c r="R198" i="3" s="1"/>
  <c r="R210" i="3" s="1"/>
  <c r="R222" i="3" s="1"/>
  <c r="R234" i="3" s="1"/>
  <c r="R246" i="3" s="1"/>
  <c r="R258" i="3" s="1"/>
  <c r="R270" i="3" s="1"/>
  <c r="R282" i="3" s="1"/>
  <c r="R294" i="3" s="1"/>
  <c r="R306" i="3" s="1"/>
  <c r="R318" i="3" s="1"/>
  <c r="R330" i="3" s="1"/>
  <c r="R342" i="3" s="1"/>
  <c r="R354" i="3" s="1"/>
  <c r="R366" i="3" s="1"/>
  <c r="R378" i="3" s="1"/>
  <c r="R390" i="3" s="1"/>
  <c r="R402" i="3" s="1"/>
  <c r="R414" i="3" s="1"/>
  <c r="R426" i="3" s="1"/>
  <c r="R438" i="3" s="1"/>
  <c r="R450" i="3" s="1"/>
  <c r="R462" i="3" s="1"/>
  <c r="R474" i="3" s="1"/>
  <c r="R486" i="3" s="1"/>
  <c r="R498" i="3" s="1"/>
  <c r="R510" i="3" s="1"/>
  <c r="R522" i="3" s="1"/>
  <c r="R534" i="3" s="1"/>
  <c r="R5" i="6"/>
  <c r="R17" i="6" s="1"/>
  <c r="R29" i="6" s="1"/>
  <c r="R41" i="6" s="1"/>
  <c r="R53" i="6" s="1"/>
  <c r="R65" i="6" s="1"/>
  <c r="R77" i="6" s="1"/>
  <c r="R89" i="6" s="1"/>
  <c r="R101" i="6" s="1"/>
  <c r="R113" i="6" s="1"/>
  <c r="R125" i="6" s="1"/>
  <c r="R137" i="6" s="1"/>
  <c r="R149" i="6" s="1"/>
  <c r="R161" i="6" s="1"/>
  <c r="R173" i="6" s="1"/>
  <c r="R185" i="6" s="1"/>
  <c r="R197" i="6" s="1"/>
  <c r="R209" i="6" s="1"/>
  <c r="R221" i="6" s="1"/>
  <c r="R233" i="6" s="1"/>
  <c r="R245" i="6" s="1"/>
  <c r="R257" i="6" s="1"/>
  <c r="R269" i="6" s="1"/>
  <c r="R281" i="6" s="1"/>
  <c r="R293" i="6" s="1"/>
  <c r="R305" i="6" s="1"/>
  <c r="R317" i="6" s="1"/>
  <c r="R329" i="6" s="1"/>
  <c r="R341" i="6" s="1"/>
  <c r="R353" i="6" s="1"/>
  <c r="R365" i="6" s="1"/>
  <c r="R377" i="6" s="1"/>
  <c r="R389" i="6" s="1"/>
  <c r="R401" i="6" s="1"/>
  <c r="R413" i="6" s="1"/>
  <c r="R425" i="6" s="1"/>
  <c r="R437" i="6" s="1"/>
  <c r="R449" i="6" s="1"/>
  <c r="R461" i="6" s="1"/>
  <c r="R473" i="6" s="1"/>
  <c r="R485" i="6" s="1"/>
  <c r="R497" i="6" s="1"/>
  <c r="R509" i="6" s="1"/>
  <c r="R521" i="6" s="1"/>
  <c r="R533" i="6" s="1"/>
  <c r="R5" i="3"/>
  <c r="R17" i="3" s="1"/>
  <c r="R29" i="3" s="1"/>
  <c r="R41" i="3" s="1"/>
  <c r="R53" i="3" s="1"/>
  <c r="R65" i="3" s="1"/>
  <c r="R77" i="3" s="1"/>
  <c r="R89" i="3" s="1"/>
  <c r="R101" i="3" s="1"/>
  <c r="R113" i="3" s="1"/>
  <c r="R125" i="3" s="1"/>
  <c r="R137" i="3" s="1"/>
  <c r="R149" i="3" s="1"/>
  <c r="R161" i="3" s="1"/>
  <c r="R173" i="3" s="1"/>
  <c r="R185" i="3" s="1"/>
  <c r="R197" i="3" s="1"/>
  <c r="R209" i="3" s="1"/>
  <c r="R221" i="3" s="1"/>
  <c r="R233" i="3" s="1"/>
  <c r="R245" i="3" s="1"/>
  <c r="R257" i="3" s="1"/>
  <c r="R269" i="3" s="1"/>
  <c r="R281" i="3" s="1"/>
  <c r="R293" i="3" s="1"/>
  <c r="R305" i="3" s="1"/>
  <c r="R317" i="3" s="1"/>
  <c r="R329" i="3" s="1"/>
  <c r="R341" i="3" s="1"/>
  <c r="R353" i="3" s="1"/>
  <c r="R365" i="3" s="1"/>
  <c r="R377" i="3" s="1"/>
  <c r="R389" i="3" s="1"/>
  <c r="R401" i="3" s="1"/>
  <c r="R413" i="3" s="1"/>
  <c r="R425" i="3" s="1"/>
  <c r="R437" i="3" s="1"/>
  <c r="R449" i="3" s="1"/>
  <c r="R461" i="3" s="1"/>
  <c r="R473" i="3" s="1"/>
  <c r="R485" i="3" s="1"/>
  <c r="R497" i="3" s="1"/>
  <c r="R509" i="3" s="1"/>
  <c r="R521" i="3" s="1"/>
  <c r="R533" i="3" s="1"/>
  <c r="R4" i="6"/>
  <c r="R16" i="6" s="1"/>
  <c r="R28" i="6" s="1"/>
  <c r="R40" i="6" s="1"/>
  <c r="R52" i="6" s="1"/>
  <c r="R64" i="6" s="1"/>
  <c r="R76" i="6" s="1"/>
  <c r="R88" i="6" s="1"/>
  <c r="R100" i="6" s="1"/>
  <c r="R112" i="6" s="1"/>
  <c r="R124" i="6" s="1"/>
  <c r="R136" i="6" s="1"/>
  <c r="R148" i="6" s="1"/>
  <c r="R160" i="6" s="1"/>
  <c r="R172" i="6" s="1"/>
  <c r="R184" i="6" s="1"/>
  <c r="R196" i="6" s="1"/>
  <c r="R208" i="6" s="1"/>
  <c r="R220" i="6" s="1"/>
  <c r="R232" i="6" s="1"/>
  <c r="R244" i="6" s="1"/>
  <c r="R256" i="6" s="1"/>
  <c r="R268" i="6" s="1"/>
  <c r="R280" i="6" s="1"/>
  <c r="R292" i="6" s="1"/>
  <c r="R304" i="6" s="1"/>
  <c r="R316" i="6" s="1"/>
  <c r="R328" i="6" s="1"/>
  <c r="R340" i="6" s="1"/>
  <c r="R352" i="6" s="1"/>
  <c r="R364" i="6" s="1"/>
  <c r="R376" i="6" s="1"/>
  <c r="R388" i="6" s="1"/>
  <c r="R400" i="6" s="1"/>
  <c r="R412" i="6" s="1"/>
  <c r="R424" i="6" s="1"/>
  <c r="R436" i="6" s="1"/>
  <c r="R448" i="6" s="1"/>
  <c r="R460" i="6" s="1"/>
  <c r="R472" i="6" s="1"/>
  <c r="R484" i="6" s="1"/>
  <c r="R496" i="6" s="1"/>
  <c r="R508" i="6" s="1"/>
  <c r="R520" i="6" s="1"/>
  <c r="R532" i="6" s="1"/>
  <c r="R4" i="3"/>
  <c r="R16" i="3" s="1"/>
  <c r="R28" i="3" s="1"/>
  <c r="R40" i="3" s="1"/>
  <c r="R52" i="3" s="1"/>
  <c r="R64" i="3" s="1"/>
  <c r="R76" i="3" s="1"/>
  <c r="R88" i="3" s="1"/>
  <c r="R100" i="3" s="1"/>
  <c r="R112" i="3" s="1"/>
  <c r="R124" i="3" s="1"/>
  <c r="R136" i="3" s="1"/>
  <c r="R148" i="3" s="1"/>
  <c r="R160" i="3" s="1"/>
  <c r="R172" i="3" s="1"/>
  <c r="R184" i="3" s="1"/>
  <c r="R196" i="3" s="1"/>
  <c r="R208" i="3" s="1"/>
  <c r="R220" i="3" s="1"/>
  <c r="R232" i="3" s="1"/>
  <c r="R244" i="3" s="1"/>
  <c r="R256" i="3" s="1"/>
  <c r="R268" i="3" s="1"/>
  <c r="R280" i="3" s="1"/>
  <c r="R292" i="3" s="1"/>
  <c r="R304" i="3" s="1"/>
  <c r="R316" i="3" s="1"/>
  <c r="R328" i="3" s="1"/>
  <c r="R340" i="3" s="1"/>
  <c r="R352" i="3" s="1"/>
  <c r="R364" i="3" s="1"/>
  <c r="R376" i="3" s="1"/>
  <c r="R388" i="3" s="1"/>
  <c r="R400" i="3" s="1"/>
  <c r="R412" i="3" s="1"/>
  <c r="R424" i="3" s="1"/>
  <c r="R436" i="3" s="1"/>
  <c r="R448" i="3" s="1"/>
  <c r="R460" i="3" s="1"/>
  <c r="R472" i="3" s="1"/>
  <c r="R484" i="3" s="1"/>
  <c r="R496" i="3" s="1"/>
  <c r="R508" i="3" s="1"/>
  <c r="R520" i="3" s="1"/>
  <c r="R532" i="3" s="1"/>
  <c r="R3" i="6"/>
  <c r="R14" i="6"/>
  <c r="R26" i="6" s="1"/>
  <c r="R38" i="6" s="1"/>
  <c r="R50" i="6" s="1"/>
  <c r="R62" i="6" s="1"/>
  <c r="R74" i="6" s="1"/>
  <c r="R86" i="6" s="1"/>
  <c r="R98" i="6" s="1"/>
  <c r="R110" i="6" s="1"/>
  <c r="R122" i="6" s="1"/>
  <c r="R134" i="6" s="1"/>
  <c r="R146" i="6" s="1"/>
  <c r="R158" i="6" s="1"/>
  <c r="R170" i="6" s="1"/>
  <c r="R182" i="6" s="1"/>
  <c r="R194" i="6" s="1"/>
  <c r="R206" i="6" s="1"/>
  <c r="R218" i="6" s="1"/>
  <c r="R230" i="6" s="1"/>
  <c r="R242" i="6" s="1"/>
  <c r="R254" i="6" s="1"/>
  <c r="R266" i="6" s="1"/>
  <c r="R278" i="6" s="1"/>
  <c r="R290" i="6" s="1"/>
  <c r="R302" i="6" s="1"/>
  <c r="R314" i="6" s="1"/>
  <c r="R326" i="6" s="1"/>
  <c r="R338" i="6" s="1"/>
  <c r="R350" i="6" s="1"/>
  <c r="R362" i="6" s="1"/>
  <c r="R374" i="6" s="1"/>
  <c r="R386" i="6" s="1"/>
  <c r="R398" i="6" s="1"/>
  <c r="R410" i="6" s="1"/>
  <c r="R422" i="6" s="1"/>
  <c r="R434" i="6" s="1"/>
  <c r="R446" i="6" s="1"/>
  <c r="R458" i="6" s="1"/>
  <c r="R470" i="6" s="1"/>
  <c r="R482" i="6" s="1"/>
  <c r="R494" i="6" s="1"/>
  <c r="R506" i="6" s="1"/>
  <c r="R518" i="6" s="1"/>
  <c r="R530" i="6" s="1"/>
  <c r="R542" i="6" s="1"/>
  <c r="R14" i="3"/>
  <c r="R26" i="3" s="1"/>
  <c r="R38" i="3" s="1"/>
  <c r="R50" i="3" s="1"/>
  <c r="R62" i="3" s="1"/>
  <c r="R74" i="3" s="1"/>
  <c r="R86" i="3" s="1"/>
  <c r="R98" i="3" s="1"/>
  <c r="R110" i="3" s="1"/>
  <c r="R122" i="3" s="1"/>
  <c r="R134" i="3" s="1"/>
  <c r="R146" i="3" s="1"/>
  <c r="R158" i="3" s="1"/>
  <c r="R170" i="3" s="1"/>
  <c r="R182" i="3" s="1"/>
  <c r="R194" i="3" s="1"/>
  <c r="R206" i="3" s="1"/>
  <c r="R218" i="3" s="1"/>
  <c r="R230" i="3" s="1"/>
  <c r="R242" i="3" s="1"/>
  <c r="R254" i="3" s="1"/>
  <c r="R266" i="3" s="1"/>
  <c r="R278" i="3" s="1"/>
  <c r="R290" i="3" s="1"/>
  <c r="R302" i="3" s="1"/>
  <c r="R314" i="3" s="1"/>
  <c r="R326" i="3" s="1"/>
  <c r="R338" i="3" s="1"/>
  <c r="R350" i="3" s="1"/>
  <c r="R362" i="3" s="1"/>
  <c r="R374" i="3" s="1"/>
  <c r="R386" i="3" s="1"/>
  <c r="R398" i="3" s="1"/>
  <c r="R410" i="3" s="1"/>
  <c r="R422" i="3" s="1"/>
  <c r="R434" i="3" s="1"/>
  <c r="R446" i="3" s="1"/>
  <c r="R458" i="3" s="1"/>
  <c r="R470" i="3" s="1"/>
  <c r="R482" i="3" s="1"/>
  <c r="R494" i="3" s="1"/>
  <c r="R506" i="3" s="1"/>
  <c r="R518" i="3" s="1"/>
  <c r="R530" i="3" s="1"/>
  <c r="R542" i="3" s="1"/>
  <c r="R13" i="6"/>
  <c r="R25" i="6" s="1"/>
  <c r="R37" i="6" s="1"/>
  <c r="R49" i="6" s="1"/>
  <c r="R61" i="6" s="1"/>
  <c r="R73" i="6" s="1"/>
  <c r="R85" i="6" s="1"/>
  <c r="R97" i="6" s="1"/>
  <c r="R109" i="6" s="1"/>
  <c r="R121" i="6" s="1"/>
  <c r="R133" i="6" s="1"/>
  <c r="R145" i="6" s="1"/>
  <c r="R157" i="6" s="1"/>
  <c r="R169" i="6" s="1"/>
  <c r="R181" i="6" s="1"/>
  <c r="R193" i="6" s="1"/>
  <c r="R205" i="6" s="1"/>
  <c r="R217" i="6" s="1"/>
  <c r="R229" i="6" s="1"/>
  <c r="R241" i="6" s="1"/>
  <c r="R253" i="6" s="1"/>
  <c r="R265" i="6" s="1"/>
  <c r="R277" i="6" s="1"/>
  <c r="R289" i="6" s="1"/>
  <c r="R301" i="6" s="1"/>
  <c r="R313" i="6" s="1"/>
  <c r="R325" i="6" s="1"/>
  <c r="R337" i="6" s="1"/>
  <c r="R349" i="6" s="1"/>
  <c r="R361" i="6" s="1"/>
  <c r="R373" i="6" s="1"/>
  <c r="R385" i="6" s="1"/>
  <c r="R397" i="6" s="1"/>
  <c r="R409" i="6" s="1"/>
  <c r="R421" i="6" s="1"/>
  <c r="R433" i="6" s="1"/>
  <c r="R445" i="6" s="1"/>
  <c r="R457" i="6" s="1"/>
  <c r="R469" i="6" s="1"/>
  <c r="R481" i="6" s="1"/>
  <c r="R493" i="6" s="1"/>
  <c r="R505" i="6" s="1"/>
  <c r="R517" i="6" s="1"/>
  <c r="R529" i="6" s="1"/>
  <c r="R541" i="6" s="1"/>
  <c r="R13" i="3"/>
  <c r="R25" i="3" s="1"/>
  <c r="R37" i="3" s="1"/>
  <c r="R49" i="3" s="1"/>
  <c r="R61" i="3" s="1"/>
  <c r="R73" i="3" s="1"/>
  <c r="R85" i="3" s="1"/>
  <c r="R97" i="3" s="1"/>
  <c r="R109" i="3" s="1"/>
  <c r="R121" i="3" s="1"/>
  <c r="R133" i="3" s="1"/>
  <c r="R145" i="3" s="1"/>
  <c r="R157" i="3" s="1"/>
  <c r="R169" i="3" s="1"/>
  <c r="R181" i="3" s="1"/>
  <c r="R193" i="3" s="1"/>
  <c r="R205" i="3" s="1"/>
  <c r="R217" i="3" s="1"/>
  <c r="R229" i="3" s="1"/>
  <c r="R241" i="3" s="1"/>
  <c r="R253" i="3" s="1"/>
  <c r="R265" i="3" s="1"/>
  <c r="R277" i="3" s="1"/>
  <c r="R289" i="3" s="1"/>
  <c r="R301" i="3" s="1"/>
  <c r="R313" i="3" s="1"/>
  <c r="R325" i="3" s="1"/>
  <c r="R337" i="3" s="1"/>
  <c r="R349" i="3" s="1"/>
  <c r="R361" i="3" s="1"/>
  <c r="R373" i="3" s="1"/>
  <c r="R385" i="3" s="1"/>
  <c r="R397" i="3" s="1"/>
  <c r="R409" i="3" s="1"/>
  <c r="R421" i="3" s="1"/>
  <c r="R433" i="3" s="1"/>
  <c r="R445" i="3" s="1"/>
  <c r="R457" i="3" s="1"/>
  <c r="R469" i="3" s="1"/>
  <c r="R481" i="3" s="1"/>
  <c r="R493" i="3" s="1"/>
  <c r="R505" i="3" s="1"/>
  <c r="R517" i="3" s="1"/>
  <c r="R529" i="3" s="1"/>
  <c r="R541" i="3" s="1"/>
  <c r="B3" i="3"/>
  <c r="A4" i="6"/>
  <c r="B4" i="6" s="1"/>
  <c r="B3" i="6"/>
  <c r="D39" i="4"/>
  <c r="AI39" i="3" s="1"/>
  <c r="AI27" i="6"/>
  <c r="AI27" i="3"/>
  <c r="AI35" i="3"/>
  <c r="AI15" i="6"/>
  <c r="AI15" i="3"/>
  <c r="D38" i="4"/>
  <c r="AI26" i="3"/>
  <c r="AI26" i="6"/>
  <c r="AI18" i="3"/>
  <c r="AI18" i="6"/>
  <c r="D30" i="4"/>
  <c r="D41" i="4"/>
  <c r="AI29" i="6"/>
  <c r="AI29" i="3"/>
  <c r="AI7" i="6"/>
  <c r="D19" i="4"/>
  <c r="AI7" i="3"/>
  <c r="D34" i="4"/>
  <c r="AI22" i="3"/>
  <c r="AI22" i="6"/>
  <c r="A4" i="4"/>
  <c r="B3" i="4"/>
  <c r="E38" i="4"/>
  <c r="D47" i="4"/>
  <c r="E34" i="4"/>
  <c r="E60" i="4"/>
  <c r="E30" i="4"/>
  <c r="E28" i="4"/>
  <c r="E32" i="4"/>
  <c r="A5" i="10"/>
  <c r="Y6" i="3" l="1"/>
  <c r="E6" i="3"/>
  <c r="Y5" i="3"/>
  <c r="E5" i="3"/>
  <c r="Y4" i="3"/>
  <c r="E4" i="3"/>
  <c r="E3" i="3"/>
  <c r="E2" i="3"/>
  <c r="G2" i="3" s="1"/>
  <c r="A7" i="3"/>
  <c r="B6" i="3"/>
  <c r="Y3" i="3"/>
  <c r="P4" i="6"/>
  <c r="Q4" i="6"/>
  <c r="P3" i="6"/>
  <c r="Q3" i="6"/>
  <c r="J5" i="3"/>
  <c r="V2" i="3"/>
  <c r="X2" i="3"/>
  <c r="C2" i="11"/>
  <c r="A5" i="6"/>
  <c r="B5" i="6" s="1"/>
  <c r="A5" i="11"/>
  <c r="B4" i="11"/>
  <c r="D44" i="4"/>
  <c r="AI44" i="6" s="1"/>
  <c r="AI32" i="6"/>
  <c r="R15" i="6"/>
  <c r="R27" i="6" s="1"/>
  <c r="R39" i="6" s="1"/>
  <c r="R51" i="6" s="1"/>
  <c r="R63" i="6" s="1"/>
  <c r="R75" i="6" s="1"/>
  <c r="R87" i="6" s="1"/>
  <c r="R99" i="6" s="1"/>
  <c r="R111" i="6" s="1"/>
  <c r="R123" i="6" s="1"/>
  <c r="R135" i="6" s="1"/>
  <c r="R147" i="6" s="1"/>
  <c r="R159" i="6" s="1"/>
  <c r="R171" i="6" s="1"/>
  <c r="R183" i="6" s="1"/>
  <c r="R195" i="6" s="1"/>
  <c r="R207" i="6" s="1"/>
  <c r="R219" i="6" s="1"/>
  <c r="R231" i="6" s="1"/>
  <c r="R243" i="6" s="1"/>
  <c r="R255" i="6" s="1"/>
  <c r="R267" i="6" s="1"/>
  <c r="R279" i="6" s="1"/>
  <c r="R291" i="6" s="1"/>
  <c r="R303" i="6" s="1"/>
  <c r="R315" i="6" s="1"/>
  <c r="R327" i="6" s="1"/>
  <c r="R339" i="6" s="1"/>
  <c r="R351" i="6" s="1"/>
  <c r="R363" i="6" s="1"/>
  <c r="R375" i="6" s="1"/>
  <c r="R387" i="6" s="1"/>
  <c r="R399" i="6" s="1"/>
  <c r="R411" i="6" s="1"/>
  <c r="R423" i="6" s="1"/>
  <c r="R435" i="6" s="1"/>
  <c r="R447" i="6" s="1"/>
  <c r="R459" i="6" s="1"/>
  <c r="R471" i="6" s="1"/>
  <c r="R483" i="6" s="1"/>
  <c r="R495" i="6" s="1"/>
  <c r="R507" i="6" s="1"/>
  <c r="R519" i="6" s="1"/>
  <c r="R531" i="6" s="1"/>
  <c r="S15" i="3"/>
  <c r="S27" i="3" s="1"/>
  <c r="S39" i="3" s="1"/>
  <c r="S51" i="3" s="1"/>
  <c r="S63" i="3" s="1"/>
  <c r="S75" i="3" s="1"/>
  <c r="S87" i="3" s="1"/>
  <c r="S99" i="3" s="1"/>
  <c r="S111" i="3" s="1"/>
  <c r="S123" i="3" s="1"/>
  <c r="S135" i="3" s="1"/>
  <c r="S147" i="3" s="1"/>
  <c r="S159" i="3" s="1"/>
  <c r="S171" i="3" s="1"/>
  <c r="S183" i="3" s="1"/>
  <c r="S195" i="3" s="1"/>
  <c r="S207" i="3" s="1"/>
  <c r="S219" i="3" s="1"/>
  <c r="S231" i="3" s="1"/>
  <c r="S243" i="3" s="1"/>
  <c r="S255" i="3" s="1"/>
  <c r="S267" i="3" s="1"/>
  <c r="S279" i="3" s="1"/>
  <c r="S291" i="3" s="1"/>
  <c r="S303" i="3" s="1"/>
  <c r="S315" i="3" s="1"/>
  <c r="S327" i="3" s="1"/>
  <c r="S339" i="3" s="1"/>
  <c r="S351" i="3" s="1"/>
  <c r="S363" i="3" s="1"/>
  <c r="S375" i="3" s="1"/>
  <c r="S387" i="3" s="1"/>
  <c r="S399" i="3" s="1"/>
  <c r="S411" i="3" s="1"/>
  <c r="S423" i="3" s="1"/>
  <c r="S435" i="3" s="1"/>
  <c r="S447" i="3" s="1"/>
  <c r="S459" i="3" s="1"/>
  <c r="S471" i="3" s="1"/>
  <c r="S483" i="3" s="1"/>
  <c r="S495" i="3" s="1"/>
  <c r="S507" i="3" s="1"/>
  <c r="S519" i="3" s="1"/>
  <c r="S531" i="3" s="1"/>
  <c r="S15" i="6"/>
  <c r="S27" i="6" s="1"/>
  <c r="S39" i="6" s="1"/>
  <c r="S51" i="6" s="1"/>
  <c r="S63" i="6" s="1"/>
  <c r="S75" i="6" s="1"/>
  <c r="S87" i="6" s="1"/>
  <c r="S99" i="6" s="1"/>
  <c r="S111" i="6" s="1"/>
  <c r="S123" i="6" s="1"/>
  <c r="S135" i="6" s="1"/>
  <c r="S147" i="6" s="1"/>
  <c r="S159" i="6" s="1"/>
  <c r="S171" i="6" s="1"/>
  <c r="S183" i="6" s="1"/>
  <c r="S195" i="6" s="1"/>
  <c r="S207" i="6" s="1"/>
  <c r="S219" i="6" s="1"/>
  <c r="S231" i="6" s="1"/>
  <c r="S243" i="6" s="1"/>
  <c r="S255" i="6" s="1"/>
  <c r="S267" i="6" s="1"/>
  <c r="S279" i="6" s="1"/>
  <c r="S291" i="6" s="1"/>
  <c r="S303" i="6" s="1"/>
  <c r="S315" i="6" s="1"/>
  <c r="S327" i="6" s="1"/>
  <c r="S339" i="6" s="1"/>
  <c r="S351" i="6" s="1"/>
  <c r="S363" i="6" s="1"/>
  <c r="S375" i="6" s="1"/>
  <c r="S387" i="6" s="1"/>
  <c r="S399" i="6" s="1"/>
  <c r="S411" i="6" s="1"/>
  <c r="S423" i="6" s="1"/>
  <c r="S435" i="6" s="1"/>
  <c r="S447" i="6" s="1"/>
  <c r="S459" i="6" s="1"/>
  <c r="S471" i="6" s="1"/>
  <c r="S483" i="6" s="1"/>
  <c r="S495" i="6" s="1"/>
  <c r="S507" i="6" s="1"/>
  <c r="S519" i="6" s="1"/>
  <c r="S531" i="6" s="1"/>
  <c r="AI25" i="6"/>
  <c r="AI33" i="3"/>
  <c r="Q3" i="3"/>
  <c r="D45" i="4"/>
  <c r="D57" i="4" s="1"/>
  <c r="AI57" i="6" s="1"/>
  <c r="AI37" i="3"/>
  <c r="D49" i="4"/>
  <c r="AI49" i="3" s="1"/>
  <c r="AI25" i="3"/>
  <c r="AI39" i="6"/>
  <c r="D48" i="4"/>
  <c r="AI36" i="6"/>
  <c r="AI36" i="3"/>
  <c r="D40" i="4"/>
  <c r="AI28" i="3"/>
  <c r="D51" i="4"/>
  <c r="D63" i="4" s="1"/>
  <c r="AC2" i="6"/>
  <c r="E2" i="9"/>
  <c r="G3" i="4"/>
  <c r="AI34" i="3"/>
  <c r="AI34" i="6"/>
  <c r="D46" i="4"/>
  <c r="AI41" i="6"/>
  <c r="D53" i="4"/>
  <c r="AI41" i="3"/>
  <c r="D42" i="4"/>
  <c r="AI30" i="6"/>
  <c r="AI30" i="3"/>
  <c r="AI19" i="6"/>
  <c r="AI19" i="3"/>
  <c r="D31" i="4"/>
  <c r="AI38" i="6"/>
  <c r="AI38" i="3"/>
  <c r="D50" i="4"/>
  <c r="J6" i="6"/>
  <c r="P5" i="6"/>
  <c r="Q5" i="6"/>
  <c r="E42" i="4"/>
  <c r="A5" i="4"/>
  <c r="B4" i="4"/>
  <c r="E50" i="4"/>
  <c r="D59" i="4"/>
  <c r="AI47" i="6"/>
  <c r="AI47" i="3"/>
  <c r="E72" i="4"/>
  <c r="E44" i="4"/>
  <c r="E46" i="4"/>
  <c r="E40" i="4"/>
  <c r="A6" i="10"/>
  <c r="A8" i="3" l="1"/>
  <c r="B7" i="3"/>
  <c r="D7" i="3"/>
  <c r="C7" i="3"/>
  <c r="C2" i="4"/>
  <c r="E2" i="11" s="1"/>
  <c r="J6" i="3"/>
  <c r="P3" i="3"/>
  <c r="D56" i="4"/>
  <c r="AI56" i="6" s="1"/>
  <c r="D69" i="4"/>
  <c r="AI69" i="6" s="1"/>
  <c r="AI44" i="3"/>
  <c r="A6" i="6"/>
  <c r="B5" i="11"/>
  <c r="A6" i="11"/>
  <c r="P4" i="3"/>
  <c r="Q4" i="3"/>
  <c r="AI45" i="6"/>
  <c r="AI45" i="3"/>
  <c r="AI57" i="3"/>
  <c r="D61" i="4"/>
  <c r="AI61" i="3" s="1"/>
  <c r="AI49" i="6"/>
  <c r="AI51" i="3"/>
  <c r="AI51" i="6"/>
  <c r="AI40" i="3"/>
  <c r="AI40" i="6"/>
  <c r="D52" i="4"/>
  <c r="D60" i="4"/>
  <c r="AI48" i="3"/>
  <c r="AI48" i="6"/>
  <c r="AD2" i="6"/>
  <c r="AE2" i="6" s="1"/>
  <c r="AF2" i="6"/>
  <c r="M2" i="10"/>
  <c r="AI63" i="6"/>
  <c r="AI63" i="3"/>
  <c r="D75" i="4"/>
  <c r="D43" i="4"/>
  <c r="AI31" i="3"/>
  <c r="AI31" i="6"/>
  <c r="AI50" i="3"/>
  <c r="AI50" i="6"/>
  <c r="D62" i="4"/>
  <c r="AI42" i="3"/>
  <c r="AI42" i="6"/>
  <c r="D54" i="4"/>
  <c r="AI53" i="6"/>
  <c r="AI53" i="3"/>
  <c r="D65" i="4"/>
  <c r="AI46" i="6"/>
  <c r="AI46" i="3"/>
  <c r="D58" i="4"/>
  <c r="J7" i="6"/>
  <c r="P6" i="6"/>
  <c r="Q6" i="6"/>
  <c r="E58" i="4"/>
  <c r="E84" i="4"/>
  <c r="D71" i="4"/>
  <c r="AI59" i="3"/>
  <c r="AI59" i="6"/>
  <c r="E52" i="4"/>
  <c r="E62" i="4"/>
  <c r="E54" i="4"/>
  <c r="E56" i="4"/>
  <c r="A6" i="4"/>
  <c r="B5" i="4"/>
  <c r="A7" i="10"/>
  <c r="Y7" i="3" l="1"/>
  <c r="E7" i="3"/>
  <c r="A9" i="3"/>
  <c r="B8" i="3"/>
  <c r="D8" i="3"/>
  <c r="C8" i="3"/>
  <c r="J7" i="3"/>
  <c r="AI56" i="3"/>
  <c r="D68" i="4"/>
  <c r="AI68" i="3" s="1"/>
  <c r="AI69" i="3"/>
  <c r="D81" i="4"/>
  <c r="AI81" i="6" s="1"/>
  <c r="A7" i="6"/>
  <c r="B6" i="6"/>
  <c r="A7" i="11"/>
  <c r="B6" i="11"/>
  <c r="D73" i="4"/>
  <c r="AI73" i="6" s="1"/>
  <c r="AI61" i="6"/>
  <c r="AI52" i="3"/>
  <c r="D64" i="4"/>
  <c r="AI52" i="6"/>
  <c r="D72" i="4"/>
  <c r="AI60" i="6"/>
  <c r="AI60" i="3"/>
  <c r="AG2" i="6"/>
  <c r="D70" i="4"/>
  <c r="AI58" i="6"/>
  <c r="AI58" i="3"/>
  <c r="AI62" i="6"/>
  <c r="AI62" i="3"/>
  <c r="D74" i="4"/>
  <c r="D55" i="4"/>
  <c r="AI43" i="3"/>
  <c r="AI43" i="6"/>
  <c r="AI54" i="6"/>
  <c r="AI54" i="3"/>
  <c r="D66" i="4"/>
  <c r="D77" i="4"/>
  <c r="AI65" i="6"/>
  <c r="AI65" i="3"/>
  <c r="D87" i="4"/>
  <c r="AI75" i="3"/>
  <c r="AI75" i="6"/>
  <c r="P7" i="6"/>
  <c r="Q7" i="6"/>
  <c r="J8" i="6"/>
  <c r="E64" i="4"/>
  <c r="D83" i="4"/>
  <c r="AI71" i="6"/>
  <c r="AI71" i="3"/>
  <c r="E96" i="4"/>
  <c r="E68" i="4"/>
  <c r="B6" i="4"/>
  <c r="A7" i="4"/>
  <c r="E70" i="4"/>
  <c r="E74" i="4"/>
  <c r="E66" i="4"/>
  <c r="A8" i="10"/>
  <c r="Y8" i="3" l="1"/>
  <c r="E8" i="3"/>
  <c r="A10" i="3"/>
  <c r="B9" i="3"/>
  <c r="C9" i="3"/>
  <c r="D9" i="3"/>
  <c r="AI68" i="6"/>
  <c r="J8" i="3"/>
  <c r="P5" i="3"/>
  <c r="Q5" i="3"/>
  <c r="AI81" i="3"/>
  <c r="D80" i="4"/>
  <c r="AI80" i="3" s="1"/>
  <c r="D93" i="4"/>
  <c r="D105" i="4" s="1"/>
  <c r="AI73" i="3"/>
  <c r="B7" i="6"/>
  <c r="A8" i="6"/>
  <c r="A8" i="11"/>
  <c r="B7" i="11"/>
  <c r="D85" i="4"/>
  <c r="AI85" i="6" s="1"/>
  <c r="AI72" i="3"/>
  <c r="AI72" i="6"/>
  <c r="D84" i="4"/>
  <c r="AI64" i="6"/>
  <c r="AI64" i="3"/>
  <c r="D76" i="4"/>
  <c r="AA3" i="6"/>
  <c r="D86" i="4"/>
  <c r="AI74" i="6"/>
  <c r="AI74" i="3"/>
  <c r="D89" i="4"/>
  <c r="AI77" i="6"/>
  <c r="AI77" i="3"/>
  <c r="AI87" i="3"/>
  <c r="D99" i="4"/>
  <c r="AI87" i="6"/>
  <c r="AI66" i="6"/>
  <c r="D78" i="4"/>
  <c r="AI66" i="3"/>
  <c r="AI55" i="6"/>
  <c r="AI55" i="3"/>
  <c r="D67" i="4"/>
  <c r="D82" i="4"/>
  <c r="AI70" i="3"/>
  <c r="AI70" i="6"/>
  <c r="J9" i="6"/>
  <c r="P8" i="6"/>
  <c r="Q8" i="6"/>
  <c r="E78" i="4"/>
  <c r="E76" i="4"/>
  <c r="E108" i="4"/>
  <c r="E82" i="4"/>
  <c r="A8" i="4"/>
  <c r="B7" i="4"/>
  <c r="E80" i="4"/>
  <c r="E86" i="4"/>
  <c r="D95" i="4"/>
  <c r="AI83" i="3"/>
  <c r="AI83" i="6"/>
  <c r="A9" i="10"/>
  <c r="Y9" i="3" l="1"/>
  <c r="E9" i="3"/>
  <c r="A11" i="3"/>
  <c r="B10" i="3"/>
  <c r="C10" i="3"/>
  <c r="D10" i="3"/>
  <c r="AI80" i="6"/>
  <c r="D92" i="4"/>
  <c r="AI92" i="3" s="1"/>
  <c r="AI93" i="6"/>
  <c r="AI93" i="3"/>
  <c r="J9" i="3"/>
  <c r="P6" i="3"/>
  <c r="Q6" i="3"/>
  <c r="AI85" i="3"/>
  <c r="D97" i="4"/>
  <c r="AI97" i="3" s="1"/>
  <c r="A9" i="6"/>
  <c r="B8" i="6"/>
  <c r="B8" i="11"/>
  <c r="A9" i="11"/>
  <c r="AI76" i="3"/>
  <c r="AI76" i="6"/>
  <c r="D88" i="4"/>
  <c r="AI84" i="3"/>
  <c r="AI84" i="6"/>
  <c r="D96" i="4"/>
  <c r="D104" i="4"/>
  <c r="AI78" i="6"/>
  <c r="D90" i="4"/>
  <c r="AI78" i="3"/>
  <c r="D111" i="4"/>
  <c r="AI99" i="6"/>
  <c r="AI99" i="3"/>
  <c r="AI82" i="6"/>
  <c r="AI82" i="3"/>
  <c r="D94" i="4"/>
  <c r="AI89" i="6"/>
  <c r="AI89" i="3"/>
  <c r="D101" i="4"/>
  <c r="D79" i="4"/>
  <c r="AI67" i="6"/>
  <c r="AI67" i="3"/>
  <c r="D117" i="4"/>
  <c r="AI105" i="6"/>
  <c r="AI105" i="3"/>
  <c r="D98" i="4"/>
  <c r="AI86" i="6"/>
  <c r="AI86" i="3"/>
  <c r="J10" i="6"/>
  <c r="P9" i="6"/>
  <c r="Q9" i="6"/>
  <c r="E90" i="4"/>
  <c r="E94" i="4"/>
  <c r="D107" i="4"/>
  <c r="AI95" i="3"/>
  <c r="AI95" i="6"/>
  <c r="A9" i="4"/>
  <c r="B8" i="4"/>
  <c r="E98" i="4"/>
  <c r="E120" i="4"/>
  <c r="E88" i="4"/>
  <c r="E92" i="4"/>
  <c r="A10" i="10"/>
  <c r="Y10" i="3" l="1"/>
  <c r="E10" i="3"/>
  <c r="A12" i="3"/>
  <c r="B11" i="3"/>
  <c r="C11" i="3"/>
  <c r="D11" i="3"/>
  <c r="AI92" i="6"/>
  <c r="J10" i="3"/>
  <c r="Q7" i="3"/>
  <c r="P7" i="3"/>
  <c r="D109" i="4"/>
  <c r="AI109" i="6" s="1"/>
  <c r="AI97" i="6"/>
  <c r="A10" i="6"/>
  <c r="B9" i="6"/>
  <c r="B9" i="11"/>
  <c r="A10" i="11"/>
  <c r="D108" i="4"/>
  <c r="AI96" i="6"/>
  <c r="AI96" i="3"/>
  <c r="D100" i="4"/>
  <c r="AI88" i="3"/>
  <c r="AI88" i="6"/>
  <c r="AI104" i="6"/>
  <c r="AI104" i="3"/>
  <c r="D116" i="4"/>
  <c r="D110" i="4"/>
  <c r="AI98" i="6"/>
  <c r="AI98" i="3"/>
  <c r="AI117" i="6"/>
  <c r="AI117" i="3"/>
  <c r="D129" i="4"/>
  <c r="AI94" i="6"/>
  <c r="AI94" i="3"/>
  <c r="D106" i="4"/>
  <c r="D91" i="4"/>
  <c r="AI79" i="3"/>
  <c r="AI79" i="6"/>
  <c r="AI111" i="3"/>
  <c r="D123" i="4"/>
  <c r="AI111" i="6"/>
  <c r="AI101" i="6"/>
  <c r="AI101" i="3"/>
  <c r="D113" i="4"/>
  <c r="AI90" i="6"/>
  <c r="AI90" i="3"/>
  <c r="D102" i="4"/>
  <c r="J11" i="6"/>
  <c r="P10" i="6"/>
  <c r="Q10" i="6"/>
  <c r="E106" i="4"/>
  <c r="E104" i="4"/>
  <c r="E102" i="4"/>
  <c r="D119" i="4"/>
  <c r="AI107" i="6"/>
  <c r="AI107" i="3"/>
  <c r="E110" i="4"/>
  <c r="E100" i="4"/>
  <c r="E132" i="4"/>
  <c r="A10" i="4"/>
  <c r="B9" i="4"/>
  <c r="A11" i="10"/>
  <c r="Y11" i="3" l="1"/>
  <c r="E11" i="3"/>
  <c r="A13" i="3"/>
  <c r="B12" i="3"/>
  <c r="C12" i="3"/>
  <c r="D12" i="3"/>
  <c r="AI109" i="3"/>
  <c r="D121" i="4"/>
  <c r="J11" i="3"/>
  <c r="Q8" i="3"/>
  <c r="P8" i="3"/>
  <c r="B10" i="6"/>
  <c r="A11" i="6"/>
  <c r="A11" i="11"/>
  <c r="B10" i="11"/>
  <c r="AI100" i="6"/>
  <c r="AI100" i="3"/>
  <c r="D112" i="4"/>
  <c r="AI108" i="6"/>
  <c r="AI108" i="3"/>
  <c r="D120" i="4"/>
  <c r="AI116" i="6"/>
  <c r="AI116" i="3"/>
  <c r="D128" i="4"/>
  <c r="D114" i="4"/>
  <c r="AI102" i="6"/>
  <c r="AI102" i="3"/>
  <c r="D118" i="4"/>
  <c r="AI106" i="3"/>
  <c r="AI106" i="6"/>
  <c r="AI113" i="3"/>
  <c r="AI113" i="6"/>
  <c r="D125" i="4"/>
  <c r="AI129" i="3"/>
  <c r="AI129" i="6"/>
  <c r="D141" i="4"/>
  <c r="D135" i="4"/>
  <c r="AI123" i="6"/>
  <c r="AI123" i="3"/>
  <c r="D122" i="4"/>
  <c r="AI110" i="3"/>
  <c r="AI110" i="6"/>
  <c r="D133" i="4"/>
  <c r="AI121" i="6"/>
  <c r="AI121" i="3"/>
  <c r="AI91" i="6"/>
  <c r="D103" i="4"/>
  <c r="AI91" i="3"/>
  <c r="J12" i="6"/>
  <c r="P11" i="6"/>
  <c r="Q11" i="6"/>
  <c r="D131" i="4"/>
  <c r="AI119" i="6"/>
  <c r="AI119" i="3"/>
  <c r="E118" i="4"/>
  <c r="E114" i="4"/>
  <c r="A11" i="4"/>
  <c r="B10" i="4"/>
  <c r="E122" i="4"/>
  <c r="E144" i="4"/>
  <c r="E112" i="4"/>
  <c r="E116" i="4"/>
  <c r="A12" i="10"/>
  <c r="Y12" i="3" l="1"/>
  <c r="E12" i="3"/>
  <c r="A14" i="3"/>
  <c r="B13" i="3"/>
  <c r="D13" i="3"/>
  <c r="C13" i="3"/>
  <c r="J12" i="3"/>
  <c r="Q9" i="3"/>
  <c r="P9" i="3"/>
  <c r="A12" i="6"/>
  <c r="B11" i="6"/>
  <c r="B11" i="11"/>
  <c r="A12" i="11"/>
  <c r="D132" i="4"/>
  <c r="AI120" i="6"/>
  <c r="AI120" i="3"/>
  <c r="AI112" i="3"/>
  <c r="D124" i="4"/>
  <c r="AI112" i="6"/>
  <c r="AI128" i="3"/>
  <c r="D140" i="4"/>
  <c r="AI128" i="6"/>
  <c r="AI141" i="3"/>
  <c r="AI141" i="6"/>
  <c r="D153" i="4"/>
  <c r="D137" i="4"/>
  <c r="AI125" i="3"/>
  <c r="AI125" i="6"/>
  <c r="AI133" i="3"/>
  <c r="D145" i="4"/>
  <c r="AI133" i="6"/>
  <c r="AI118" i="6"/>
  <c r="AI118" i="3"/>
  <c r="D130" i="4"/>
  <c r="D134" i="4"/>
  <c r="AI122" i="6"/>
  <c r="AI122" i="3"/>
  <c r="D126" i="4"/>
  <c r="AI114" i="3"/>
  <c r="AI114" i="6"/>
  <c r="AI103" i="6"/>
  <c r="AI103" i="3"/>
  <c r="D115" i="4"/>
  <c r="AI135" i="3"/>
  <c r="D147" i="4"/>
  <c r="AI135" i="6"/>
  <c r="Q12" i="6"/>
  <c r="J13" i="6"/>
  <c r="P12" i="6"/>
  <c r="E130" i="4"/>
  <c r="E134" i="4"/>
  <c r="E128" i="4"/>
  <c r="A12" i="4"/>
  <c r="B11" i="4"/>
  <c r="E124" i="4"/>
  <c r="E156" i="4"/>
  <c r="D143" i="4"/>
  <c r="AI131" i="6"/>
  <c r="AI131" i="3"/>
  <c r="E126" i="4"/>
  <c r="A13" i="10"/>
  <c r="Y13" i="3" l="1"/>
  <c r="E13" i="3"/>
  <c r="A15" i="3"/>
  <c r="B14" i="3"/>
  <c r="D14" i="3"/>
  <c r="C14" i="3"/>
  <c r="J13" i="3"/>
  <c r="P10" i="3"/>
  <c r="Q10" i="3"/>
  <c r="B12" i="6"/>
  <c r="A13" i="6"/>
  <c r="A13" i="11"/>
  <c r="B12" i="11"/>
  <c r="AI124" i="6"/>
  <c r="AI124" i="3"/>
  <c r="D136" i="4"/>
  <c r="AI132" i="3"/>
  <c r="AI132" i="6"/>
  <c r="D144" i="4"/>
  <c r="D152" i="4"/>
  <c r="AI140" i="3"/>
  <c r="AI140" i="6"/>
  <c r="AI147" i="6"/>
  <c r="D159" i="4"/>
  <c r="AI147" i="3"/>
  <c r="AI145" i="6"/>
  <c r="AI145" i="3"/>
  <c r="D157" i="4"/>
  <c r="D127" i="4"/>
  <c r="AI115" i="6"/>
  <c r="AI115" i="3"/>
  <c r="D138" i="4"/>
  <c r="AI126" i="6"/>
  <c r="AI126" i="3"/>
  <c r="AI137" i="3"/>
  <c r="AI137" i="6"/>
  <c r="D149" i="4"/>
  <c r="AI153" i="6"/>
  <c r="AI153" i="3"/>
  <c r="D165" i="4"/>
  <c r="D142" i="4"/>
  <c r="AI130" i="3"/>
  <c r="AI130" i="6"/>
  <c r="D146" i="4"/>
  <c r="AI134" i="6"/>
  <c r="AI134" i="3"/>
  <c r="J14" i="6"/>
  <c r="P13" i="6"/>
  <c r="Q13" i="6"/>
  <c r="D155" i="4"/>
  <c r="AI143" i="3"/>
  <c r="AI143" i="6"/>
  <c r="E168" i="4"/>
  <c r="B12" i="4"/>
  <c r="A13" i="4"/>
  <c r="E146" i="4"/>
  <c r="E142" i="4"/>
  <c r="E138" i="4"/>
  <c r="E140" i="4"/>
  <c r="E136" i="4"/>
  <c r="A14" i="10"/>
  <c r="Y14" i="3" l="1"/>
  <c r="E14" i="3"/>
  <c r="A16" i="3"/>
  <c r="B15" i="3"/>
  <c r="C15" i="3"/>
  <c r="D15" i="3"/>
  <c r="J14" i="3"/>
  <c r="P11" i="3"/>
  <c r="Q11" i="3"/>
  <c r="A14" i="6"/>
  <c r="B13" i="6"/>
  <c r="A14" i="11"/>
  <c r="B13" i="11"/>
  <c r="D156" i="4"/>
  <c r="AI144" i="3"/>
  <c r="AI144" i="6"/>
  <c r="AI136" i="6"/>
  <c r="AI136" i="3"/>
  <c r="D148" i="4"/>
  <c r="D164" i="4"/>
  <c r="AI152" i="3"/>
  <c r="AI152" i="6"/>
  <c r="D158" i="4"/>
  <c r="AI146" i="6"/>
  <c r="AI146" i="3"/>
  <c r="AI142" i="6"/>
  <c r="AI142" i="3"/>
  <c r="D154" i="4"/>
  <c r="D139" i="4"/>
  <c r="AI127" i="6"/>
  <c r="AI127" i="3"/>
  <c r="D169" i="4"/>
  <c r="AI157" i="6"/>
  <c r="AI157" i="3"/>
  <c r="AI165" i="6"/>
  <c r="D177" i="4"/>
  <c r="AI165" i="3"/>
  <c r="AI149" i="6"/>
  <c r="AI149" i="3"/>
  <c r="D161" i="4"/>
  <c r="D171" i="4"/>
  <c r="AI159" i="3"/>
  <c r="AI159" i="6"/>
  <c r="D150" i="4"/>
  <c r="AI138" i="3"/>
  <c r="AI138" i="6"/>
  <c r="P14" i="6"/>
  <c r="Q14" i="6"/>
  <c r="J15" i="6"/>
  <c r="E148" i="4"/>
  <c r="A14" i="4"/>
  <c r="B13" i="4"/>
  <c r="E154" i="4"/>
  <c r="E180" i="4"/>
  <c r="E152" i="4"/>
  <c r="E158" i="4"/>
  <c r="D167" i="4"/>
  <c r="AI155" i="3"/>
  <c r="AI155" i="6"/>
  <c r="E150" i="4"/>
  <c r="A15" i="10"/>
  <c r="Y15" i="3" l="1"/>
  <c r="E15" i="3"/>
  <c r="A17" i="3"/>
  <c r="B16" i="3"/>
  <c r="C16" i="3"/>
  <c r="D16" i="3"/>
  <c r="J15" i="3"/>
  <c r="P12" i="3"/>
  <c r="Q12" i="3"/>
  <c r="A15" i="6"/>
  <c r="B14" i="6"/>
  <c r="B14" i="11"/>
  <c r="A15" i="11"/>
  <c r="AI148" i="6"/>
  <c r="D160" i="4"/>
  <c r="AI148" i="3"/>
  <c r="AI156" i="6"/>
  <c r="AI156" i="3"/>
  <c r="D168" i="4"/>
  <c r="D176" i="4"/>
  <c r="AI164" i="6"/>
  <c r="AI164" i="3"/>
  <c r="AI177" i="3"/>
  <c r="AI177" i="6"/>
  <c r="D189" i="4"/>
  <c r="D181" i="4"/>
  <c r="AI169" i="3"/>
  <c r="AI169" i="6"/>
  <c r="D151" i="4"/>
  <c r="AI139" i="3"/>
  <c r="AI139" i="6"/>
  <c r="D162" i="4"/>
  <c r="AI150" i="3"/>
  <c r="AI150" i="6"/>
  <c r="AI154" i="3"/>
  <c r="D166" i="4"/>
  <c r="AI154" i="6"/>
  <c r="AI171" i="3"/>
  <c r="D183" i="4"/>
  <c r="AI171" i="6"/>
  <c r="D173" i="4"/>
  <c r="AI161" i="6"/>
  <c r="AI161" i="3"/>
  <c r="D170" i="4"/>
  <c r="AI158" i="6"/>
  <c r="AI158" i="3"/>
  <c r="P15" i="6"/>
  <c r="Q15" i="6"/>
  <c r="J16" i="6"/>
  <c r="E192" i="4"/>
  <c r="E166" i="4"/>
  <c r="D179" i="4"/>
  <c r="AI167" i="6"/>
  <c r="AI167" i="3"/>
  <c r="E170" i="4"/>
  <c r="E164" i="4"/>
  <c r="B14" i="4"/>
  <c r="A15" i="4"/>
  <c r="E162" i="4"/>
  <c r="E160" i="4"/>
  <c r="A16" i="10"/>
  <c r="Y16" i="3" l="1"/>
  <c r="E16" i="3"/>
  <c r="A18" i="3"/>
  <c r="B17" i="3"/>
  <c r="C17" i="3"/>
  <c r="D17" i="3"/>
  <c r="J16" i="3"/>
  <c r="P13" i="3"/>
  <c r="Q13" i="3"/>
  <c r="A16" i="6"/>
  <c r="B15" i="6"/>
  <c r="A16" i="11"/>
  <c r="B15" i="11"/>
  <c r="D180" i="4"/>
  <c r="AI168" i="6"/>
  <c r="AI168" i="3"/>
  <c r="D172" i="4"/>
  <c r="AI160" i="3"/>
  <c r="AI160" i="6"/>
  <c r="D188" i="4"/>
  <c r="AI176" i="6"/>
  <c r="AI176" i="3"/>
  <c r="D174" i="4"/>
  <c r="AI162" i="3"/>
  <c r="AI162" i="6"/>
  <c r="D182" i="4"/>
  <c r="AI170" i="6"/>
  <c r="AI170" i="3"/>
  <c r="AI151" i="6"/>
  <c r="D163" i="4"/>
  <c r="AI151" i="3"/>
  <c r="D193" i="4"/>
  <c r="AI181" i="3"/>
  <c r="AI181" i="6"/>
  <c r="AI173" i="3"/>
  <c r="AI173" i="6"/>
  <c r="D185" i="4"/>
  <c r="AI189" i="3"/>
  <c r="AI189" i="6"/>
  <c r="D201" i="4"/>
  <c r="D195" i="4"/>
  <c r="AI183" i="6"/>
  <c r="AI183" i="3"/>
  <c r="D178" i="4"/>
  <c r="AI166" i="6"/>
  <c r="AI166" i="3"/>
  <c r="Q16" i="6"/>
  <c r="P16" i="6"/>
  <c r="J17" i="6"/>
  <c r="E172" i="4"/>
  <c r="E176" i="4"/>
  <c r="AI179" i="6"/>
  <c r="D191" i="4"/>
  <c r="AI179" i="3"/>
  <c r="E178" i="4"/>
  <c r="E182" i="4"/>
  <c r="A16" i="4"/>
  <c r="B15" i="4"/>
  <c r="E204" i="4"/>
  <c r="E174" i="4"/>
  <c r="A17" i="10"/>
  <c r="Y17" i="3" l="1"/>
  <c r="E17" i="3"/>
  <c r="A19" i="3"/>
  <c r="B18" i="3"/>
  <c r="C18" i="3"/>
  <c r="D18" i="3"/>
  <c r="J17" i="3"/>
  <c r="P14" i="3"/>
  <c r="Q14" i="3"/>
  <c r="A17" i="6"/>
  <c r="B16" i="6"/>
  <c r="A17" i="11"/>
  <c r="B16" i="11"/>
  <c r="AI172" i="3"/>
  <c r="D184" i="4"/>
  <c r="AI172" i="6"/>
  <c r="AI180" i="6"/>
  <c r="AI180" i="3"/>
  <c r="D192" i="4"/>
  <c r="D200" i="4"/>
  <c r="AI188" i="3"/>
  <c r="AI188" i="6"/>
  <c r="D197" i="4"/>
  <c r="AI185" i="6"/>
  <c r="AI185" i="3"/>
  <c r="AI178" i="6"/>
  <c r="D190" i="4"/>
  <c r="AI178" i="3"/>
  <c r="AI193" i="6"/>
  <c r="AI193" i="3"/>
  <c r="D205" i="4"/>
  <c r="AI163" i="6"/>
  <c r="D175" i="4"/>
  <c r="AI163" i="3"/>
  <c r="D207" i="4"/>
  <c r="AI195" i="6"/>
  <c r="AI195" i="3"/>
  <c r="D194" i="4"/>
  <c r="AI182" i="6"/>
  <c r="AI182" i="3"/>
  <c r="D213" i="4"/>
  <c r="AI201" i="6"/>
  <c r="AI201" i="3"/>
  <c r="D186" i="4"/>
  <c r="AI174" i="6"/>
  <c r="AI174" i="3"/>
  <c r="Q17" i="6"/>
  <c r="J18" i="6"/>
  <c r="P17" i="6"/>
  <c r="A17" i="4"/>
  <c r="B16" i="4"/>
  <c r="D203" i="4"/>
  <c r="AI191" i="3"/>
  <c r="AI191" i="6"/>
  <c r="E188" i="4"/>
  <c r="E186" i="4"/>
  <c r="E194" i="4"/>
  <c r="E184" i="4"/>
  <c r="E216" i="4"/>
  <c r="E190" i="4"/>
  <c r="A18" i="10"/>
  <c r="Y18" i="3" l="1"/>
  <c r="E18" i="3"/>
  <c r="A20" i="3"/>
  <c r="B19" i="3"/>
  <c r="D19" i="3"/>
  <c r="C19" i="3"/>
  <c r="J18" i="3"/>
  <c r="P15" i="3"/>
  <c r="Q15" i="3"/>
  <c r="A18" i="6"/>
  <c r="B17" i="6"/>
  <c r="A18" i="11"/>
  <c r="B17" i="11"/>
  <c r="AI192" i="3"/>
  <c r="D204" i="4"/>
  <c r="AI192" i="6"/>
  <c r="D196" i="4"/>
  <c r="AI184" i="3"/>
  <c r="AI184" i="6"/>
  <c r="D212" i="4"/>
  <c r="AI200" i="6"/>
  <c r="AI200" i="3"/>
  <c r="D187" i="4"/>
  <c r="AI175" i="6"/>
  <c r="AI175" i="3"/>
  <c r="D198" i="4"/>
  <c r="AI186" i="6"/>
  <c r="AI186" i="3"/>
  <c r="AI205" i="6"/>
  <c r="AI205" i="3"/>
  <c r="D217" i="4"/>
  <c r="D225" i="4"/>
  <c r="AI213" i="6"/>
  <c r="AI213" i="3"/>
  <c r="D202" i="4"/>
  <c r="AI190" i="3"/>
  <c r="AI190" i="6"/>
  <c r="D206" i="4"/>
  <c r="AI194" i="3"/>
  <c r="AI194" i="6"/>
  <c r="D219" i="4"/>
  <c r="AI207" i="6"/>
  <c r="AI207" i="3"/>
  <c r="D209" i="4"/>
  <c r="AI197" i="6"/>
  <c r="AI197" i="3"/>
  <c r="J19" i="6"/>
  <c r="P18" i="6"/>
  <c r="Q18" i="6"/>
  <c r="E202" i="4"/>
  <c r="E206" i="4"/>
  <c r="D215" i="4"/>
  <c r="AI203" i="3"/>
  <c r="AI203" i="6"/>
  <c r="E228" i="4"/>
  <c r="A18" i="4"/>
  <c r="B17" i="4"/>
  <c r="E196" i="4"/>
  <c r="E198" i="4"/>
  <c r="E200" i="4"/>
  <c r="A19" i="10"/>
  <c r="Y19" i="3" l="1"/>
  <c r="E19" i="3"/>
  <c r="A21" i="3"/>
  <c r="B20" i="3"/>
  <c r="D20" i="3"/>
  <c r="C20" i="3"/>
  <c r="J19" i="3"/>
  <c r="P16" i="3"/>
  <c r="Q16" i="3"/>
  <c r="A19" i="6"/>
  <c r="B18" i="6"/>
  <c r="B18" i="11"/>
  <c r="A19" i="11"/>
  <c r="D208" i="4"/>
  <c r="AI196" i="3"/>
  <c r="AI196" i="6"/>
  <c r="D216" i="4"/>
  <c r="AI204" i="6"/>
  <c r="AI204" i="3"/>
  <c r="AI212" i="3"/>
  <c r="D224" i="4"/>
  <c r="AI212" i="6"/>
  <c r="AI225" i="3"/>
  <c r="AI225" i="6"/>
  <c r="D237" i="4"/>
  <c r="AI217" i="3"/>
  <c r="AI217" i="6"/>
  <c r="D229" i="4"/>
  <c r="D221" i="4"/>
  <c r="AI209" i="3"/>
  <c r="AI209" i="6"/>
  <c r="D210" i="4"/>
  <c r="AI198" i="6"/>
  <c r="AI198" i="3"/>
  <c r="AI206" i="6"/>
  <c r="AI206" i="3"/>
  <c r="D218" i="4"/>
  <c r="AI202" i="3"/>
  <c r="AI202" i="6"/>
  <c r="D214" i="4"/>
  <c r="D199" i="4"/>
  <c r="AI187" i="3"/>
  <c r="AI187" i="6"/>
  <c r="AI219" i="6"/>
  <c r="AI219" i="3"/>
  <c r="D231" i="4"/>
  <c r="P19" i="6"/>
  <c r="Q19" i="6"/>
  <c r="J20" i="6"/>
  <c r="A19" i="4"/>
  <c r="B18" i="4"/>
  <c r="E240" i="4"/>
  <c r="E210" i="4"/>
  <c r="D227" i="4"/>
  <c r="AI215" i="6"/>
  <c r="AI215" i="3"/>
  <c r="E208" i="4"/>
  <c r="E212" i="4"/>
  <c r="E218" i="4"/>
  <c r="E214" i="4"/>
  <c r="A20" i="10"/>
  <c r="Y20" i="3" l="1"/>
  <c r="E20" i="3"/>
  <c r="A22" i="3"/>
  <c r="B21" i="3"/>
  <c r="D21" i="3"/>
  <c r="C21" i="3"/>
  <c r="J20" i="3"/>
  <c r="P17" i="3"/>
  <c r="Q17" i="3"/>
  <c r="A20" i="6"/>
  <c r="B19" i="6"/>
  <c r="A20" i="11"/>
  <c r="B19" i="11"/>
  <c r="AI216" i="6"/>
  <c r="D228" i="4"/>
  <c r="AI216" i="3"/>
  <c r="AI208" i="3"/>
  <c r="D220" i="4"/>
  <c r="AI208" i="6"/>
  <c r="AI224" i="3"/>
  <c r="D236" i="4"/>
  <c r="AI224" i="6"/>
  <c r="AI218" i="3"/>
  <c r="D230" i="4"/>
  <c r="AI218" i="6"/>
  <c r="AI231" i="6"/>
  <c r="AI231" i="3"/>
  <c r="D243" i="4"/>
  <c r="D222" i="4"/>
  <c r="AI210" i="3"/>
  <c r="AI210" i="6"/>
  <c r="AI199" i="3"/>
  <c r="D211" i="4"/>
  <c r="AI199" i="6"/>
  <c r="AI214" i="3"/>
  <c r="D226" i="4"/>
  <c r="AI214" i="6"/>
  <c r="D233" i="4"/>
  <c r="AI221" i="6"/>
  <c r="AI221" i="3"/>
  <c r="D241" i="4"/>
  <c r="AI229" i="3"/>
  <c r="AI229" i="6"/>
  <c r="AI237" i="6"/>
  <c r="D249" i="4"/>
  <c r="AI237" i="3"/>
  <c r="Q20" i="6"/>
  <c r="P20" i="6"/>
  <c r="J21" i="6"/>
  <c r="E222" i="4"/>
  <c r="E230" i="4"/>
  <c r="E252" i="4"/>
  <c r="E226" i="4"/>
  <c r="E224" i="4"/>
  <c r="D239" i="4"/>
  <c r="AI227" i="3"/>
  <c r="AI227" i="6"/>
  <c r="A20" i="4"/>
  <c r="B19" i="4"/>
  <c r="E220" i="4"/>
  <c r="A21" i="10"/>
  <c r="Y21" i="3" l="1"/>
  <c r="E21" i="3"/>
  <c r="A23" i="3"/>
  <c r="B22" i="3"/>
  <c r="C22" i="3"/>
  <c r="D22" i="3"/>
  <c r="J21" i="3"/>
  <c r="P18" i="3"/>
  <c r="Q18" i="3"/>
  <c r="A21" i="6"/>
  <c r="B20" i="6"/>
  <c r="A21" i="11"/>
  <c r="B20" i="11"/>
  <c r="D232" i="4"/>
  <c r="AI220" i="6"/>
  <c r="AI220" i="3"/>
  <c r="AI228" i="3"/>
  <c r="D240" i="4"/>
  <c r="AI228" i="6"/>
  <c r="AI236" i="3"/>
  <c r="AI236" i="6"/>
  <c r="D248" i="4"/>
  <c r="D238" i="4"/>
  <c r="AI226" i="3"/>
  <c r="AI226" i="6"/>
  <c r="AI211" i="6"/>
  <c r="AI211" i="3"/>
  <c r="D223" i="4"/>
  <c r="D261" i="4"/>
  <c r="AI249" i="6"/>
  <c r="AI249" i="3"/>
  <c r="D234" i="4"/>
  <c r="AI222" i="6"/>
  <c r="AI222" i="3"/>
  <c r="AI243" i="3"/>
  <c r="D255" i="4"/>
  <c r="AI243" i="6"/>
  <c r="AI241" i="6"/>
  <c r="AI241" i="3"/>
  <c r="D253" i="4"/>
  <c r="D242" i="4"/>
  <c r="AI230" i="6"/>
  <c r="AI230" i="3"/>
  <c r="D245" i="4"/>
  <c r="AI233" i="6"/>
  <c r="AI233" i="3"/>
  <c r="J22" i="6"/>
  <c r="P21" i="6"/>
  <c r="Q21" i="6"/>
  <c r="E232" i="4"/>
  <c r="D251" i="4"/>
  <c r="AI239" i="6"/>
  <c r="AI239" i="3"/>
  <c r="E242" i="4"/>
  <c r="E236" i="4"/>
  <c r="E238" i="4"/>
  <c r="A21" i="4"/>
  <c r="B20" i="4"/>
  <c r="E264" i="4"/>
  <c r="E234" i="4"/>
  <c r="A22" i="10"/>
  <c r="Y22" i="3" l="1"/>
  <c r="E22" i="3"/>
  <c r="A24" i="3"/>
  <c r="B23" i="3"/>
  <c r="D23" i="3"/>
  <c r="C23" i="3"/>
  <c r="J22" i="3"/>
  <c r="Q19" i="3"/>
  <c r="P19" i="3"/>
  <c r="A22" i="6"/>
  <c r="B21" i="6"/>
  <c r="B21" i="11"/>
  <c r="A22" i="11"/>
  <c r="D252" i="4"/>
  <c r="AI240" i="3"/>
  <c r="AI240" i="6"/>
  <c r="AI232" i="6"/>
  <c r="D244" i="4"/>
  <c r="AI232" i="3"/>
  <c r="AI248" i="3"/>
  <c r="AI248" i="6"/>
  <c r="D260" i="4"/>
  <c r="D246" i="4"/>
  <c r="AI234" i="6"/>
  <c r="AI234" i="3"/>
  <c r="D257" i="4"/>
  <c r="AI245" i="6"/>
  <c r="AI245" i="3"/>
  <c r="AI242" i="3"/>
  <c r="AI242" i="6"/>
  <c r="D254" i="4"/>
  <c r="AI261" i="3"/>
  <c r="AI261" i="6"/>
  <c r="D273" i="4"/>
  <c r="AI253" i="3"/>
  <c r="AI253" i="6"/>
  <c r="D265" i="4"/>
  <c r="AI223" i="6"/>
  <c r="D235" i="4"/>
  <c r="AI223" i="3"/>
  <c r="D267" i="4"/>
  <c r="AI255" i="6"/>
  <c r="AI255" i="3"/>
  <c r="D250" i="4"/>
  <c r="AI238" i="6"/>
  <c r="AI238" i="3"/>
  <c r="J23" i="6"/>
  <c r="P22" i="6"/>
  <c r="Q22" i="6"/>
  <c r="E250" i="4"/>
  <c r="E246" i="4"/>
  <c r="E276" i="4"/>
  <c r="E248" i="4"/>
  <c r="D263" i="4"/>
  <c r="AI251" i="3"/>
  <c r="AI251" i="6"/>
  <c r="A22" i="4"/>
  <c r="B21" i="4"/>
  <c r="E244" i="4"/>
  <c r="E254" i="4"/>
  <c r="A23" i="10"/>
  <c r="Y23" i="3" l="1"/>
  <c r="E23" i="3"/>
  <c r="A25" i="3"/>
  <c r="B24" i="3"/>
  <c r="D24" i="3"/>
  <c r="C24" i="3"/>
  <c r="J23" i="3"/>
  <c r="Q20" i="3"/>
  <c r="P20" i="3"/>
  <c r="A23" i="6"/>
  <c r="B22" i="6"/>
  <c r="A23" i="11"/>
  <c r="B22" i="11"/>
  <c r="AI244" i="6"/>
  <c r="AI244" i="3"/>
  <c r="D256" i="4"/>
  <c r="AI252" i="6"/>
  <c r="D264" i="4"/>
  <c r="AI252" i="3"/>
  <c r="AI260" i="3"/>
  <c r="D272" i="4"/>
  <c r="AI260" i="6"/>
  <c r="AI254" i="6"/>
  <c r="D266" i="4"/>
  <c r="AI254" i="3"/>
  <c r="AI250" i="3"/>
  <c r="AI250" i="6"/>
  <c r="D262" i="4"/>
  <c r="AI267" i="6"/>
  <c r="D279" i="4"/>
  <c r="AI267" i="3"/>
  <c r="AI235" i="6"/>
  <c r="AI235" i="3"/>
  <c r="D247" i="4"/>
  <c r="AI265" i="6"/>
  <c r="D277" i="4"/>
  <c r="AI265" i="3"/>
  <c r="D269" i="4"/>
  <c r="AI257" i="6"/>
  <c r="AI257" i="3"/>
  <c r="AI273" i="3"/>
  <c r="D285" i="4"/>
  <c r="AI273" i="6"/>
  <c r="D258" i="4"/>
  <c r="AI246" i="6"/>
  <c r="AI246" i="3"/>
  <c r="P23" i="6"/>
  <c r="Q23" i="6"/>
  <c r="J24" i="6"/>
  <c r="E258" i="4"/>
  <c r="E266" i="4"/>
  <c r="A23" i="4"/>
  <c r="B22" i="4"/>
  <c r="D275" i="4"/>
  <c r="AI263" i="6"/>
  <c r="AI263" i="3"/>
  <c r="E288" i="4"/>
  <c r="E256" i="4"/>
  <c r="E260" i="4"/>
  <c r="E262" i="4"/>
  <c r="A24" i="10"/>
  <c r="Y24" i="3" l="1"/>
  <c r="E24" i="3"/>
  <c r="A26" i="3"/>
  <c r="B25" i="3"/>
  <c r="D25" i="3"/>
  <c r="C25" i="3"/>
  <c r="J24" i="3"/>
  <c r="P21" i="3"/>
  <c r="Q21" i="3"/>
  <c r="A24" i="6"/>
  <c r="B23" i="6"/>
  <c r="A24" i="11"/>
  <c r="B23" i="11"/>
  <c r="D276" i="4"/>
  <c r="AI264" i="3"/>
  <c r="AI264" i="6"/>
  <c r="AI256" i="3"/>
  <c r="AI256" i="6"/>
  <c r="D268" i="4"/>
  <c r="AI272" i="6"/>
  <c r="AI272" i="3"/>
  <c r="D284" i="4"/>
  <c r="AI247" i="6"/>
  <c r="D259" i="4"/>
  <c r="AI247" i="3"/>
  <c r="D270" i="4"/>
  <c r="AI258" i="3"/>
  <c r="AI258" i="6"/>
  <c r="AI285" i="3"/>
  <c r="AI285" i="6"/>
  <c r="D297" i="4"/>
  <c r="AI279" i="3"/>
  <c r="AI279" i="6"/>
  <c r="D291" i="4"/>
  <c r="AI262" i="6"/>
  <c r="AI262" i="3"/>
  <c r="D274" i="4"/>
  <c r="D281" i="4"/>
  <c r="AI269" i="6"/>
  <c r="AI269" i="3"/>
  <c r="D278" i="4"/>
  <c r="AI266" i="6"/>
  <c r="AI266" i="3"/>
  <c r="AI277" i="6"/>
  <c r="D289" i="4"/>
  <c r="AI277" i="3"/>
  <c r="J25" i="6"/>
  <c r="P24" i="6"/>
  <c r="Q24" i="6"/>
  <c r="E300" i="4"/>
  <c r="E270" i="4"/>
  <c r="D287" i="4"/>
  <c r="AI275" i="6"/>
  <c r="AI275" i="3"/>
  <c r="A24" i="4"/>
  <c r="B23" i="4"/>
  <c r="E274" i="4"/>
  <c r="E272" i="4"/>
  <c r="E268" i="4"/>
  <c r="E278" i="4"/>
  <c r="A25" i="10"/>
  <c r="Y25" i="3" l="1"/>
  <c r="E25" i="3"/>
  <c r="A27" i="3"/>
  <c r="B26" i="3"/>
  <c r="C26" i="3"/>
  <c r="D26" i="3"/>
  <c r="J25" i="3"/>
  <c r="P22" i="3"/>
  <c r="Q22" i="3"/>
  <c r="A25" i="6"/>
  <c r="B24" i="6"/>
  <c r="B24" i="11"/>
  <c r="A25" i="11"/>
  <c r="AI268" i="3"/>
  <c r="AI268" i="6"/>
  <c r="D280" i="4"/>
  <c r="AI276" i="6"/>
  <c r="AI276" i="3"/>
  <c r="D288" i="4"/>
  <c r="AI284" i="6"/>
  <c r="D296" i="4"/>
  <c r="AI284" i="3"/>
  <c r="AI291" i="3"/>
  <c r="D303" i="4"/>
  <c r="AI291" i="6"/>
  <c r="AI289" i="3"/>
  <c r="AI289" i="6"/>
  <c r="D301" i="4"/>
  <c r="D309" i="4"/>
  <c r="AI297" i="3"/>
  <c r="AI297" i="6"/>
  <c r="AI278" i="3"/>
  <c r="AI278" i="6"/>
  <c r="D290" i="4"/>
  <c r="AI281" i="6"/>
  <c r="AI281" i="3"/>
  <c r="D293" i="4"/>
  <c r="D282" i="4"/>
  <c r="AI270" i="3"/>
  <c r="AI270" i="6"/>
  <c r="D286" i="4"/>
  <c r="AI274" i="3"/>
  <c r="AI274" i="6"/>
  <c r="AI259" i="3"/>
  <c r="D271" i="4"/>
  <c r="AI259" i="6"/>
  <c r="J26" i="6"/>
  <c r="P25" i="6"/>
  <c r="Q25" i="6"/>
  <c r="E286" i="4"/>
  <c r="B24" i="4"/>
  <c r="A25" i="4"/>
  <c r="D299" i="4"/>
  <c r="AI287" i="3"/>
  <c r="AI287" i="6"/>
  <c r="E284" i="4"/>
  <c r="E280" i="4"/>
  <c r="E312" i="4"/>
  <c r="E290" i="4"/>
  <c r="E282" i="4"/>
  <c r="A26" i="10"/>
  <c r="Y26" i="3" l="1"/>
  <c r="E26" i="3"/>
  <c r="A28" i="3"/>
  <c r="B27" i="3"/>
  <c r="C27" i="3"/>
  <c r="D27" i="3"/>
  <c r="J26" i="3"/>
  <c r="P23" i="3"/>
  <c r="Q23" i="3"/>
  <c r="B25" i="6"/>
  <c r="A26" i="6"/>
  <c r="A26" i="11"/>
  <c r="B25" i="11"/>
  <c r="D300" i="4"/>
  <c r="AI288" i="3"/>
  <c r="AI288" i="6"/>
  <c r="AI280" i="6"/>
  <c r="AI280" i="3"/>
  <c r="D292" i="4"/>
  <c r="AI296" i="6"/>
  <c r="D308" i="4"/>
  <c r="AI296" i="3"/>
  <c r="D283" i="4"/>
  <c r="AI271" i="6"/>
  <c r="AI271" i="3"/>
  <c r="AI290" i="6"/>
  <c r="AI290" i="3"/>
  <c r="D302" i="4"/>
  <c r="D298" i="4"/>
  <c r="AI286" i="3"/>
  <c r="AI286" i="6"/>
  <c r="AI309" i="3"/>
  <c r="AI309" i="6"/>
  <c r="D321" i="4"/>
  <c r="D294" i="4"/>
  <c r="AI282" i="3"/>
  <c r="AI282" i="6"/>
  <c r="AI301" i="6"/>
  <c r="D313" i="4"/>
  <c r="AI301" i="3"/>
  <c r="AI293" i="3"/>
  <c r="D305" i="4"/>
  <c r="AI293" i="6"/>
  <c r="AI303" i="6"/>
  <c r="AI303" i="3"/>
  <c r="D315" i="4"/>
  <c r="J27" i="6"/>
  <c r="P26" i="6"/>
  <c r="Q26" i="6"/>
  <c r="E324" i="4"/>
  <c r="E296" i="4"/>
  <c r="E292" i="4"/>
  <c r="D311" i="4"/>
  <c r="AI299" i="6"/>
  <c r="AI299" i="3"/>
  <c r="A26" i="4"/>
  <c r="B25" i="4"/>
  <c r="E294" i="4"/>
  <c r="E302" i="4"/>
  <c r="E298" i="4"/>
  <c r="A27" i="10"/>
  <c r="Y27" i="3" l="1"/>
  <c r="E27" i="3"/>
  <c r="A29" i="3"/>
  <c r="B28" i="3"/>
  <c r="C28" i="3"/>
  <c r="D28" i="3"/>
  <c r="J27" i="3"/>
  <c r="Q24" i="3"/>
  <c r="P24" i="3"/>
  <c r="A27" i="6"/>
  <c r="B26" i="6"/>
  <c r="A27" i="11"/>
  <c r="B26" i="11"/>
  <c r="AI292" i="6"/>
  <c r="D304" i="4"/>
  <c r="AI292" i="3"/>
  <c r="D312" i="4"/>
  <c r="AI300" i="6"/>
  <c r="AI300" i="3"/>
  <c r="AI308" i="3"/>
  <c r="AI308" i="6"/>
  <c r="D320" i="4"/>
  <c r="D306" i="4"/>
  <c r="AI294" i="6"/>
  <c r="AI294" i="3"/>
  <c r="D333" i="4"/>
  <c r="AI321" i="6"/>
  <c r="AI321" i="3"/>
  <c r="D327" i="4"/>
  <c r="AI315" i="6"/>
  <c r="AI315" i="3"/>
  <c r="AI298" i="3"/>
  <c r="D310" i="4"/>
  <c r="AI298" i="6"/>
  <c r="D317" i="4"/>
  <c r="AI305" i="3"/>
  <c r="AI305" i="6"/>
  <c r="AI302" i="3"/>
  <c r="D314" i="4"/>
  <c r="AI302" i="6"/>
  <c r="AI313" i="3"/>
  <c r="AI313" i="6"/>
  <c r="D325" i="4"/>
  <c r="D295" i="4"/>
  <c r="AI283" i="6"/>
  <c r="AI283" i="3"/>
  <c r="J28" i="6"/>
  <c r="P27" i="6"/>
  <c r="Q27" i="6"/>
  <c r="E304" i="4"/>
  <c r="E306" i="4"/>
  <c r="A27" i="4"/>
  <c r="B26" i="4"/>
  <c r="D323" i="4"/>
  <c r="AI311" i="3"/>
  <c r="AI311" i="6"/>
  <c r="E308" i="4"/>
  <c r="E314" i="4"/>
  <c r="E310" i="4"/>
  <c r="E336" i="4"/>
  <c r="A28" i="10"/>
  <c r="Y28" i="3" l="1"/>
  <c r="E28" i="3"/>
  <c r="A30" i="3"/>
  <c r="B29" i="3"/>
  <c r="D29" i="3"/>
  <c r="C29" i="3"/>
  <c r="J28" i="3"/>
  <c r="P25" i="3"/>
  <c r="Q25" i="3"/>
  <c r="A28" i="6"/>
  <c r="B27" i="6"/>
  <c r="B27" i="11"/>
  <c r="A28" i="11"/>
  <c r="D324" i="4"/>
  <c r="AI312" i="6"/>
  <c r="AI312" i="3"/>
  <c r="AI304" i="3"/>
  <c r="D316" i="4"/>
  <c r="AI304" i="6"/>
  <c r="AI320" i="3"/>
  <c r="D332" i="4"/>
  <c r="AI320" i="6"/>
  <c r="AI317" i="6"/>
  <c r="AI317" i="3"/>
  <c r="D329" i="4"/>
  <c r="D322" i="4"/>
  <c r="AI310" i="6"/>
  <c r="AI310" i="3"/>
  <c r="AI295" i="3"/>
  <c r="AI295" i="6"/>
  <c r="D307" i="4"/>
  <c r="D339" i="4"/>
  <c r="AI327" i="6"/>
  <c r="AI327" i="3"/>
  <c r="D337" i="4"/>
  <c r="AI325" i="6"/>
  <c r="AI325" i="3"/>
  <c r="AI333" i="3"/>
  <c r="AI333" i="6"/>
  <c r="D345" i="4"/>
  <c r="AI314" i="6"/>
  <c r="D326" i="4"/>
  <c r="AI314" i="3"/>
  <c r="D318" i="4"/>
  <c r="AI306" i="3"/>
  <c r="AI306" i="6"/>
  <c r="Q28" i="6"/>
  <c r="J29" i="6"/>
  <c r="P28" i="6"/>
  <c r="E320" i="4"/>
  <c r="E318" i="4"/>
  <c r="E322" i="4"/>
  <c r="E326" i="4"/>
  <c r="E316" i="4"/>
  <c r="D335" i="4"/>
  <c r="AI323" i="6"/>
  <c r="AI323" i="3"/>
  <c r="A28" i="4"/>
  <c r="B27" i="4"/>
  <c r="E348" i="4"/>
  <c r="A29" i="10"/>
  <c r="Y29" i="3" l="1"/>
  <c r="E29" i="3"/>
  <c r="A31" i="3"/>
  <c r="B30" i="3"/>
  <c r="D30" i="3"/>
  <c r="C30" i="3"/>
  <c r="J29" i="3"/>
  <c r="Q26" i="3"/>
  <c r="P26" i="3"/>
  <c r="B28" i="6"/>
  <c r="A29" i="6"/>
  <c r="A29" i="11"/>
  <c r="B28" i="11"/>
  <c r="AI316" i="3"/>
  <c r="AI316" i="6"/>
  <c r="D328" i="4"/>
  <c r="AI324" i="3"/>
  <c r="AI324" i="6"/>
  <c r="D336" i="4"/>
  <c r="AI332" i="6"/>
  <c r="AI332" i="3"/>
  <c r="D344" i="4"/>
  <c r="D349" i="4"/>
  <c r="AI337" i="3"/>
  <c r="AI337" i="6"/>
  <c r="AI339" i="6"/>
  <c r="AI339" i="3"/>
  <c r="D351" i="4"/>
  <c r="D319" i="4"/>
  <c r="AI307" i="3"/>
  <c r="AI307" i="6"/>
  <c r="AI326" i="3"/>
  <c r="D338" i="4"/>
  <c r="AI326" i="6"/>
  <c r="D334" i="4"/>
  <c r="AI322" i="3"/>
  <c r="AI322" i="6"/>
  <c r="D341" i="4"/>
  <c r="AI329" i="3"/>
  <c r="AI329" i="6"/>
  <c r="D330" i="4"/>
  <c r="AI318" i="6"/>
  <c r="AI318" i="3"/>
  <c r="D357" i="4"/>
  <c r="AI345" i="3"/>
  <c r="AI345" i="6"/>
  <c r="J30" i="6"/>
  <c r="P29" i="6"/>
  <c r="Q29" i="6"/>
  <c r="E360" i="4"/>
  <c r="A29" i="4"/>
  <c r="B28" i="4"/>
  <c r="E338" i="4"/>
  <c r="E334" i="4"/>
  <c r="D347" i="4"/>
  <c r="AI335" i="3"/>
  <c r="AI335" i="6"/>
  <c r="E330" i="4"/>
  <c r="E328" i="4"/>
  <c r="E332" i="4"/>
  <c r="A30" i="10"/>
  <c r="Y30" i="3" l="1"/>
  <c r="E30" i="3"/>
  <c r="A32" i="3"/>
  <c r="B31" i="3"/>
  <c r="C31" i="3"/>
  <c r="D31" i="3"/>
  <c r="J30" i="3"/>
  <c r="Q27" i="3"/>
  <c r="P27" i="3"/>
  <c r="A30" i="6"/>
  <c r="B29" i="6"/>
  <c r="A30" i="11"/>
  <c r="B29" i="11"/>
  <c r="AI336" i="3"/>
  <c r="AI336" i="6"/>
  <c r="D348" i="4"/>
  <c r="AI328" i="6"/>
  <c r="D340" i="4"/>
  <c r="AI328" i="3"/>
  <c r="D356" i="4"/>
  <c r="AI344" i="6"/>
  <c r="AI344" i="3"/>
  <c r="D346" i="4"/>
  <c r="AI334" i="6"/>
  <c r="AI334" i="3"/>
  <c r="D350" i="4"/>
  <c r="AI338" i="3"/>
  <c r="AI338" i="6"/>
  <c r="D331" i="4"/>
  <c r="AI319" i="6"/>
  <c r="AI319" i="3"/>
  <c r="D363" i="4"/>
  <c r="AI351" i="3"/>
  <c r="AI351" i="6"/>
  <c r="D342" i="4"/>
  <c r="AI330" i="3"/>
  <c r="AI330" i="6"/>
  <c r="AI357" i="3"/>
  <c r="AI357" i="6"/>
  <c r="D369" i="4"/>
  <c r="D353" i="4"/>
  <c r="AI341" i="6"/>
  <c r="AI341" i="3"/>
  <c r="AI349" i="3"/>
  <c r="AI349" i="6"/>
  <c r="D361" i="4"/>
  <c r="P30" i="6"/>
  <c r="Q30" i="6"/>
  <c r="J31" i="6"/>
  <c r="E340" i="4"/>
  <c r="E342" i="4"/>
  <c r="E350" i="4"/>
  <c r="E344" i="4"/>
  <c r="D359" i="4"/>
  <c r="AI347" i="3"/>
  <c r="AI347" i="6"/>
  <c r="E346" i="4"/>
  <c r="B29" i="4"/>
  <c r="A30" i="4"/>
  <c r="E372" i="4"/>
  <c r="A31" i="10"/>
  <c r="Y31" i="3" l="1"/>
  <c r="E31" i="3"/>
  <c r="A33" i="3"/>
  <c r="B32" i="3"/>
  <c r="C32" i="3"/>
  <c r="D32" i="3"/>
  <c r="J31" i="3"/>
  <c r="Q28" i="3"/>
  <c r="P28" i="3"/>
  <c r="A31" i="6"/>
  <c r="B30" i="6"/>
  <c r="B30" i="11"/>
  <c r="A31" i="11"/>
  <c r="AI340" i="3"/>
  <c r="D352" i="4"/>
  <c r="AI340" i="6"/>
  <c r="AI348" i="6"/>
  <c r="D360" i="4"/>
  <c r="AI348" i="3"/>
  <c r="AI356" i="6"/>
  <c r="D368" i="4"/>
  <c r="AI356" i="3"/>
  <c r="D354" i="4"/>
  <c r="AI342" i="3"/>
  <c r="AI342" i="6"/>
  <c r="D375" i="4"/>
  <c r="AI363" i="3"/>
  <c r="AI363" i="6"/>
  <c r="AI353" i="6"/>
  <c r="D365" i="4"/>
  <c r="AI353" i="3"/>
  <c r="D343" i="4"/>
  <c r="AI331" i="6"/>
  <c r="AI331" i="3"/>
  <c r="AI369" i="3"/>
  <c r="D381" i="4"/>
  <c r="AI369" i="6"/>
  <c r="AI350" i="6"/>
  <c r="AI350" i="3"/>
  <c r="D362" i="4"/>
  <c r="D373" i="4"/>
  <c r="AI361" i="3"/>
  <c r="AI361" i="6"/>
  <c r="AI346" i="6"/>
  <c r="D358" i="4"/>
  <c r="AI346" i="3"/>
  <c r="P31" i="6"/>
  <c r="Q31" i="6"/>
  <c r="J32" i="6"/>
  <c r="E362" i="4"/>
  <c r="E358" i="4"/>
  <c r="E356" i="4"/>
  <c r="E354" i="4"/>
  <c r="A31" i="4"/>
  <c r="B30" i="4"/>
  <c r="E352" i="4"/>
  <c r="D371" i="4"/>
  <c r="AI359" i="3"/>
  <c r="AI359" i="6"/>
  <c r="E384" i="4"/>
  <c r="A32" i="10"/>
  <c r="Y32" i="3" l="1"/>
  <c r="E32" i="3"/>
  <c r="A34" i="3"/>
  <c r="B33" i="3"/>
  <c r="C33" i="3"/>
  <c r="D33" i="3"/>
  <c r="J32" i="3"/>
  <c r="P29" i="3"/>
  <c r="Q29" i="3"/>
  <c r="A32" i="6"/>
  <c r="B31" i="6"/>
  <c r="A32" i="11"/>
  <c r="B31" i="11"/>
  <c r="D372" i="4"/>
  <c r="AI360" i="6"/>
  <c r="AI360" i="3"/>
  <c r="AI352" i="3"/>
  <c r="AI352" i="6"/>
  <c r="D364" i="4"/>
  <c r="AI368" i="3"/>
  <c r="AI368" i="6"/>
  <c r="D380" i="4"/>
  <c r="AI358" i="6"/>
  <c r="D370" i="4"/>
  <c r="AI358" i="3"/>
  <c r="AI343" i="6"/>
  <c r="D355" i="4"/>
  <c r="AI343" i="3"/>
  <c r="D377" i="4"/>
  <c r="AI365" i="6"/>
  <c r="AI365" i="3"/>
  <c r="D385" i="4"/>
  <c r="AI373" i="6"/>
  <c r="AI373" i="3"/>
  <c r="D374" i="4"/>
  <c r="AI362" i="3"/>
  <c r="AI362" i="6"/>
  <c r="D387" i="4"/>
  <c r="AI375" i="6"/>
  <c r="AI375" i="3"/>
  <c r="D366" i="4"/>
  <c r="AI354" i="3"/>
  <c r="AI354" i="6"/>
  <c r="AI381" i="3"/>
  <c r="D393" i="4"/>
  <c r="AI381" i="6"/>
  <c r="Q32" i="6"/>
  <c r="J33" i="6"/>
  <c r="P32" i="6"/>
  <c r="D383" i="4"/>
  <c r="AI371" i="3"/>
  <c r="AI371" i="6"/>
  <c r="E366" i="4"/>
  <c r="E364" i="4"/>
  <c r="E374" i="4"/>
  <c r="E396" i="4"/>
  <c r="E370" i="4"/>
  <c r="E368" i="4"/>
  <c r="A32" i="4"/>
  <c r="B31" i="4"/>
  <c r="A33" i="10"/>
  <c r="Y33" i="3" l="1"/>
  <c r="E33" i="3"/>
  <c r="A35" i="3"/>
  <c r="B34" i="3"/>
  <c r="D34" i="3"/>
  <c r="C34" i="3"/>
  <c r="F118" i="5"/>
  <c r="F123" i="5" s="1"/>
  <c r="J33" i="3"/>
  <c r="P30" i="3"/>
  <c r="Q30" i="3"/>
  <c r="A33" i="6"/>
  <c r="B32" i="6"/>
  <c r="A33" i="11"/>
  <c r="B32" i="11"/>
  <c r="AI364" i="6"/>
  <c r="AI364" i="3"/>
  <c r="D376" i="4"/>
  <c r="AI372" i="6"/>
  <c r="D384" i="4"/>
  <c r="AI372" i="3"/>
  <c r="D392" i="4"/>
  <c r="AI380" i="3"/>
  <c r="AI380" i="6"/>
  <c r="AI366" i="6"/>
  <c r="AI366" i="3"/>
  <c r="D378" i="4"/>
  <c r="D389" i="4"/>
  <c r="AI377" i="6"/>
  <c r="AI377" i="3"/>
  <c r="AI385" i="3"/>
  <c r="D397" i="4"/>
  <c r="AI385" i="6"/>
  <c r="AI393" i="6"/>
  <c r="D405" i="4"/>
  <c r="AI393" i="3"/>
  <c r="D399" i="4"/>
  <c r="AI387" i="3"/>
  <c r="AI387" i="6"/>
  <c r="AI355" i="3"/>
  <c r="AI355" i="6"/>
  <c r="D367" i="4"/>
  <c r="D382" i="4"/>
  <c r="AI370" i="3"/>
  <c r="AI370" i="6"/>
  <c r="AI374" i="3"/>
  <c r="D386" i="4"/>
  <c r="AI374" i="6"/>
  <c r="Q33" i="6"/>
  <c r="J34" i="6"/>
  <c r="P33" i="6"/>
  <c r="E408" i="4"/>
  <c r="E378" i="4"/>
  <c r="E386" i="4"/>
  <c r="E380" i="4"/>
  <c r="E376" i="4"/>
  <c r="D395" i="4"/>
  <c r="AI383" i="6"/>
  <c r="AI383" i="3"/>
  <c r="B32" i="4"/>
  <c r="A33" i="4"/>
  <c r="E382" i="4"/>
  <c r="A34" i="10"/>
  <c r="Y34" i="3" l="1"/>
  <c r="E34" i="3"/>
  <c r="A36" i="3"/>
  <c r="B35" i="3"/>
  <c r="D35" i="3"/>
  <c r="C35" i="3"/>
  <c r="J34" i="3"/>
  <c r="P31" i="3"/>
  <c r="Q31" i="3"/>
  <c r="A34" i="6"/>
  <c r="B33" i="6"/>
  <c r="A34" i="11"/>
  <c r="B33" i="11"/>
  <c r="D396" i="4"/>
  <c r="AI384" i="3"/>
  <c r="AI384" i="6"/>
  <c r="AI376" i="3"/>
  <c r="D388" i="4"/>
  <c r="AI376" i="6"/>
  <c r="AI392" i="6"/>
  <c r="D404" i="4"/>
  <c r="AI392" i="3"/>
  <c r="D417" i="4"/>
  <c r="AI405" i="3"/>
  <c r="AI405" i="6"/>
  <c r="D398" i="4"/>
  <c r="AI386" i="3"/>
  <c r="AI386" i="6"/>
  <c r="D409" i="4"/>
  <c r="AI397" i="6"/>
  <c r="AI397" i="3"/>
  <c r="AI382" i="6"/>
  <c r="D394" i="4"/>
  <c r="AI382" i="3"/>
  <c r="AI367" i="3"/>
  <c r="D379" i="4"/>
  <c r="AI367" i="6"/>
  <c r="D401" i="4"/>
  <c r="AI389" i="6"/>
  <c r="AI389" i="3"/>
  <c r="AI378" i="6"/>
  <c r="AI378" i="3"/>
  <c r="D390" i="4"/>
  <c r="AI399" i="3"/>
  <c r="D411" i="4"/>
  <c r="AI399" i="6"/>
  <c r="J35" i="6"/>
  <c r="P34" i="6"/>
  <c r="Q34" i="6"/>
  <c r="A34" i="4"/>
  <c r="B33" i="4"/>
  <c r="E388" i="4"/>
  <c r="E390" i="4"/>
  <c r="E398" i="4"/>
  <c r="E420" i="4"/>
  <c r="E392" i="4"/>
  <c r="D407" i="4"/>
  <c r="AI395" i="3"/>
  <c r="AI395" i="6"/>
  <c r="E394" i="4"/>
  <c r="A35" i="10"/>
  <c r="Y35" i="3" l="1"/>
  <c r="E35" i="3"/>
  <c r="A37" i="3"/>
  <c r="B36" i="3"/>
  <c r="D36" i="3"/>
  <c r="C36" i="3"/>
  <c r="J35" i="3"/>
  <c r="P32" i="3"/>
  <c r="Q32" i="3"/>
  <c r="A35" i="6"/>
  <c r="B34" i="6"/>
  <c r="A35" i="11"/>
  <c r="B34" i="11"/>
  <c r="AI388" i="3"/>
  <c r="AI388" i="6"/>
  <c r="D400" i="4"/>
  <c r="AI396" i="6"/>
  <c r="D408" i="4"/>
  <c r="AI396" i="3"/>
  <c r="D416" i="4"/>
  <c r="AI404" i="6"/>
  <c r="AI404" i="3"/>
  <c r="D406" i="4"/>
  <c r="AI394" i="6"/>
  <c r="AI394" i="3"/>
  <c r="D421" i="4"/>
  <c r="AI409" i="3"/>
  <c r="AI409" i="6"/>
  <c r="AI390" i="6"/>
  <c r="AI390" i="3"/>
  <c r="D402" i="4"/>
  <c r="D423" i="4"/>
  <c r="AI411" i="6"/>
  <c r="AI411" i="3"/>
  <c r="AI401" i="3"/>
  <c r="AI401" i="6"/>
  <c r="D413" i="4"/>
  <c r="D410" i="4"/>
  <c r="AI398" i="3"/>
  <c r="AI398" i="6"/>
  <c r="AI379" i="3"/>
  <c r="D391" i="4"/>
  <c r="AI379" i="6"/>
  <c r="AI417" i="3"/>
  <c r="D429" i="4"/>
  <c r="AI417" i="6"/>
  <c r="P35" i="6"/>
  <c r="Q35" i="6"/>
  <c r="J36" i="6"/>
  <c r="E400" i="4"/>
  <c r="E402" i="4"/>
  <c r="D419" i="4"/>
  <c r="AI407" i="6"/>
  <c r="AI407" i="3"/>
  <c r="A35" i="4"/>
  <c r="B34" i="4"/>
  <c r="E404" i="4"/>
  <c r="E406" i="4"/>
  <c r="E410" i="4"/>
  <c r="E432" i="4"/>
  <c r="A36" i="10"/>
  <c r="Y36" i="3" l="1"/>
  <c r="E36" i="3"/>
  <c r="A38" i="3"/>
  <c r="B37" i="3"/>
  <c r="C37" i="3"/>
  <c r="D37" i="3"/>
  <c r="J36" i="3"/>
  <c r="P33" i="3"/>
  <c r="Q33" i="3"/>
  <c r="A36" i="6"/>
  <c r="B35" i="6"/>
  <c r="A36" i="11"/>
  <c r="B35" i="11"/>
  <c r="AI408" i="6"/>
  <c r="AI408" i="3"/>
  <c r="D420" i="4"/>
  <c r="D412" i="4"/>
  <c r="AI400" i="6"/>
  <c r="AI400" i="3"/>
  <c r="AI416" i="3"/>
  <c r="AI416" i="6"/>
  <c r="D428" i="4"/>
  <c r="AI423" i="3"/>
  <c r="D435" i="4"/>
  <c r="AI423" i="6"/>
  <c r="AI391" i="6"/>
  <c r="D403" i="4"/>
  <c r="AI391" i="3"/>
  <c r="D414" i="4"/>
  <c r="AI402" i="6"/>
  <c r="AI402" i="3"/>
  <c r="AI429" i="3"/>
  <c r="AI429" i="6"/>
  <c r="D441" i="4"/>
  <c r="D422" i="4"/>
  <c r="AI410" i="3"/>
  <c r="AI410" i="6"/>
  <c r="AI421" i="6"/>
  <c r="D433" i="4"/>
  <c r="AI421" i="3"/>
  <c r="D425" i="4"/>
  <c r="AI413" i="3"/>
  <c r="AI413" i="6"/>
  <c r="AI406" i="6"/>
  <c r="AI406" i="3"/>
  <c r="D418" i="4"/>
  <c r="Q36" i="6"/>
  <c r="J37" i="6"/>
  <c r="P36" i="6"/>
  <c r="E416" i="4"/>
  <c r="E414" i="4"/>
  <c r="E422" i="4"/>
  <c r="E412" i="4"/>
  <c r="E418" i="4"/>
  <c r="B35" i="4"/>
  <c r="A36" i="4"/>
  <c r="E444" i="4"/>
  <c r="D431" i="4"/>
  <c r="AI419" i="6"/>
  <c r="AI419" i="3"/>
  <c r="A37" i="10"/>
  <c r="Y37" i="3" l="1"/>
  <c r="E37" i="3"/>
  <c r="A39" i="3"/>
  <c r="B38" i="3"/>
  <c r="C38" i="3"/>
  <c r="D38" i="3"/>
  <c r="J37" i="3"/>
  <c r="Q34" i="3"/>
  <c r="P34" i="3"/>
  <c r="B36" i="6"/>
  <c r="A37" i="6"/>
  <c r="A37" i="11"/>
  <c r="B36" i="11"/>
  <c r="AI412" i="6"/>
  <c r="AI412" i="3"/>
  <c r="D424" i="4"/>
  <c r="AI420" i="3"/>
  <c r="D432" i="4"/>
  <c r="AI420" i="6"/>
  <c r="AI428" i="6"/>
  <c r="D440" i="4"/>
  <c r="AI428" i="3"/>
  <c r="D430" i="4"/>
  <c r="AI418" i="3"/>
  <c r="AI418" i="6"/>
  <c r="AI414" i="6"/>
  <c r="AI414" i="3"/>
  <c r="D426" i="4"/>
  <c r="AI425" i="3"/>
  <c r="D437" i="4"/>
  <c r="AI425" i="6"/>
  <c r="D415" i="4"/>
  <c r="AI403" i="6"/>
  <c r="AI403" i="3"/>
  <c r="AI441" i="6"/>
  <c r="D453" i="4"/>
  <c r="AI441" i="3"/>
  <c r="D445" i="4"/>
  <c r="AI433" i="6"/>
  <c r="AI433" i="3"/>
  <c r="AI422" i="3"/>
  <c r="D434" i="4"/>
  <c r="AI422" i="6"/>
  <c r="D447" i="4"/>
  <c r="AI435" i="6"/>
  <c r="AI435" i="3"/>
  <c r="J38" i="6"/>
  <c r="P37" i="6"/>
  <c r="Q37" i="6"/>
  <c r="A37" i="4"/>
  <c r="B36" i="4"/>
  <c r="D443" i="4"/>
  <c r="AI431" i="6"/>
  <c r="AI431" i="3"/>
  <c r="E430" i="4"/>
  <c r="E456" i="4"/>
  <c r="E434" i="4"/>
  <c r="E426" i="4"/>
  <c r="E424" i="4"/>
  <c r="E428" i="4"/>
  <c r="A38" i="10"/>
  <c r="Y38" i="3" l="1"/>
  <c r="E38" i="3"/>
  <c r="A40" i="3"/>
  <c r="B39" i="3"/>
  <c r="D39" i="3"/>
  <c r="C39" i="3"/>
  <c r="J38" i="3"/>
  <c r="P35" i="3"/>
  <c r="Q35" i="3"/>
  <c r="A38" i="6"/>
  <c r="B37" i="6"/>
  <c r="B37" i="11"/>
  <c r="A38" i="11"/>
  <c r="AI432" i="6"/>
  <c r="D444" i="4"/>
  <c r="AI432" i="3"/>
  <c r="AI424" i="3"/>
  <c r="D436" i="4"/>
  <c r="AI424" i="6"/>
  <c r="D452" i="4"/>
  <c r="AI440" i="3"/>
  <c r="AI440" i="6"/>
  <c r="D465" i="4"/>
  <c r="AI453" i="6"/>
  <c r="AI453" i="3"/>
  <c r="AI415" i="6"/>
  <c r="D427" i="4"/>
  <c r="AI415" i="3"/>
  <c r="D449" i="4"/>
  <c r="AI437" i="3"/>
  <c r="AI437" i="6"/>
  <c r="AI447" i="3"/>
  <c r="D459" i="4"/>
  <c r="AI447" i="6"/>
  <c r="AI426" i="6"/>
  <c r="AI426" i="3"/>
  <c r="D438" i="4"/>
  <c r="AI434" i="3"/>
  <c r="AI434" i="6"/>
  <c r="D446" i="4"/>
  <c r="D457" i="4"/>
  <c r="AI445" i="6"/>
  <c r="AI445" i="3"/>
  <c r="D442" i="4"/>
  <c r="AI430" i="6"/>
  <c r="AI430" i="3"/>
  <c r="J39" i="6"/>
  <c r="P38" i="6"/>
  <c r="Q38" i="6"/>
  <c r="E440" i="4"/>
  <c r="E436" i="4"/>
  <c r="E438" i="4"/>
  <c r="E446" i="4"/>
  <c r="E468" i="4"/>
  <c r="E442" i="4"/>
  <c r="D455" i="4"/>
  <c r="AI443" i="6"/>
  <c r="AI443" i="3"/>
  <c r="B37" i="4"/>
  <c r="A38" i="4"/>
  <c r="A39" i="10"/>
  <c r="Y39" i="3" l="1"/>
  <c r="E39" i="3"/>
  <c r="A41" i="3"/>
  <c r="B40" i="3"/>
  <c r="D40" i="3"/>
  <c r="C40" i="3"/>
  <c r="J39" i="3"/>
  <c r="P36" i="3"/>
  <c r="Q36" i="3"/>
  <c r="B38" i="6"/>
  <c r="A39" i="6"/>
  <c r="A39" i="11"/>
  <c r="B38" i="11"/>
  <c r="AI436" i="3"/>
  <c r="D448" i="4"/>
  <c r="AI436" i="6"/>
  <c r="AI444" i="3"/>
  <c r="D456" i="4"/>
  <c r="AI444" i="6"/>
  <c r="AI452" i="3"/>
  <c r="D464" i="4"/>
  <c r="AI452" i="6"/>
  <c r="D454" i="4"/>
  <c r="AI442" i="6"/>
  <c r="AI442" i="3"/>
  <c r="D471" i="4"/>
  <c r="AI459" i="3"/>
  <c r="AI459" i="6"/>
  <c r="D469" i="4"/>
  <c r="AI457" i="6"/>
  <c r="AI457" i="3"/>
  <c r="D461" i="4"/>
  <c r="AI449" i="3"/>
  <c r="AI449" i="6"/>
  <c r="D439" i="4"/>
  <c r="AI427" i="3"/>
  <c r="AI427" i="6"/>
  <c r="AI446" i="6"/>
  <c r="AI446" i="3"/>
  <c r="D458" i="4"/>
  <c r="AI438" i="3"/>
  <c r="AI438" i="6"/>
  <c r="D450" i="4"/>
  <c r="AI465" i="3"/>
  <c r="AI465" i="6"/>
  <c r="D477" i="4"/>
  <c r="P39" i="6"/>
  <c r="Q39" i="6"/>
  <c r="J40" i="6"/>
  <c r="B38" i="4"/>
  <c r="A39" i="4"/>
  <c r="D467" i="4"/>
  <c r="AI455" i="3"/>
  <c r="AI455" i="6"/>
  <c r="E454" i="4"/>
  <c r="E480" i="4"/>
  <c r="E458" i="4"/>
  <c r="E450" i="4"/>
  <c r="E448" i="4"/>
  <c r="E452" i="4"/>
  <c r="A40" i="10"/>
  <c r="Y40" i="3" l="1"/>
  <c r="E40" i="3"/>
  <c r="A42" i="3"/>
  <c r="B41" i="3"/>
  <c r="C41" i="3"/>
  <c r="D41" i="3"/>
  <c r="J40" i="3"/>
  <c r="P37" i="3"/>
  <c r="Q37" i="3"/>
  <c r="A40" i="6"/>
  <c r="B39" i="6"/>
  <c r="A40" i="11"/>
  <c r="B39" i="11"/>
  <c r="AI456" i="3"/>
  <c r="AI456" i="6"/>
  <c r="D468" i="4"/>
  <c r="AI448" i="3"/>
  <c r="AI448" i="6"/>
  <c r="D460" i="4"/>
  <c r="AI464" i="3"/>
  <c r="D476" i="4"/>
  <c r="AI464" i="6"/>
  <c r="D451" i="4"/>
  <c r="AI439" i="6"/>
  <c r="AI439" i="3"/>
  <c r="D489" i="4"/>
  <c r="AI477" i="6"/>
  <c r="AI477" i="3"/>
  <c r="AI461" i="6"/>
  <c r="D473" i="4"/>
  <c r="AI461" i="3"/>
  <c r="AI450" i="6"/>
  <c r="AI450" i="3"/>
  <c r="D462" i="4"/>
  <c r="AI469" i="6"/>
  <c r="D481" i="4"/>
  <c r="AI469" i="3"/>
  <c r="AI458" i="3"/>
  <c r="AI458" i="6"/>
  <c r="D470" i="4"/>
  <c r="D483" i="4"/>
  <c r="AI471" i="3"/>
  <c r="AI471" i="6"/>
  <c r="D466" i="4"/>
  <c r="AI454" i="3"/>
  <c r="AI454" i="6"/>
  <c r="J41" i="6"/>
  <c r="Q40" i="6"/>
  <c r="P40" i="6"/>
  <c r="E492" i="4"/>
  <c r="E464" i="4"/>
  <c r="E460" i="4"/>
  <c r="E462" i="4"/>
  <c r="E470" i="4"/>
  <c r="E466" i="4"/>
  <c r="D479" i="4"/>
  <c r="AI467" i="6"/>
  <c r="AI467" i="3"/>
  <c r="B39" i="4"/>
  <c r="A40" i="4"/>
  <c r="A41" i="10"/>
  <c r="Y41" i="3" l="1"/>
  <c r="E41" i="3"/>
  <c r="A43" i="3"/>
  <c r="B42" i="3"/>
  <c r="C42" i="3"/>
  <c r="D42" i="3"/>
  <c r="J41" i="3"/>
  <c r="P38" i="3"/>
  <c r="Q38" i="3"/>
  <c r="A41" i="6"/>
  <c r="B40" i="6"/>
  <c r="B40" i="11"/>
  <c r="A41" i="11"/>
  <c r="AI460" i="3"/>
  <c r="AI460" i="6"/>
  <c r="D472" i="4"/>
  <c r="AI468" i="3"/>
  <c r="D480" i="4"/>
  <c r="AI468" i="6"/>
  <c r="AI476" i="3"/>
  <c r="AI476" i="6"/>
  <c r="D488" i="4"/>
  <c r="AI473" i="3"/>
  <c r="D485" i="4"/>
  <c r="AI473" i="6"/>
  <c r="D478" i="4"/>
  <c r="AI466" i="3"/>
  <c r="AI466" i="6"/>
  <c r="D501" i="4"/>
  <c r="AI489" i="3"/>
  <c r="AI489" i="6"/>
  <c r="AI483" i="3"/>
  <c r="D495" i="4"/>
  <c r="AI483" i="6"/>
  <c r="D482" i="4"/>
  <c r="AI470" i="3"/>
  <c r="AI470" i="6"/>
  <c r="AI462" i="3"/>
  <c r="D474" i="4"/>
  <c r="AI462" i="6"/>
  <c r="AI481" i="6"/>
  <c r="AI481" i="3"/>
  <c r="D493" i="4"/>
  <c r="AI451" i="6"/>
  <c r="D463" i="4"/>
  <c r="AI451" i="3"/>
  <c r="J42" i="6"/>
  <c r="P41" i="6"/>
  <c r="Q41" i="6"/>
  <c r="E504" i="4"/>
  <c r="A41" i="4"/>
  <c r="B40" i="4"/>
  <c r="D491" i="4"/>
  <c r="AI479" i="3"/>
  <c r="AI479" i="6"/>
  <c r="E478" i="4"/>
  <c r="E482" i="4"/>
  <c r="E474" i="4"/>
  <c r="E472" i="4"/>
  <c r="E476" i="4"/>
  <c r="A42" i="10"/>
  <c r="Y42" i="3" l="1"/>
  <c r="E42" i="3"/>
  <c r="A44" i="3"/>
  <c r="B43" i="3"/>
  <c r="C43" i="3"/>
  <c r="D43" i="3"/>
  <c r="J42" i="3"/>
  <c r="Q39" i="3"/>
  <c r="P39" i="3"/>
  <c r="A42" i="6"/>
  <c r="B41" i="6"/>
  <c r="A42" i="11"/>
  <c r="B41" i="11"/>
  <c r="AI480" i="6"/>
  <c r="D492" i="4"/>
  <c r="AI480" i="3"/>
  <c r="D484" i="4"/>
  <c r="AI472" i="6"/>
  <c r="AI472" i="3"/>
  <c r="AI488" i="6"/>
  <c r="AI488" i="3"/>
  <c r="D500" i="4"/>
  <c r="D494" i="4"/>
  <c r="AI482" i="6"/>
  <c r="AI482" i="3"/>
  <c r="AI463" i="6"/>
  <c r="D475" i="4"/>
  <c r="AI463" i="3"/>
  <c r="AI495" i="6"/>
  <c r="D507" i="4"/>
  <c r="AI495" i="3"/>
  <c r="AI493" i="6"/>
  <c r="AI493" i="3"/>
  <c r="D505" i="4"/>
  <c r="D513" i="4"/>
  <c r="AI501" i="6"/>
  <c r="AI501" i="3"/>
  <c r="AI478" i="3"/>
  <c r="AI478" i="6"/>
  <c r="D490" i="4"/>
  <c r="D497" i="4"/>
  <c r="AI485" i="6"/>
  <c r="AI485" i="3"/>
  <c r="AI474" i="3"/>
  <c r="AI474" i="6"/>
  <c r="D486" i="4"/>
  <c r="J43" i="6"/>
  <c r="P42" i="6"/>
  <c r="Q42" i="6"/>
  <c r="E516" i="4"/>
  <c r="E488" i="4"/>
  <c r="E484" i="4"/>
  <c r="E486" i="4"/>
  <c r="E494" i="4"/>
  <c r="E490" i="4"/>
  <c r="D503" i="4"/>
  <c r="AI491" i="3"/>
  <c r="AI491" i="6"/>
  <c r="A42" i="4"/>
  <c r="B41" i="4"/>
  <c r="A43" i="10"/>
  <c r="Y43" i="3" l="1"/>
  <c r="E43" i="3"/>
  <c r="A45" i="3"/>
  <c r="B44" i="3"/>
  <c r="D44" i="3"/>
  <c r="C44" i="3"/>
  <c r="J43" i="3"/>
  <c r="Q40" i="3"/>
  <c r="P40" i="3"/>
  <c r="A43" i="6"/>
  <c r="B42" i="6"/>
  <c r="A43" i="11"/>
  <c r="B42" i="11"/>
  <c r="D496" i="4"/>
  <c r="AI484" i="6"/>
  <c r="AI484" i="3"/>
  <c r="D504" i="4"/>
  <c r="AI492" i="3"/>
  <c r="AI492" i="6"/>
  <c r="AI500" i="3"/>
  <c r="AI500" i="6"/>
  <c r="D512" i="4"/>
  <c r="D498" i="4"/>
  <c r="AI486" i="3"/>
  <c r="AI486" i="6"/>
  <c r="AI513" i="3"/>
  <c r="AI513" i="6"/>
  <c r="D525" i="4"/>
  <c r="D517" i="4"/>
  <c r="AI505" i="6"/>
  <c r="AI505" i="3"/>
  <c r="AI497" i="6"/>
  <c r="D509" i="4"/>
  <c r="AI497" i="3"/>
  <c r="AI507" i="6"/>
  <c r="AI507" i="3"/>
  <c r="D519" i="4"/>
  <c r="AI490" i="6"/>
  <c r="D502" i="4"/>
  <c r="AI490" i="3"/>
  <c r="AI475" i="6"/>
  <c r="AI475" i="3"/>
  <c r="D487" i="4"/>
  <c r="AI494" i="6"/>
  <c r="AI494" i="3"/>
  <c r="D506" i="4"/>
  <c r="J44" i="6"/>
  <c r="P43" i="6"/>
  <c r="Q43" i="6"/>
  <c r="E500" i="4"/>
  <c r="E496" i="4"/>
  <c r="E502" i="4"/>
  <c r="E528" i="4"/>
  <c r="A43" i="4"/>
  <c r="B42" i="4"/>
  <c r="D515" i="4"/>
  <c r="AI503" i="6"/>
  <c r="AI503" i="3"/>
  <c r="E506" i="4"/>
  <c r="E498" i="4"/>
  <c r="A44" i="10"/>
  <c r="Y44" i="3" l="1"/>
  <c r="E44" i="3"/>
  <c r="A46" i="3"/>
  <c r="B45" i="3"/>
  <c r="D45" i="3"/>
  <c r="C45" i="3"/>
  <c r="J44" i="3"/>
  <c r="P41" i="3"/>
  <c r="Q41" i="3"/>
  <c r="A44" i="6"/>
  <c r="B43" i="6"/>
  <c r="B43" i="11"/>
  <c r="A44" i="11"/>
  <c r="AI504" i="3"/>
  <c r="AI504" i="6"/>
  <c r="D516" i="4"/>
  <c r="D508" i="4"/>
  <c r="AI496" i="3"/>
  <c r="AI496" i="6"/>
  <c r="AI512" i="3"/>
  <c r="AI512" i="6"/>
  <c r="D524" i="4"/>
  <c r="D531" i="4"/>
  <c r="AI519" i="6"/>
  <c r="AI519" i="3"/>
  <c r="D521" i="4"/>
  <c r="AI509" i="3"/>
  <c r="AI509" i="6"/>
  <c r="D529" i="4"/>
  <c r="AI517" i="6"/>
  <c r="AI517" i="3"/>
  <c r="D537" i="4"/>
  <c r="AI525" i="3"/>
  <c r="AI525" i="6"/>
  <c r="D518" i="4"/>
  <c r="AI506" i="6"/>
  <c r="AI506" i="3"/>
  <c r="AI487" i="3"/>
  <c r="D499" i="4"/>
  <c r="AI487" i="6"/>
  <c r="AI502" i="6"/>
  <c r="AI502" i="3"/>
  <c r="D514" i="4"/>
  <c r="AI498" i="3"/>
  <c r="AI498" i="6"/>
  <c r="D510" i="4"/>
  <c r="Q44" i="6"/>
  <c r="J45" i="6"/>
  <c r="P44" i="6"/>
  <c r="E540" i="4"/>
  <c r="E514" i="4"/>
  <c r="E508" i="4"/>
  <c r="E512" i="4"/>
  <c r="E510" i="4"/>
  <c r="E518" i="4"/>
  <c r="D527" i="4"/>
  <c r="AI515" i="3"/>
  <c r="AI515" i="6"/>
  <c r="A44" i="4"/>
  <c r="B43" i="4"/>
  <c r="A45" i="10"/>
  <c r="Y45" i="3" l="1"/>
  <c r="E45" i="3"/>
  <c r="A47" i="3"/>
  <c r="B46" i="3"/>
  <c r="D46" i="3"/>
  <c r="C46" i="3"/>
  <c r="J45" i="3"/>
  <c r="P42" i="3"/>
  <c r="Q42" i="3"/>
  <c r="A45" i="6"/>
  <c r="B44" i="6"/>
  <c r="A45" i="11"/>
  <c r="B44" i="11"/>
  <c r="AI508" i="3"/>
  <c r="D520" i="4"/>
  <c r="AI508" i="6"/>
  <c r="D528" i="4"/>
  <c r="AI516" i="3"/>
  <c r="AI516" i="6"/>
  <c r="D536" i="4"/>
  <c r="AI524" i="3"/>
  <c r="AI524" i="6"/>
  <c r="D522" i="4"/>
  <c r="AI510" i="3"/>
  <c r="AI510" i="6"/>
  <c r="AI537" i="3"/>
  <c r="AI537" i="6"/>
  <c r="D530" i="4"/>
  <c r="AI518" i="6"/>
  <c r="AI518" i="3"/>
  <c r="D526" i="4"/>
  <c r="AI514" i="3"/>
  <c r="AI514" i="6"/>
  <c r="AI529" i="3"/>
  <c r="AI529" i="6"/>
  <c r="D541" i="4"/>
  <c r="D533" i="4"/>
  <c r="AI521" i="3"/>
  <c r="AI521" i="6"/>
  <c r="AI499" i="6"/>
  <c r="AI499" i="3"/>
  <c r="D511" i="4"/>
  <c r="AI531" i="6"/>
  <c r="AI531" i="3"/>
  <c r="J46" i="6"/>
  <c r="P45" i="6"/>
  <c r="Q45" i="6"/>
  <c r="E526" i="4"/>
  <c r="E524" i="4"/>
  <c r="E520" i="4"/>
  <c r="A45" i="4"/>
  <c r="B44" i="4"/>
  <c r="D539" i="4"/>
  <c r="AI527" i="3"/>
  <c r="AI527" i="6"/>
  <c r="E530" i="4"/>
  <c r="E522" i="4"/>
  <c r="A46" i="10"/>
  <c r="Y46" i="3" l="1"/>
  <c r="E46" i="3"/>
  <c r="A48" i="3"/>
  <c r="B47" i="3"/>
  <c r="C47" i="3"/>
  <c r="D47" i="3"/>
  <c r="J46" i="3"/>
  <c r="P43" i="3"/>
  <c r="Q43" i="3"/>
  <c r="A46" i="6"/>
  <c r="B45" i="6"/>
  <c r="A46" i="11"/>
  <c r="B45" i="11"/>
  <c r="AI528" i="3"/>
  <c r="AI528" i="6"/>
  <c r="D540" i="4"/>
  <c r="AI520" i="6"/>
  <c r="D532" i="4"/>
  <c r="AI520" i="3"/>
  <c r="AI536" i="6"/>
  <c r="AI536" i="3"/>
  <c r="AI533" i="6"/>
  <c r="AI533" i="3"/>
  <c r="AI541" i="6"/>
  <c r="AI541" i="3"/>
  <c r="D538" i="4"/>
  <c r="AI526" i="3"/>
  <c r="AI526" i="6"/>
  <c r="AI511" i="3"/>
  <c r="D523" i="4"/>
  <c r="AI511" i="6"/>
  <c r="D542" i="4"/>
  <c r="AI530" i="6"/>
  <c r="AI530" i="3"/>
  <c r="D534" i="4"/>
  <c r="AI522" i="6"/>
  <c r="AI522" i="3"/>
  <c r="P46" i="6"/>
  <c r="J47" i="6"/>
  <c r="Q46" i="6"/>
  <c r="E532" i="4"/>
  <c r="E536" i="4"/>
  <c r="E538" i="4"/>
  <c r="E534" i="4"/>
  <c r="E542" i="4"/>
  <c r="AI539" i="6"/>
  <c r="AI539" i="3"/>
  <c r="A46" i="4"/>
  <c r="B45" i="4"/>
  <c r="A47" i="10"/>
  <c r="Y47" i="3" l="1"/>
  <c r="E47" i="3"/>
  <c r="A49" i="3"/>
  <c r="B48" i="3"/>
  <c r="C48" i="3"/>
  <c r="D48" i="3"/>
  <c r="J47" i="3"/>
  <c r="P44" i="3"/>
  <c r="Q44" i="3"/>
  <c r="A47" i="6"/>
  <c r="B46" i="6"/>
  <c r="B46" i="11"/>
  <c r="A47" i="11"/>
  <c r="AI532" i="3"/>
  <c r="AI532" i="6"/>
  <c r="AI540" i="3"/>
  <c r="AI540" i="6"/>
  <c r="AI534" i="6"/>
  <c r="AI534" i="3"/>
  <c r="AI542" i="6"/>
  <c r="AI542" i="3"/>
  <c r="AI523" i="6"/>
  <c r="AI523" i="3"/>
  <c r="D535" i="4"/>
  <c r="AI538" i="6"/>
  <c r="AI538" i="3"/>
  <c r="P47" i="6"/>
  <c r="J48" i="6"/>
  <c r="Q47" i="6"/>
  <c r="A47" i="4"/>
  <c r="B46" i="4"/>
  <c r="Y48" i="3" l="1"/>
  <c r="E48" i="3"/>
  <c r="A50" i="3"/>
  <c r="B49" i="3"/>
  <c r="C49" i="3"/>
  <c r="D49" i="3"/>
  <c r="J48" i="3"/>
  <c r="Q45" i="3"/>
  <c r="P45" i="3"/>
  <c r="A48" i="6"/>
  <c r="B47" i="6"/>
  <c r="A48" i="11"/>
  <c r="B47" i="11"/>
  <c r="AI535" i="6"/>
  <c r="AI535" i="3"/>
  <c r="J49" i="6"/>
  <c r="P48" i="6"/>
  <c r="Q48" i="6"/>
  <c r="A48" i="4"/>
  <c r="B47" i="4"/>
  <c r="Y49" i="3" l="1"/>
  <c r="E49" i="3"/>
  <c r="A51" i="3"/>
  <c r="B50" i="3"/>
  <c r="C50" i="3"/>
  <c r="D50" i="3"/>
  <c r="J49" i="3"/>
  <c r="P46" i="3"/>
  <c r="Q46" i="3"/>
  <c r="A49" i="6"/>
  <c r="B48" i="6"/>
  <c r="A49" i="11"/>
  <c r="B48" i="11"/>
  <c r="J50" i="6"/>
  <c r="P49" i="6"/>
  <c r="Q49" i="6"/>
  <c r="A49" i="4"/>
  <c r="B48" i="4"/>
  <c r="Y50" i="3" l="1"/>
  <c r="E50" i="3"/>
  <c r="A52" i="3"/>
  <c r="B51" i="3"/>
  <c r="D51" i="3"/>
  <c r="C51" i="3"/>
  <c r="J50" i="3"/>
  <c r="P47" i="3"/>
  <c r="Q47" i="3"/>
  <c r="A50" i="6"/>
  <c r="B49" i="6"/>
  <c r="A50" i="11"/>
  <c r="B49" i="11"/>
  <c r="J51" i="6"/>
  <c r="P50" i="6"/>
  <c r="Q50" i="6"/>
  <c r="A50" i="4"/>
  <c r="B49" i="4"/>
  <c r="Y51" i="3" l="1"/>
  <c r="E51" i="3"/>
  <c r="A53" i="3"/>
  <c r="B52" i="3"/>
  <c r="D52" i="3"/>
  <c r="C52" i="3"/>
  <c r="J51" i="3"/>
  <c r="P48" i="3"/>
  <c r="Q48" i="3"/>
  <c r="A51" i="6"/>
  <c r="B50" i="6"/>
  <c r="B50" i="11"/>
  <c r="A51" i="11"/>
  <c r="P51" i="6"/>
  <c r="J52" i="6"/>
  <c r="Q51" i="6"/>
  <c r="A51" i="4"/>
  <c r="B50" i="4"/>
  <c r="Y52" i="3" l="1"/>
  <c r="E52" i="3"/>
  <c r="A54" i="3"/>
  <c r="B53" i="3"/>
  <c r="C53" i="3"/>
  <c r="D53" i="3"/>
  <c r="J52" i="3"/>
  <c r="Q49" i="3"/>
  <c r="P49" i="3"/>
  <c r="A52" i="6"/>
  <c r="B51" i="6"/>
  <c r="A52" i="11"/>
  <c r="B51" i="11"/>
  <c r="P52" i="6"/>
  <c r="Q52" i="6"/>
  <c r="J53" i="6"/>
  <c r="B51" i="4"/>
  <c r="A52" i="4"/>
  <c r="Y53" i="3" l="1"/>
  <c r="E53" i="3"/>
  <c r="A55" i="3"/>
  <c r="B54" i="3"/>
  <c r="C54" i="3"/>
  <c r="D54" i="3"/>
  <c r="J53" i="3"/>
  <c r="P50" i="3"/>
  <c r="Q50" i="3"/>
  <c r="A53" i="6"/>
  <c r="B52" i="6"/>
  <c r="A53" i="11"/>
  <c r="B52" i="11"/>
  <c r="J54" i="6"/>
  <c r="P53" i="6"/>
  <c r="Q53" i="6"/>
  <c r="A53" i="4"/>
  <c r="B52" i="4"/>
  <c r="Y54" i="3" l="1"/>
  <c r="E54" i="3"/>
  <c r="A56" i="3"/>
  <c r="B55" i="3"/>
  <c r="D55" i="3"/>
  <c r="C55" i="3"/>
  <c r="J54" i="3"/>
  <c r="P51" i="3"/>
  <c r="Q51" i="3"/>
  <c r="B53" i="6"/>
  <c r="A54" i="6"/>
  <c r="B53" i="11"/>
  <c r="A54" i="11"/>
  <c r="J55" i="6"/>
  <c r="P54" i="6"/>
  <c r="Q54" i="6"/>
  <c r="A54" i="4"/>
  <c r="B53" i="4"/>
  <c r="Y55" i="3" l="1"/>
  <c r="E55" i="3"/>
  <c r="A57" i="3"/>
  <c r="B56" i="3"/>
  <c r="C56" i="3"/>
  <c r="D56" i="3"/>
  <c r="J55" i="3"/>
  <c r="P52" i="3"/>
  <c r="Q52" i="3"/>
  <c r="A55" i="6"/>
  <c r="B54" i="6"/>
  <c r="A55" i="11"/>
  <c r="B54" i="11"/>
  <c r="J56" i="6"/>
  <c r="P55" i="6"/>
  <c r="Q55" i="6"/>
  <c r="B54" i="4"/>
  <c r="A55" i="4"/>
  <c r="Y56" i="3" l="1"/>
  <c r="E56" i="3"/>
  <c r="A58" i="3"/>
  <c r="B57" i="3"/>
  <c r="C57" i="3"/>
  <c r="D57" i="3"/>
  <c r="J56" i="3"/>
  <c r="P53" i="3"/>
  <c r="Q53" i="3"/>
  <c r="B55" i="6"/>
  <c r="A56" i="6"/>
  <c r="A56" i="11"/>
  <c r="B55" i="11"/>
  <c r="J57" i="6"/>
  <c r="P56" i="6"/>
  <c r="Q56" i="6"/>
  <c r="A56" i="4"/>
  <c r="B55" i="4"/>
  <c r="Y57" i="3" l="1"/>
  <c r="E57" i="3"/>
  <c r="A59" i="3"/>
  <c r="B58" i="3"/>
  <c r="C58" i="3"/>
  <c r="D58" i="3"/>
  <c r="J57" i="3"/>
  <c r="P54" i="3"/>
  <c r="Q54" i="3"/>
  <c r="A57" i="6"/>
  <c r="B56" i="6"/>
  <c r="B56" i="11"/>
  <c r="A57" i="11"/>
  <c r="J58" i="6"/>
  <c r="P57" i="6"/>
  <c r="Q57" i="6"/>
  <c r="A57" i="4"/>
  <c r="B56" i="4"/>
  <c r="Y58" i="3" l="1"/>
  <c r="E58" i="3"/>
  <c r="A60" i="3"/>
  <c r="B59" i="3"/>
  <c r="C59" i="3"/>
  <c r="D59" i="3"/>
  <c r="J58" i="3"/>
  <c r="P55" i="3"/>
  <c r="Q55" i="3"/>
  <c r="B57" i="6"/>
  <c r="A58" i="6"/>
  <c r="A58" i="11"/>
  <c r="B57" i="11"/>
  <c r="J59" i="6"/>
  <c r="P58" i="6"/>
  <c r="Q58" i="6"/>
  <c r="B57" i="4"/>
  <c r="A58" i="4"/>
  <c r="Y59" i="3" l="1"/>
  <c r="E59" i="3"/>
  <c r="A61" i="3"/>
  <c r="B60" i="3"/>
  <c r="D60" i="3"/>
  <c r="C60" i="3"/>
  <c r="J59" i="3"/>
  <c r="Q56" i="3"/>
  <c r="P56" i="3"/>
  <c r="A59" i="6"/>
  <c r="B58" i="6"/>
  <c r="A59" i="11"/>
  <c r="B58" i="11"/>
  <c r="J60" i="6"/>
  <c r="P59" i="6"/>
  <c r="Q59" i="6"/>
  <c r="B58" i="4"/>
  <c r="A59" i="4"/>
  <c r="Y60" i="3" l="1"/>
  <c r="E60" i="3"/>
  <c r="A62" i="3"/>
  <c r="B61" i="3"/>
  <c r="D61" i="3"/>
  <c r="C61" i="3"/>
  <c r="J60" i="3"/>
  <c r="Q57" i="3"/>
  <c r="P57" i="3"/>
  <c r="B59" i="6"/>
  <c r="A60" i="6"/>
  <c r="B59" i="11"/>
  <c r="A60" i="11"/>
  <c r="J61" i="6"/>
  <c r="P60" i="6"/>
  <c r="Q60" i="6"/>
  <c r="A60" i="4"/>
  <c r="B59" i="4"/>
  <c r="Y61" i="3" l="1"/>
  <c r="E61" i="3"/>
  <c r="A63" i="3"/>
  <c r="B62" i="3"/>
  <c r="C62" i="3"/>
  <c r="D62" i="3"/>
  <c r="J61" i="3"/>
  <c r="P58" i="3"/>
  <c r="Q58" i="3"/>
  <c r="A61" i="6"/>
  <c r="B60" i="6"/>
  <c r="A61" i="11"/>
  <c r="B60" i="11"/>
  <c r="J62" i="6"/>
  <c r="P61" i="6"/>
  <c r="Q61" i="6"/>
  <c r="B60" i="4"/>
  <c r="A61" i="4"/>
  <c r="Y62" i="3" l="1"/>
  <c r="E62" i="3"/>
  <c r="A64" i="3"/>
  <c r="B63" i="3"/>
  <c r="C63" i="3"/>
  <c r="D63" i="3"/>
  <c r="J62" i="3"/>
  <c r="Q59" i="3"/>
  <c r="P59" i="3"/>
  <c r="A62" i="6"/>
  <c r="B61" i="6"/>
  <c r="A62" i="11"/>
  <c r="B61" i="11"/>
  <c r="J63" i="6"/>
  <c r="P62" i="6"/>
  <c r="Q62" i="6"/>
  <c r="A62" i="4"/>
  <c r="B61" i="4"/>
  <c r="Y63" i="3" l="1"/>
  <c r="E63" i="3"/>
  <c r="A65" i="3"/>
  <c r="B64" i="3"/>
  <c r="C64" i="3"/>
  <c r="D64" i="3"/>
  <c r="J63" i="3"/>
  <c r="Q60" i="3"/>
  <c r="P60" i="3"/>
  <c r="A63" i="6"/>
  <c r="B62" i="6"/>
  <c r="B62" i="11"/>
  <c r="A63" i="11"/>
  <c r="Q63" i="6"/>
  <c r="J64" i="6"/>
  <c r="P63" i="6"/>
  <c r="A63" i="4"/>
  <c r="B62" i="4"/>
  <c r="Y64" i="3" l="1"/>
  <c r="E64" i="3"/>
  <c r="A66" i="3"/>
  <c r="B65" i="3"/>
  <c r="C65" i="3"/>
  <c r="D65" i="3"/>
  <c r="J64" i="3"/>
  <c r="P61" i="3"/>
  <c r="Q61" i="3"/>
  <c r="A64" i="6"/>
  <c r="B63" i="6"/>
  <c r="A64" i="11"/>
  <c r="B63" i="11"/>
  <c r="P64" i="6"/>
  <c r="Q64" i="6"/>
  <c r="J65" i="6"/>
  <c r="A64" i="4"/>
  <c r="B63" i="4"/>
  <c r="Y65" i="3" l="1"/>
  <c r="E65" i="3"/>
  <c r="A67" i="3"/>
  <c r="B66" i="3"/>
  <c r="D66" i="3"/>
  <c r="C66" i="3"/>
  <c r="J65" i="3"/>
  <c r="Q62" i="3"/>
  <c r="P62" i="3"/>
  <c r="A65" i="6"/>
  <c r="B64" i="6"/>
  <c r="A65" i="11"/>
  <c r="B64" i="11"/>
  <c r="J66" i="6"/>
  <c r="P65" i="6"/>
  <c r="Q65" i="6"/>
  <c r="B64" i="4"/>
  <c r="A65" i="4"/>
  <c r="Y66" i="3" l="1"/>
  <c r="E66" i="3"/>
  <c r="A68" i="3"/>
  <c r="B67" i="3"/>
  <c r="D67" i="3"/>
  <c r="C67" i="3"/>
  <c r="J66" i="3"/>
  <c r="P63" i="3"/>
  <c r="Q63" i="3"/>
  <c r="A66" i="6"/>
  <c r="B65" i="6"/>
  <c r="A66" i="11"/>
  <c r="B65" i="11"/>
  <c r="P66" i="6"/>
  <c r="Q66" i="6"/>
  <c r="J67" i="6"/>
  <c r="A66" i="4"/>
  <c r="B65" i="4"/>
  <c r="Y67" i="3" l="1"/>
  <c r="E67" i="3"/>
  <c r="A69" i="3"/>
  <c r="B68" i="3"/>
  <c r="D68" i="3"/>
  <c r="C68" i="3"/>
  <c r="J67" i="3"/>
  <c r="P64" i="3"/>
  <c r="Q64" i="3"/>
  <c r="A67" i="6"/>
  <c r="B66" i="6"/>
  <c r="B66" i="11"/>
  <c r="A67" i="11"/>
  <c r="P67" i="6"/>
  <c r="J68" i="6"/>
  <c r="Q67" i="6"/>
  <c r="B66" i="4"/>
  <c r="A67" i="4"/>
  <c r="Y68" i="3" l="1"/>
  <c r="E68" i="3"/>
  <c r="A70" i="3"/>
  <c r="B69" i="3"/>
  <c r="C69" i="3"/>
  <c r="D69" i="3"/>
  <c r="J68" i="3"/>
  <c r="Q65" i="3"/>
  <c r="P65" i="3"/>
  <c r="A68" i="6"/>
  <c r="B67" i="6"/>
  <c r="A68" i="11"/>
  <c r="B67" i="11"/>
  <c r="P68" i="6"/>
  <c r="Q68" i="6"/>
  <c r="J69" i="6"/>
  <c r="B67" i="4"/>
  <c r="A68" i="4"/>
  <c r="Y69" i="3" l="1"/>
  <c r="E69" i="3"/>
  <c r="A71" i="3"/>
  <c r="B70" i="3"/>
  <c r="D70" i="3"/>
  <c r="C70" i="3"/>
  <c r="J69" i="3"/>
  <c r="Q66" i="3"/>
  <c r="P66" i="3"/>
  <c r="A69" i="6"/>
  <c r="B68" i="6"/>
  <c r="A69" i="11"/>
  <c r="B68" i="11"/>
  <c r="J70" i="6"/>
  <c r="P69" i="6"/>
  <c r="Q69" i="6"/>
  <c r="A69" i="4"/>
  <c r="B68" i="4"/>
  <c r="Y70" i="3" l="1"/>
  <c r="E70" i="3"/>
  <c r="A72" i="3"/>
  <c r="B71" i="3"/>
  <c r="D71" i="3"/>
  <c r="C71" i="3"/>
  <c r="J70" i="3"/>
  <c r="Q67" i="3"/>
  <c r="P67" i="3"/>
  <c r="B69" i="6"/>
  <c r="A70" i="6"/>
  <c r="B69" i="11"/>
  <c r="A70" i="11"/>
  <c r="J71" i="6"/>
  <c r="P70" i="6"/>
  <c r="Q70" i="6"/>
  <c r="A70" i="4"/>
  <c r="B69" i="4"/>
  <c r="Y71" i="3" l="1"/>
  <c r="E71" i="3"/>
  <c r="A73" i="3"/>
  <c r="B72" i="3"/>
  <c r="D72" i="3"/>
  <c r="C72" i="3"/>
  <c r="J71" i="3"/>
  <c r="Q68" i="3"/>
  <c r="P68" i="3"/>
  <c r="A71" i="6"/>
  <c r="B70" i="6"/>
  <c r="A71" i="11"/>
  <c r="B70" i="11"/>
  <c r="J72" i="6"/>
  <c r="P71" i="6"/>
  <c r="Q71" i="6"/>
  <c r="A71" i="4"/>
  <c r="B70" i="4"/>
  <c r="Y72" i="3" l="1"/>
  <c r="E72" i="3"/>
  <c r="A74" i="3"/>
  <c r="B73" i="3"/>
  <c r="C73" i="3"/>
  <c r="D73" i="3"/>
  <c r="J72" i="3"/>
  <c r="Q69" i="3"/>
  <c r="P69" i="3"/>
  <c r="B71" i="6"/>
  <c r="A72" i="6"/>
  <c r="A72" i="11"/>
  <c r="B71" i="11"/>
  <c r="J73" i="6"/>
  <c r="P72" i="6"/>
  <c r="Q72" i="6"/>
  <c r="A72" i="4"/>
  <c r="B71" i="4"/>
  <c r="Y73" i="3" l="1"/>
  <c r="E73" i="3"/>
  <c r="A75" i="3"/>
  <c r="B74" i="3"/>
  <c r="C74" i="3"/>
  <c r="D74" i="3"/>
  <c r="J73" i="3"/>
  <c r="Q70" i="3"/>
  <c r="P70" i="3"/>
  <c r="A73" i="6"/>
  <c r="B72" i="6"/>
  <c r="B72" i="11"/>
  <c r="A73" i="11"/>
  <c r="J74" i="6"/>
  <c r="P73" i="6"/>
  <c r="Q73" i="6"/>
  <c r="A73" i="4"/>
  <c r="B72" i="4"/>
  <c r="Y74" i="3" l="1"/>
  <c r="E74" i="3"/>
  <c r="A76" i="3"/>
  <c r="B75" i="3"/>
  <c r="C75" i="3"/>
  <c r="D75" i="3"/>
  <c r="J74" i="3"/>
  <c r="P71" i="3"/>
  <c r="Q71" i="3"/>
  <c r="B73" i="6"/>
  <c r="A74" i="6"/>
  <c r="A74" i="11"/>
  <c r="B73" i="11"/>
  <c r="J75" i="6"/>
  <c r="P74" i="6"/>
  <c r="Q74" i="6"/>
  <c r="A74" i="4"/>
  <c r="B73" i="4"/>
  <c r="Y75" i="3" l="1"/>
  <c r="E75" i="3"/>
  <c r="A77" i="3"/>
  <c r="B76" i="3"/>
  <c r="D76" i="3"/>
  <c r="C76" i="3"/>
  <c r="J75" i="3"/>
  <c r="P72" i="3"/>
  <c r="Q72" i="3"/>
  <c r="A75" i="6"/>
  <c r="B74" i="6"/>
  <c r="A75" i="11"/>
  <c r="B74" i="11"/>
  <c r="J76" i="6"/>
  <c r="P75" i="6"/>
  <c r="Q75" i="6"/>
  <c r="A75" i="4"/>
  <c r="B74" i="4"/>
  <c r="Y76" i="3" l="1"/>
  <c r="E76" i="3"/>
  <c r="A78" i="3"/>
  <c r="B77" i="3"/>
  <c r="C77" i="3"/>
  <c r="D77" i="3"/>
  <c r="J76" i="3"/>
  <c r="P73" i="3"/>
  <c r="Q73" i="3"/>
  <c r="A76" i="6"/>
  <c r="B75" i="6"/>
  <c r="B75" i="11"/>
  <c r="A76" i="11"/>
  <c r="J77" i="6"/>
  <c r="P76" i="6"/>
  <c r="Q76" i="6"/>
  <c r="A76" i="4"/>
  <c r="B75" i="4"/>
  <c r="Y77" i="3" l="1"/>
  <c r="E77" i="3"/>
  <c r="A79" i="3"/>
  <c r="B78" i="3"/>
  <c r="C78" i="3"/>
  <c r="D78" i="3"/>
  <c r="J77" i="3"/>
  <c r="P74" i="3"/>
  <c r="Q74" i="3"/>
  <c r="A77" i="6"/>
  <c r="B76" i="6"/>
  <c r="A77" i="11"/>
  <c r="B76" i="11"/>
  <c r="J78" i="6"/>
  <c r="P77" i="6"/>
  <c r="Q77" i="6"/>
  <c r="A77" i="4"/>
  <c r="B76" i="4"/>
  <c r="Y78" i="3" l="1"/>
  <c r="E78" i="3"/>
  <c r="A80" i="3"/>
  <c r="B79" i="3"/>
  <c r="C79" i="3"/>
  <c r="D79" i="3"/>
  <c r="J78" i="3"/>
  <c r="Q75" i="3"/>
  <c r="P75" i="3"/>
  <c r="A78" i="6"/>
  <c r="B77" i="6"/>
  <c r="A78" i="11"/>
  <c r="B77" i="11"/>
  <c r="J79" i="6"/>
  <c r="P78" i="6"/>
  <c r="Q78" i="6"/>
  <c r="A78" i="4"/>
  <c r="B77" i="4"/>
  <c r="Y79" i="3" l="1"/>
  <c r="E79" i="3"/>
  <c r="A81" i="3"/>
  <c r="B80" i="3"/>
  <c r="C80" i="3"/>
  <c r="D80" i="3"/>
  <c r="J79" i="3"/>
  <c r="P76" i="3"/>
  <c r="Q76" i="3"/>
  <c r="A79" i="6"/>
  <c r="B78" i="6"/>
  <c r="A79" i="11"/>
  <c r="B78" i="11"/>
  <c r="Q79" i="6"/>
  <c r="P79" i="6"/>
  <c r="J80" i="6"/>
  <c r="A79" i="4"/>
  <c r="B78" i="4"/>
  <c r="Y80" i="3" l="1"/>
  <c r="E80" i="3"/>
  <c r="A82" i="3"/>
  <c r="B81" i="3"/>
  <c r="D81" i="3"/>
  <c r="C81" i="3"/>
  <c r="J80" i="3"/>
  <c r="Q77" i="3"/>
  <c r="P77" i="3"/>
  <c r="A80" i="6"/>
  <c r="B79" i="6"/>
  <c r="A80" i="11"/>
  <c r="B79" i="11"/>
  <c r="P80" i="6"/>
  <c r="Q80" i="6"/>
  <c r="J81" i="6"/>
  <c r="A80" i="4"/>
  <c r="B79" i="4"/>
  <c r="Y81" i="3" l="1"/>
  <c r="E81" i="3"/>
  <c r="A83" i="3"/>
  <c r="B82" i="3"/>
  <c r="D82" i="3"/>
  <c r="C82" i="3"/>
  <c r="J81" i="3"/>
  <c r="P78" i="3"/>
  <c r="Q78" i="3"/>
  <c r="A81" i="6"/>
  <c r="B80" i="6"/>
  <c r="A81" i="11"/>
  <c r="B80" i="11"/>
  <c r="J82" i="6"/>
  <c r="P81" i="6"/>
  <c r="Q81" i="6"/>
  <c r="B80" i="4"/>
  <c r="A81" i="4"/>
  <c r="Y82" i="3" l="1"/>
  <c r="E82" i="3"/>
  <c r="A84" i="3"/>
  <c r="B83" i="3"/>
  <c r="D83" i="3"/>
  <c r="C83" i="3"/>
  <c r="J82" i="3"/>
  <c r="Q79" i="3"/>
  <c r="P79" i="3"/>
  <c r="A82" i="6"/>
  <c r="B81" i="6"/>
  <c r="A82" i="11"/>
  <c r="B81" i="11"/>
  <c r="J83" i="6"/>
  <c r="P82" i="6"/>
  <c r="Q82" i="6"/>
  <c r="B81" i="4"/>
  <c r="A82" i="4"/>
  <c r="Y83" i="3" l="1"/>
  <c r="E83" i="3"/>
  <c r="A85" i="3"/>
  <c r="B84" i="3"/>
  <c r="C84" i="3"/>
  <c r="D84" i="3"/>
  <c r="J83" i="3"/>
  <c r="Q80" i="3"/>
  <c r="P80" i="3"/>
  <c r="A83" i="6"/>
  <c r="B82" i="6"/>
  <c r="B82" i="11"/>
  <c r="A83" i="11"/>
  <c r="J84" i="6"/>
  <c r="P83" i="6"/>
  <c r="Q83" i="6"/>
  <c r="A83" i="4"/>
  <c r="B82" i="4"/>
  <c r="Y84" i="3" l="1"/>
  <c r="E84" i="3"/>
  <c r="A86" i="3"/>
  <c r="B85" i="3"/>
  <c r="C85" i="3"/>
  <c r="D85" i="3"/>
  <c r="J84" i="3"/>
  <c r="Q81" i="3"/>
  <c r="P81" i="3"/>
  <c r="A84" i="6"/>
  <c r="B83" i="6"/>
  <c r="A84" i="11"/>
  <c r="B83" i="11"/>
  <c r="J85" i="6"/>
  <c r="P84" i="6"/>
  <c r="Q84" i="6"/>
  <c r="B83" i="4"/>
  <c r="A84" i="4"/>
  <c r="Y85" i="3" l="1"/>
  <c r="E85" i="3"/>
  <c r="A87" i="3"/>
  <c r="B86" i="3"/>
  <c r="D86" i="3"/>
  <c r="C86" i="3"/>
  <c r="J85" i="3"/>
  <c r="P82" i="3"/>
  <c r="Q82" i="3"/>
  <c r="A85" i="6"/>
  <c r="B84" i="6"/>
  <c r="A85" i="11"/>
  <c r="B84" i="11"/>
  <c r="J86" i="6"/>
  <c r="P85" i="6"/>
  <c r="Q85" i="6"/>
  <c r="A85" i="4"/>
  <c r="B84" i="4"/>
  <c r="Y86" i="3" l="1"/>
  <c r="E86" i="3"/>
  <c r="A88" i="3"/>
  <c r="B87" i="3"/>
  <c r="D87" i="3"/>
  <c r="C87" i="3"/>
  <c r="J86" i="3"/>
  <c r="P83" i="3"/>
  <c r="Q83" i="3"/>
  <c r="B85" i="6"/>
  <c r="A86" i="6"/>
  <c r="B85" i="11"/>
  <c r="A86" i="11"/>
  <c r="J87" i="6"/>
  <c r="P86" i="6"/>
  <c r="Q86" i="6"/>
  <c r="B85" i="4"/>
  <c r="A86" i="4"/>
  <c r="Y87" i="3" l="1"/>
  <c r="E87" i="3"/>
  <c r="A89" i="3"/>
  <c r="B88" i="3"/>
  <c r="C88" i="3"/>
  <c r="D88" i="3"/>
  <c r="J87" i="3"/>
  <c r="P84" i="3"/>
  <c r="Q84" i="3"/>
  <c r="A87" i="6"/>
  <c r="B86" i="6"/>
  <c r="A87" i="11"/>
  <c r="B86" i="11"/>
  <c r="J88" i="6"/>
  <c r="P87" i="6"/>
  <c r="Q87" i="6"/>
  <c r="A87" i="4"/>
  <c r="B86" i="4"/>
  <c r="Y88" i="3" l="1"/>
  <c r="E88" i="3"/>
  <c r="A90" i="3"/>
  <c r="B89" i="3"/>
  <c r="C89" i="3"/>
  <c r="D89" i="3"/>
  <c r="J88" i="3"/>
  <c r="Q85" i="3"/>
  <c r="P85" i="3"/>
  <c r="B87" i="6"/>
  <c r="A88" i="6"/>
  <c r="A88" i="11"/>
  <c r="B87" i="11"/>
  <c r="J89" i="6"/>
  <c r="P88" i="6"/>
  <c r="Q88" i="6"/>
  <c r="A88" i="4"/>
  <c r="B87" i="4"/>
  <c r="Y89" i="3" l="1"/>
  <c r="E89" i="3"/>
  <c r="A91" i="3"/>
  <c r="B90" i="3"/>
  <c r="C90" i="3"/>
  <c r="D90" i="3"/>
  <c r="J89" i="3"/>
  <c r="Q86" i="3"/>
  <c r="P86" i="3"/>
  <c r="A89" i="6"/>
  <c r="B88" i="6"/>
  <c r="B88" i="11"/>
  <c r="A89" i="11"/>
  <c r="J90" i="6"/>
  <c r="P89" i="6"/>
  <c r="Q89" i="6"/>
  <c r="A89" i="4"/>
  <c r="B88" i="4"/>
  <c r="Y90" i="3" l="1"/>
  <c r="E90" i="3"/>
  <c r="A92" i="3"/>
  <c r="B91" i="3"/>
  <c r="D91" i="3"/>
  <c r="C91" i="3"/>
  <c r="J90" i="3"/>
  <c r="Q87" i="3"/>
  <c r="P87" i="3"/>
  <c r="B89" i="6"/>
  <c r="A90" i="6"/>
  <c r="A90" i="11"/>
  <c r="B89" i="11"/>
  <c r="J91" i="6"/>
  <c r="P90" i="6"/>
  <c r="Q90" i="6"/>
  <c r="A90" i="4"/>
  <c r="B89" i="4"/>
  <c r="Y91" i="3" l="1"/>
  <c r="E91" i="3"/>
  <c r="A93" i="3"/>
  <c r="B92" i="3"/>
  <c r="D92" i="3"/>
  <c r="C92" i="3"/>
  <c r="J91" i="3"/>
  <c r="P88" i="3"/>
  <c r="Q88" i="3"/>
  <c r="A91" i="6"/>
  <c r="B90" i="6"/>
  <c r="A91" i="11"/>
  <c r="B90" i="11"/>
  <c r="J92" i="6"/>
  <c r="P91" i="6"/>
  <c r="Q91" i="6"/>
  <c r="A91" i="4"/>
  <c r="B90" i="4"/>
  <c r="Y92" i="3" l="1"/>
  <c r="E92" i="3"/>
  <c r="A94" i="3"/>
  <c r="B93" i="3"/>
  <c r="D93" i="3"/>
  <c r="C93" i="3"/>
  <c r="J92" i="3"/>
  <c r="P89" i="3"/>
  <c r="Q89" i="3"/>
  <c r="B91" i="6"/>
  <c r="A92" i="6"/>
  <c r="B91" i="11"/>
  <c r="A92" i="11"/>
  <c r="J93" i="6"/>
  <c r="P92" i="6"/>
  <c r="Q92" i="6"/>
  <c r="A92" i="4"/>
  <c r="B91" i="4"/>
  <c r="Y93" i="3" l="1"/>
  <c r="E93" i="3"/>
  <c r="A95" i="3"/>
  <c r="B94" i="3"/>
  <c r="C94" i="3"/>
  <c r="D94" i="3"/>
  <c r="J93" i="3"/>
  <c r="P90" i="3"/>
  <c r="Q90" i="3"/>
  <c r="A93" i="6"/>
  <c r="B92" i="6"/>
  <c r="A93" i="11"/>
  <c r="B92" i="11"/>
  <c r="J94" i="6"/>
  <c r="P93" i="6"/>
  <c r="Q93" i="6"/>
  <c r="A93" i="4"/>
  <c r="B92" i="4"/>
  <c r="Y94" i="3" l="1"/>
  <c r="E94" i="3"/>
  <c r="A96" i="3"/>
  <c r="B95" i="3"/>
  <c r="C95" i="3"/>
  <c r="D95" i="3"/>
  <c r="J94" i="3"/>
  <c r="P91" i="3"/>
  <c r="Q91" i="3"/>
  <c r="A94" i="6"/>
  <c r="B93" i="6"/>
  <c r="A94" i="11"/>
  <c r="B93" i="11"/>
  <c r="J95" i="6"/>
  <c r="P94" i="6"/>
  <c r="Q94" i="6"/>
  <c r="A94" i="4"/>
  <c r="B93" i="4"/>
  <c r="Y95" i="3" l="1"/>
  <c r="E95" i="3"/>
  <c r="A97" i="3"/>
  <c r="B96" i="3"/>
  <c r="C96" i="3"/>
  <c r="D96" i="3"/>
  <c r="J95" i="3"/>
  <c r="P92" i="3"/>
  <c r="Q92" i="3"/>
  <c r="A95" i="6"/>
  <c r="B94" i="6"/>
  <c r="B94" i="11"/>
  <c r="A95" i="11"/>
  <c r="Q95" i="6"/>
  <c r="J96" i="6"/>
  <c r="P95" i="6"/>
  <c r="B94" i="4"/>
  <c r="A95" i="4"/>
  <c r="Y96" i="3" l="1"/>
  <c r="E96" i="3"/>
  <c r="A98" i="3"/>
  <c r="B97" i="3"/>
  <c r="C97" i="3"/>
  <c r="D97" i="3"/>
  <c r="J96" i="3"/>
  <c r="Q93" i="3"/>
  <c r="P93" i="3"/>
  <c r="A96" i="6"/>
  <c r="B95" i="6"/>
  <c r="A96" i="11"/>
  <c r="B95" i="11"/>
  <c r="J97" i="6"/>
  <c r="P96" i="6"/>
  <c r="Q96" i="6"/>
  <c r="B95" i="4"/>
  <c r="A96" i="4"/>
  <c r="Y97" i="3" l="1"/>
  <c r="E97" i="3"/>
  <c r="A99" i="3"/>
  <c r="B98" i="3"/>
  <c r="D98" i="3"/>
  <c r="C98" i="3"/>
  <c r="J97" i="3"/>
  <c r="Q94" i="3"/>
  <c r="P94" i="3"/>
  <c r="A97" i="6"/>
  <c r="B96" i="6"/>
  <c r="A97" i="11"/>
  <c r="B96" i="11"/>
  <c r="J98" i="6"/>
  <c r="P97" i="6"/>
  <c r="Q97" i="6"/>
  <c r="B96" i="4"/>
  <c r="A97" i="4"/>
  <c r="Y98" i="3" l="1"/>
  <c r="E98" i="3"/>
  <c r="A100" i="3"/>
  <c r="B99" i="3"/>
  <c r="D99" i="3"/>
  <c r="C99" i="3"/>
  <c r="J98" i="3"/>
  <c r="P95" i="3"/>
  <c r="Q95" i="3"/>
  <c r="B97" i="6"/>
  <c r="A98" i="6"/>
  <c r="A98" i="11"/>
  <c r="B97" i="11"/>
  <c r="P98" i="6"/>
  <c r="J99" i="6"/>
  <c r="Q98" i="6"/>
  <c r="A98" i="4"/>
  <c r="B97" i="4"/>
  <c r="Y99" i="3" l="1"/>
  <c r="E99" i="3"/>
  <c r="A101" i="3"/>
  <c r="B100" i="3"/>
  <c r="C100" i="3"/>
  <c r="D100" i="3"/>
  <c r="J99" i="3"/>
  <c r="Q96" i="3"/>
  <c r="P96" i="3"/>
  <c r="A99" i="6"/>
  <c r="B98" i="6"/>
  <c r="B98" i="11"/>
  <c r="A99" i="11"/>
  <c r="J100" i="6"/>
  <c r="P99" i="6"/>
  <c r="Q99" i="6"/>
  <c r="A99" i="4"/>
  <c r="B98" i="4"/>
  <c r="Y100" i="3" l="1"/>
  <c r="E100" i="3"/>
  <c r="A102" i="3"/>
  <c r="B101" i="3"/>
  <c r="C101" i="3"/>
  <c r="D101" i="3"/>
  <c r="J100" i="3"/>
  <c r="Q97" i="3"/>
  <c r="P97" i="3"/>
  <c r="B99" i="6"/>
  <c r="A100" i="6"/>
  <c r="A100" i="11"/>
  <c r="B99" i="11"/>
  <c r="P100" i="6"/>
  <c r="Q100" i="6"/>
  <c r="J101" i="6"/>
  <c r="A100" i="4"/>
  <c r="B99" i="4"/>
  <c r="Y101" i="3" l="1"/>
  <c r="E101" i="3"/>
  <c r="A103" i="3"/>
  <c r="B102" i="3"/>
  <c r="D102" i="3"/>
  <c r="C102" i="3"/>
  <c r="J101" i="3"/>
  <c r="Q98" i="3"/>
  <c r="P98" i="3"/>
  <c r="A101" i="6"/>
  <c r="B100" i="6"/>
  <c r="A101" i="11"/>
  <c r="B100" i="11"/>
  <c r="J102" i="6"/>
  <c r="P101" i="6"/>
  <c r="Q101" i="6"/>
  <c r="B100" i="4"/>
  <c r="A101" i="4"/>
  <c r="Y102" i="3" l="1"/>
  <c r="E102" i="3"/>
  <c r="A104" i="3"/>
  <c r="B103" i="3"/>
  <c r="C103" i="3"/>
  <c r="D103" i="3"/>
  <c r="J102" i="3"/>
  <c r="Q99" i="3"/>
  <c r="P99" i="3"/>
  <c r="A102" i="6"/>
  <c r="B101" i="6"/>
  <c r="B101" i="11"/>
  <c r="A102" i="11"/>
  <c r="J103" i="6"/>
  <c r="P102" i="6"/>
  <c r="Q102" i="6"/>
  <c r="B101" i="4"/>
  <c r="A102" i="4"/>
  <c r="Y103" i="3" l="1"/>
  <c r="E103" i="3"/>
  <c r="A105" i="3"/>
  <c r="B104" i="3"/>
  <c r="C104" i="3"/>
  <c r="D104" i="3"/>
  <c r="J103" i="3"/>
  <c r="Q100" i="3"/>
  <c r="P100" i="3"/>
  <c r="A103" i="6"/>
  <c r="B102" i="6"/>
  <c r="A103" i="11"/>
  <c r="B102" i="11"/>
  <c r="J104" i="6"/>
  <c r="P103" i="6"/>
  <c r="Q103" i="6"/>
  <c r="A103" i="4"/>
  <c r="B102" i="4"/>
  <c r="Y104" i="3" l="1"/>
  <c r="E104" i="3"/>
  <c r="A106" i="3"/>
  <c r="B105" i="3"/>
  <c r="C105" i="3"/>
  <c r="D105" i="3"/>
  <c r="J104" i="3"/>
  <c r="P101" i="3"/>
  <c r="Q101" i="3"/>
  <c r="B103" i="6"/>
  <c r="A104" i="6"/>
  <c r="A104" i="11"/>
  <c r="B103" i="11"/>
  <c r="J105" i="6"/>
  <c r="P104" i="6"/>
  <c r="Q104" i="6"/>
  <c r="A104" i="4"/>
  <c r="B103" i="4"/>
  <c r="Y105" i="3" l="1"/>
  <c r="E105" i="3"/>
  <c r="A107" i="3"/>
  <c r="B106" i="3"/>
  <c r="C106" i="3"/>
  <c r="D106" i="3"/>
  <c r="J105" i="3"/>
  <c r="Q102" i="3"/>
  <c r="P102" i="3"/>
  <c r="A105" i="6"/>
  <c r="B104" i="6"/>
  <c r="B104" i="11"/>
  <c r="A105" i="11"/>
  <c r="J106" i="6"/>
  <c r="P105" i="6"/>
  <c r="Q105" i="6"/>
  <c r="A105" i="4"/>
  <c r="B104" i="4"/>
  <c r="Y106" i="3" l="1"/>
  <c r="E106" i="3"/>
  <c r="A108" i="3"/>
  <c r="B107" i="3"/>
  <c r="D107" i="3"/>
  <c r="C107" i="3"/>
  <c r="J106" i="3"/>
  <c r="P103" i="3"/>
  <c r="Q103" i="3"/>
  <c r="B105" i="6"/>
  <c r="A106" i="6"/>
  <c r="A106" i="11"/>
  <c r="B105" i="11"/>
  <c r="J107" i="6"/>
  <c r="P106" i="6"/>
  <c r="Q106" i="6"/>
  <c r="B105" i="4"/>
  <c r="A106" i="4"/>
  <c r="Y107" i="3" l="1"/>
  <c r="E107" i="3"/>
  <c r="A109" i="3"/>
  <c r="B108" i="3"/>
  <c r="D108" i="3"/>
  <c r="C108" i="3"/>
  <c r="J107" i="3"/>
  <c r="Q104" i="3"/>
  <c r="P104" i="3"/>
  <c r="A107" i="6"/>
  <c r="B106" i="6"/>
  <c r="A107" i="11"/>
  <c r="B106" i="11"/>
  <c r="J108" i="6"/>
  <c r="P107" i="6"/>
  <c r="Q107" i="6"/>
  <c r="A107" i="4"/>
  <c r="B106" i="4"/>
  <c r="Y108" i="3" l="1"/>
  <c r="E108" i="3"/>
  <c r="A110" i="3"/>
  <c r="B109" i="3"/>
  <c r="C109" i="3"/>
  <c r="D109" i="3"/>
  <c r="J108" i="3"/>
  <c r="P105" i="3"/>
  <c r="Q105" i="3"/>
  <c r="A108" i="6"/>
  <c r="B107" i="6"/>
  <c r="B107" i="11"/>
  <c r="A108" i="11"/>
  <c r="J109" i="6"/>
  <c r="P108" i="6"/>
  <c r="Q108" i="6"/>
  <c r="B107" i="4"/>
  <c r="A108" i="4"/>
  <c r="Y109" i="3" l="1"/>
  <c r="E109" i="3"/>
  <c r="A111" i="3"/>
  <c r="B110" i="3"/>
  <c r="C110" i="3"/>
  <c r="D110" i="3"/>
  <c r="J109" i="3"/>
  <c r="P106" i="3"/>
  <c r="Q106" i="3"/>
  <c r="A109" i="6"/>
  <c r="B108" i="6"/>
  <c r="A109" i="11"/>
  <c r="B108" i="11"/>
  <c r="J110" i="6"/>
  <c r="P109" i="6"/>
  <c r="Q109" i="6"/>
  <c r="B108" i="4"/>
  <c r="A109" i="4"/>
  <c r="Y110" i="3" l="1"/>
  <c r="E110" i="3"/>
  <c r="A112" i="3"/>
  <c r="B111" i="3"/>
  <c r="C111" i="3"/>
  <c r="D111" i="3"/>
  <c r="J110" i="3"/>
  <c r="Q107" i="3"/>
  <c r="P107" i="3"/>
  <c r="A110" i="6"/>
  <c r="B109" i="6"/>
  <c r="A110" i="11"/>
  <c r="B109" i="11"/>
  <c r="J111" i="6"/>
  <c r="P110" i="6"/>
  <c r="Q110" i="6"/>
  <c r="A110" i="4"/>
  <c r="B109" i="4"/>
  <c r="Y111" i="3" l="1"/>
  <c r="E111" i="3"/>
  <c r="A113" i="3"/>
  <c r="B112" i="3"/>
  <c r="C112" i="3"/>
  <c r="D112" i="3"/>
  <c r="J111" i="3"/>
  <c r="Q108" i="3"/>
  <c r="P108" i="3"/>
  <c r="A111" i="6"/>
  <c r="B110" i="6"/>
  <c r="B110" i="11"/>
  <c r="A111" i="11"/>
  <c r="Q111" i="6"/>
  <c r="J112" i="6"/>
  <c r="P111" i="6"/>
  <c r="A111" i="4"/>
  <c r="B110" i="4"/>
  <c r="Y112" i="3" l="1"/>
  <c r="E112" i="3"/>
  <c r="A114" i="3"/>
  <c r="B113" i="3"/>
  <c r="D113" i="3"/>
  <c r="C113" i="3"/>
  <c r="J112" i="3"/>
  <c r="P109" i="3"/>
  <c r="Q109" i="3"/>
  <c r="A112" i="6"/>
  <c r="B111" i="6"/>
  <c r="A112" i="11"/>
  <c r="B111" i="11"/>
  <c r="P112" i="6"/>
  <c r="Q112" i="6"/>
  <c r="J113" i="6"/>
  <c r="B111" i="4"/>
  <c r="A112" i="4"/>
  <c r="Y113" i="3" l="1"/>
  <c r="E113" i="3"/>
  <c r="A115" i="3"/>
  <c r="B114" i="3"/>
  <c r="C114" i="3"/>
  <c r="D114" i="3"/>
  <c r="J113" i="3"/>
  <c r="Q110" i="3"/>
  <c r="P110" i="3"/>
  <c r="A113" i="6"/>
  <c r="B112" i="6"/>
  <c r="A113" i="11"/>
  <c r="B112" i="11"/>
  <c r="J114" i="6"/>
  <c r="P113" i="6"/>
  <c r="Q113" i="6"/>
  <c r="A113" i="4"/>
  <c r="B112" i="4"/>
  <c r="Y114" i="3" l="1"/>
  <c r="E114" i="3"/>
  <c r="A116" i="3"/>
  <c r="B115" i="3"/>
  <c r="C115" i="3"/>
  <c r="D115" i="3"/>
  <c r="J114" i="3"/>
  <c r="Q111" i="3"/>
  <c r="P111" i="3"/>
  <c r="A114" i="6"/>
  <c r="B113" i="6"/>
  <c r="A114" i="11"/>
  <c r="B113" i="11"/>
  <c r="P114" i="6"/>
  <c r="Q114" i="6"/>
  <c r="J115" i="6"/>
  <c r="A114" i="4"/>
  <c r="B113" i="4"/>
  <c r="Y115" i="3" l="1"/>
  <c r="E115" i="3"/>
  <c r="A117" i="3"/>
  <c r="B116" i="3"/>
  <c r="C116" i="3"/>
  <c r="D116" i="3"/>
  <c r="J115" i="3"/>
  <c r="P112" i="3"/>
  <c r="Q112" i="3"/>
  <c r="A115" i="6"/>
  <c r="B114" i="6"/>
  <c r="A115" i="11"/>
  <c r="B114" i="11"/>
  <c r="J116" i="6"/>
  <c r="P115" i="6"/>
  <c r="Q115" i="6"/>
  <c r="B114" i="4"/>
  <c r="A115" i="4"/>
  <c r="Y116" i="3" l="1"/>
  <c r="E116" i="3"/>
  <c r="A118" i="3"/>
  <c r="B117" i="3"/>
  <c r="D117" i="3"/>
  <c r="C117" i="3"/>
  <c r="J116" i="3"/>
  <c r="P113" i="3"/>
  <c r="Q113" i="3"/>
  <c r="A116" i="6"/>
  <c r="B115" i="6"/>
  <c r="A116" i="11"/>
  <c r="B115" i="11"/>
  <c r="P116" i="6"/>
  <c r="Q116" i="6"/>
  <c r="J117" i="6"/>
  <c r="A116" i="4"/>
  <c r="B115" i="4"/>
  <c r="Y117" i="3" l="1"/>
  <c r="E117" i="3"/>
  <c r="A119" i="3"/>
  <c r="B118" i="3"/>
  <c r="D118" i="3"/>
  <c r="C118" i="3"/>
  <c r="J117" i="3"/>
  <c r="P114" i="3"/>
  <c r="Q114" i="3"/>
  <c r="B116" i="6"/>
  <c r="A117" i="6"/>
  <c r="A117" i="11"/>
  <c r="B116" i="11"/>
  <c r="J118" i="6"/>
  <c r="P117" i="6"/>
  <c r="Q117" i="6"/>
  <c r="A117" i="4"/>
  <c r="B116" i="4"/>
  <c r="Y118" i="3" l="1"/>
  <c r="E118" i="3"/>
  <c r="A120" i="3"/>
  <c r="B119" i="3"/>
  <c r="D119" i="3"/>
  <c r="C119" i="3"/>
  <c r="J118" i="3"/>
  <c r="P115" i="3"/>
  <c r="Q115" i="3"/>
  <c r="A118" i="6"/>
  <c r="B117" i="6"/>
  <c r="B117" i="11"/>
  <c r="A118" i="11"/>
  <c r="J119" i="6"/>
  <c r="P118" i="6"/>
  <c r="Q118" i="6"/>
  <c r="B117" i="4"/>
  <c r="A118" i="4"/>
  <c r="Y119" i="3" l="1"/>
  <c r="E119" i="3"/>
  <c r="A121" i="3"/>
  <c r="B120" i="3"/>
  <c r="C120" i="3"/>
  <c r="D120" i="3"/>
  <c r="J119" i="3"/>
  <c r="P116" i="3"/>
  <c r="Q116" i="3"/>
  <c r="A119" i="6"/>
  <c r="B118" i="6"/>
  <c r="A119" i="11"/>
  <c r="B118" i="11"/>
  <c r="J120" i="6"/>
  <c r="P119" i="6"/>
  <c r="Q119" i="6"/>
  <c r="A119" i="4"/>
  <c r="B118" i="4"/>
  <c r="Y120" i="3" l="1"/>
  <c r="E120" i="3"/>
  <c r="A122" i="3"/>
  <c r="B121" i="3"/>
  <c r="C121" i="3"/>
  <c r="D121" i="3"/>
  <c r="J120" i="3"/>
  <c r="Q117" i="3"/>
  <c r="P117" i="3"/>
  <c r="A120" i="6"/>
  <c r="B119" i="6"/>
  <c r="A120" i="11"/>
  <c r="B119" i="11"/>
  <c r="J121" i="6"/>
  <c r="P120" i="6"/>
  <c r="Q120" i="6"/>
  <c r="A120" i="4"/>
  <c r="B119" i="4"/>
  <c r="Y121" i="3" l="1"/>
  <c r="E121" i="3"/>
  <c r="A123" i="3"/>
  <c r="B122" i="3"/>
  <c r="C122" i="3"/>
  <c r="D122" i="3"/>
  <c r="J121" i="3"/>
  <c r="P118" i="3"/>
  <c r="Q118" i="3"/>
  <c r="A121" i="6"/>
  <c r="B120" i="6"/>
  <c r="B120" i="11"/>
  <c r="A121" i="11"/>
  <c r="J122" i="6"/>
  <c r="P121" i="6"/>
  <c r="Q121" i="6"/>
  <c r="A121" i="4"/>
  <c r="B120" i="4"/>
  <c r="Y122" i="3" l="1"/>
  <c r="E122" i="3"/>
  <c r="A124" i="3"/>
  <c r="B123" i="3"/>
  <c r="D123" i="3"/>
  <c r="C123" i="3"/>
  <c r="J122" i="3"/>
  <c r="P119" i="3"/>
  <c r="Q119" i="3"/>
  <c r="A122" i="6"/>
  <c r="B121" i="6"/>
  <c r="A122" i="11"/>
  <c r="B121" i="11"/>
  <c r="J123" i="6"/>
  <c r="Q122" i="6"/>
  <c r="P122" i="6"/>
  <c r="A122" i="4"/>
  <c r="B121" i="4"/>
  <c r="Y123" i="3" l="1"/>
  <c r="E123" i="3"/>
  <c r="A125" i="3"/>
  <c r="B124" i="3"/>
  <c r="D124" i="3"/>
  <c r="C124" i="3"/>
  <c r="J123" i="3"/>
  <c r="Q120" i="3"/>
  <c r="P120" i="3"/>
  <c r="A123" i="6"/>
  <c r="B122" i="6"/>
  <c r="A123" i="11"/>
  <c r="B122" i="11"/>
  <c r="J124" i="6"/>
  <c r="P123" i="6"/>
  <c r="Q123" i="6"/>
  <c r="A123" i="4"/>
  <c r="B122" i="4"/>
  <c r="Y124" i="3" l="1"/>
  <c r="E124" i="3"/>
  <c r="A126" i="3"/>
  <c r="B125" i="3"/>
  <c r="C125" i="3"/>
  <c r="D125" i="3"/>
  <c r="J124" i="3"/>
  <c r="P121" i="3"/>
  <c r="Q121" i="3"/>
  <c r="A124" i="6"/>
  <c r="B123" i="6"/>
  <c r="B123" i="11"/>
  <c r="A124" i="11"/>
  <c r="J125" i="6"/>
  <c r="P124" i="6"/>
  <c r="Q124" i="6"/>
  <c r="A124" i="4"/>
  <c r="B123" i="4"/>
  <c r="Y125" i="3" l="1"/>
  <c r="E125" i="3"/>
  <c r="A127" i="3"/>
  <c r="B126" i="3"/>
  <c r="C126" i="3"/>
  <c r="D126" i="3"/>
  <c r="J125" i="3"/>
  <c r="P122" i="3"/>
  <c r="Q122" i="3"/>
  <c r="A125" i="6"/>
  <c r="B124" i="6"/>
  <c r="A125" i="11"/>
  <c r="B124" i="11"/>
  <c r="J126" i="6"/>
  <c r="P125" i="6"/>
  <c r="Q125" i="6"/>
  <c r="B124" i="4"/>
  <c r="A125" i="4"/>
  <c r="Y126" i="3" l="1"/>
  <c r="E126" i="3"/>
  <c r="A128" i="3"/>
  <c r="B127" i="3"/>
  <c r="C127" i="3"/>
  <c r="D127" i="3"/>
  <c r="J126" i="3"/>
  <c r="Q123" i="3"/>
  <c r="P123" i="3"/>
  <c r="B125" i="6"/>
  <c r="A126" i="6"/>
  <c r="A126" i="11"/>
  <c r="B125" i="11"/>
  <c r="J127" i="6"/>
  <c r="P126" i="6"/>
  <c r="Q126" i="6"/>
  <c r="A126" i="4"/>
  <c r="B125" i="4"/>
  <c r="Y127" i="3" l="1"/>
  <c r="E127" i="3"/>
  <c r="A129" i="3"/>
  <c r="B128" i="3"/>
  <c r="C128" i="3"/>
  <c r="D128" i="3"/>
  <c r="J127" i="3"/>
  <c r="P124" i="3"/>
  <c r="Q124" i="3"/>
  <c r="A127" i="6"/>
  <c r="B126" i="6"/>
  <c r="B126" i="11"/>
  <c r="A127" i="11"/>
  <c r="Q127" i="6"/>
  <c r="J128" i="6"/>
  <c r="P127" i="6"/>
  <c r="B126" i="4"/>
  <c r="A127" i="4"/>
  <c r="Y128" i="3" l="1"/>
  <c r="E128" i="3"/>
  <c r="A130" i="3"/>
  <c r="B129" i="3"/>
  <c r="D129" i="3"/>
  <c r="C129" i="3"/>
  <c r="J128" i="3"/>
  <c r="P125" i="3"/>
  <c r="Q125" i="3"/>
  <c r="A128" i="6"/>
  <c r="B127" i="6"/>
  <c r="A128" i="11"/>
  <c r="B127" i="11"/>
  <c r="P128" i="6"/>
  <c r="Q128" i="6"/>
  <c r="J129" i="6"/>
  <c r="A128" i="4"/>
  <c r="B127" i="4"/>
  <c r="Y129" i="3" l="1"/>
  <c r="E129" i="3"/>
  <c r="A131" i="3"/>
  <c r="B130" i="3"/>
  <c r="D130" i="3"/>
  <c r="C130" i="3"/>
  <c r="J129" i="3"/>
  <c r="P126" i="3"/>
  <c r="Q126" i="3"/>
  <c r="B128" i="6"/>
  <c r="A129" i="6"/>
  <c r="A129" i="11"/>
  <c r="B128" i="11"/>
  <c r="J130" i="6"/>
  <c r="P129" i="6"/>
  <c r="Q129" i="6"/>
  <c r="A129" i="4"/>
  <c r="B128" i="4"/>
  <c r="Y130" i="3" l="1"/>
  <c r="E130" i="3"/>
  <c r="A132" i="3"/>
  <c r="B131" i="3"/>
  <c r="C131" i="3"/>
  <c r="D131" i="3"/>
  <c r="J130" i="3"/>
  <c r="P127" i="3"/>
  <c r="Q127" i="3"/>
  <c r="A130" i="6"/>
  <c r="B129" i="6"/>
  <c r="A130" i="11"/>
  <c r="B129" i="11"/>
  <c r="P130" i="6"/>
  <c r="Q130" i="6"/>
  <c r="J131" i="6"/>
  <c r="A130" i="4"/>
  <c r="B129" i="4"/>
  <c r="Y131" i="3" l="1"/>
  <c r="E131" i="3"/>
  <c r="A133" i="3"/>
  <c r="B132" i="3"/>
  <c r="C132" i="3"/>
  <c r="D132" i="3"/>
  <c r="J131" i="3"/>
  <c r="P128" i="3"/>
  <c r="Q128" i="3"/>
  <c r="A131" i="6"/>
  <c r="B130" i="6"/>
  <c r="B130" i="11"/>
  <c r="A131" i="11"/>
  <c r="J132" i="6"/>
  <c r="P131" i="6"/>
  <c r="Q131" i="6"/>
  <c r="A131" i="4"/>
  <c r="B130" i="4"/>
  <c r="Y132" i="3" l="1"/>
  <c r="E132" i="3"/>
  <c r="A134" i="3"/>
  <c r="B133" i="3"/>
  <c r="D133" i="3"/>
  <c r="C133" i="3"/>
  <c r="J132" i="3"/>
  <c r="Q129" i="3"/>
  <c r="P129" i="3"/>
  <c r="A132" i="6"/>
  <c r="B131" i="6"/>
  <c r="A132" i="11"/>
  <c r="B131" i="11"/>
  <c r="J133" i="6"/>
  <c r="P132" i="6"/>
  <c r="Q132" i="6"/>
  <c r="B131" i="4"/>
  <c r="A132" i="4"/>
  <c r="Y133" i="3" l="1"/>
  <c r="E133" i="3"/>
  <c r="A135" i="3"/>
  <c r="B134" i="3"/>
  <c r="D134" i="3"/>
  <c r="C134" i="3"/>
  <c r="J133" i="3"/>
  <c r="Q130" i="3"/>
  <c r="P130" i="3"/>
  <c r="A133" i="6"/>
  <c r="B132" i="6"/>
  <c r="A133" i="11"/>
  <c r="B132" i="11"/>
  <c r="J134" i="6"/>
  <c r="P133" i="6"/>
  <c r="Q133" i="6"/>
  <c r="B132" i="4"/>
  <c r="A133" i="4"/>
  <c r="Y134" i="3" l="1"/>
  <c r="E134" i="3"/>
  <c r="A136" i="3"/>
  <c r="B135" i="3"/>
  <c r="C135" i="3"/>
  <c r="D135" i="3"/>
  <c r="J134" i="3"/>
  <c r="P131" i="3"/>
  <c r="Q131" i="3"/>
  <c r="A134" i="6"/>
  <c r="B133" i="6"/>
  <c r="B133" i="11"/>
  <c r="A134" i="11"/>
  <c r="J135" i="6"/>
  <c r="P134" i="6"/>
  <c r="Q134" i="6"/>
  <c r="A134" i="4"/>
  <c r="B133" i="4"/>
  <c r="Y135" i="3" l="1"/>
  <c r="E135" i="3"/>
  <c r="A137" i="3"/>
  <c r="B136" i="3"/>
  <c r="C136" i="3"/>
  <c r="D136" i="3"/>
  <c r="J135" i="3"/>
  <c r="P132" i="3"/>
  <c r="Q132" i="3"/>
  <c r="A135" i="6"/>
  <c r="B134" i="6"/>
  <c r="A135" i="11"/>
  <c r="B134" i="11"/>
  <c r="J136" i="6"/>
  <c r="P135" i="6"/>
  <c r="Q135" i="6"/>
  <c r="A135" i="4"/>
  <c r="B134" i="4"/>
  <c r="Y136" i="3" l="1"/>
  <c r="E136" i="3"/>
  <c r="A138" i="3"/>
  <c r="B137" i="3"/>
  <c r="C137" i="3"/>
  <c r="D137" i="3"/>
  <c r="J136" i="3"/>
  <c r="Q133" i="3"/>
  <c r="P133" i="3"/>
  <c r="A136" i="6"/>
  <c r="B135" i="6"/>
  <c r="A136" i="11"/>
  <c r="B135" i="11"/>
  <c r="J137" i="6"/>
  <c r="P136" i="6"/>
  <c r="Q136" i="6"/>
  <c r="A136" i="4"/>
  <c r="B135" i="4"/>
  <c r="Y137" i="3" l="1"/>
  <c r="E137" i="3"/>
  <c r="A139" i="3"/>
  <c r="B138" i="3"/>
  <c r="D138" i="3"/>
  <c r="C138" i="3"/>
  <c r="J137" i="3"/>
  <c r="Q134" i="3"/>
  <c r="P134" i="3"/>
  <c r="B136" i="6"/>
  <c r="A137" i="6"/>
  <c r="B136" i="11"/>
  <c r="A137" i="11"/>
  <c r="J138" i="6"/>
  <c r="P137" i="6"/>
  <c r="Q137" i="6"/>
  <c r="A137" i="4"/>
  <c r="B136" i="4"/>
  <c r="Y138" i="3" l="1"/>
  <c r="E138" i="3"/>
  <c r="A140" i="3"/>
  <c r="B139" i="3"/>
  <c r="D139" i="3"/>
  <c r="C139" i="3"/>
  <c r="J138" i="3"/>
  <c r="P135" i="3"/>
  <c r="Q135" i="3"/>
  <c r="B137" i="6"/>
  <c r="A138" i="6"/>
  <c r="A138" i="11"/>
  <c r="B137" i="11"/>
  <c r="J139" i="6"/>
  <c r="Q138" i="6"/>
  <c r="P138" i="6"/>
  <c r="A138" i="4"/>
  <c r="B137" i="4"/>
  <c r="Y139" i="3" l="1"/>
  <c r="E139" i="3"/>
  <c r="A141" i="3"/>
  <c r="B140" i="3"/>
  <c r="D140" i="3"/>
  <c r="C140" i="3"/>
  <c r="J139" i="3"/>
  <c r="P136" i="3"/>
  <c r="Q136" i="3"/>
  <c r="B138" i="6"/>
  <c r="A139" i="6"/>
  <c r="A139" i="11"/>
  <c r="B138" i="11"/>
  <c r="J140" i="6"/>
  <c r="P139" i="6"/>
  <c r="Q139" i="6"/>
  <c r="A139" i="4"/>
  <c r="B138" i="4"/>
  <c r="Y140" i="3" l="1"/>
  <c r="E140" i="3"/>
  <c r="A142" i="3"/>
  <c r="B141" i="3"/>
  <c r="C141" i="3"/>
  <c r="D141" i="3"/>
  <c r="J140" i="3"/>
  <c r="Q137" i="3"/>
  <c r="P137" i="3"/>
  <c r="A140" i="6"/>
  <c r="B139" i="6"/>
  <c r="B139" i="11"/>
  <c r="A140" i="11"/>
  <c r="J141" i="6"/>
  <c r="P140" i="6"/>
  <c r="Q140" i="6"/>
  <c r="B139" i="4"/>
  <c r="A140" i="4"/>
  <c r="Y141" i="3" l="1"/>
  <c r="E141" i="3"/>
  <c r="A143" i="3"/>
  <c r="B142" i="3"/>
  <c r="C142" i="3"/>
  <c r="D142" i="3"/>
  <c r="J141" i="3"/>
  <c r="Q138" i="3"/>
  <c r="P138" i="3"/>
  <c r="B140" i="6"/>
  <c r="A141" i="6"/>
  <c r="A141" i="11"/>
  <c r="B140" i="11"/>
  <c r="J142" i="6"/>
  <c r="P141" i="6"/>
  <c r="Q141" i="6"/>
  <c r="B140" i="4"/>
  <c r="A141" i="4"/>
  <c r="Y142" i="3" l="1"/>
  <c r="E142" i="3"/>
  <c r="A144" i="3"/>
  <c r="B143" i="3"/>
  <c r="C143" i="3"/>
  <c r="D143" i="3"/>
  <c r="J142" i="3"/>
  <c r="P139" i="3"/>
  <c r="Q139" i="3"/>
  <c r="B141" i="6"/>
  <c r="A142" i="6"/>
  <c r="A142" i="11"/>
  <c r="B141" i="11"/>
  <c r="J143" i="6"/>
  <c r="P142" i="6"/>
  <c r="Q142" i="6"/>
  <c r="A142" i="4"/>
  <c r="B141" i="4"/>
  <c r="Y143" i="3" l="1"/>
  <c r="E143" i="3"/>
  <c r="A145" i="3"/>
  <c r="B144" i="3"/>
  <c r="D144" i="3"/>
  <c r="C144" i="3"/>
  <c r="J143" i="3"/>
  <c r="Q140" i="3"/>
  <c r="P140" i="3"/>
  <c r="A143" i="6"/>
  <c r="B142" i="6"/>
  <c r="B142" i="11"/>
  <c r="A143" i="11"/>
  <c r="Q143" i="6"/>
  <c r="J144" i="6"/>
  <c r="P143" i="6"/>
  <c r="B142" i="4"/>
  <c r="A143" i="4"/>
  <c r="Y144" i="3" l="1"/>
  <c r="E144" i="3"/>
  <c r="A146" i="3"/>
  <c r="B145" i="3"/>
  <c r="D145" i="3"/>
  <c r="C145" i="3"/>
  <c r="J144" i="3"/>
  <c r="P141" i="3"/>
  <c r="Q141" i="3"/>
  <c r="A144" i="6"/>
  <c r="B143" i="6"/>
  <c r="A144" i="11"/>
  <c r="B143" i="11"/>
  <c r="J145" i="6"/>
  <c r="P144" i="6"/>
  <c r="Q144" i="6"/>
  <c r="A144" i="4"/>
  <c r="B143" i="4"/>
  <c r="Y145" i="3" l="1"/>
  <c r="E145" i="3"/>
  <c r="A147" i="3"/>
  <c r="B146" i="3"/>
  <c r="C146" i="3"/>
  <c r="D146" i="3"/>
  <c r="J145" i="3"/>
  <c r="Q142" i="3"/>
  <c r="P142" i="3"/>
  <c r="A145" i="6"/>
  <c r="B144" i="6"/>
  <c r="A145" i="11"/>
  <c r="B144" i="11"/>
  <c r="J146" i="6"/>
  <c r="P145" i="6"/>
  <c r="Q145" i="6"/>
  <c r="A145" i="4"/>
  <c r="B144" i="4"/>
  <c r="Y146" i="3" l="1"/>
  <c r="E146" i="3"/>
  <c r="A148" i="3"/>
  <c r="B147" i="3"/>
  <c r="C147" i="3"/>
  <c r="D147" i="3"/>
  <c r="J146" i="3"/>
  <c r="P143" i="3"/>
  <c r="Q143" i="3"/>
  <c r="A146" i="6"/>
  <c r="B145" i="6"/>
  <c r="A146" i="11"/>
  <c r="B145" i="11"/>
  <c r="J147" i="6"/>
  <c r="P146" i="6"/>
  <c r="Q146" i="6"/>
  <c r="A146" i="4"/>
  <c r="B145" i="4"/>
  <c r="Y147" i="3" l="1"/>
  <c r="E147" i="3"/>
  <c r="A149" i="3"/>
  <c r="B148" i="3"/>
  <c r="C148" i="3"/>
  <c r="D148" i="3"/>
  <c r="J147" i="3"/>
  <c r="Q144" i="3"/>
  <c r="P144" i="3"/>
  <c r="A147" i="6"/>
  <c r="B146" i="6"/>
  <c r="B146" i="11"/>
  <c r="A147" i="11"/>
  <c r="J148" i="6"/>
  <c r="P147" i="6"/>
  <c r="Q147" i="6"/>
  <c r="A147" i="4"/>
  <c r="B146" i="4"/>
  <c r="Y148" i="3" l="1"/>
  <c r="E148" i="3"/>
  <c r="A150" i="3"/>
  <c r="B149" i="3"/>
  <c r="D149" i="3"/>
  <c r="C149" i="3"/>
  <c r="J148" i="3"/>
  <c r="P145" i="3"/>
  <c r="Q145" i="3"/>
  <c r="A148" i="6"/>
  <c r="B147" i="6"/>
  <c r="A148" i="11"/>
  <c r="B147" i="11"/>
  <c r="P148" i="6"/>
  <c r="Q148" i="6"/>
  <c r="J149" i="6"/>
  <c r="B147" i="4"/>
  <c r="A148" i="4"/>
  <c r="Y149" i="3" l="1"/>
  <c r="E149" i="3"/>
  <c r="A151" i="3"/>
  <c r="B150" i="3"/>
  <c r="D150" i="3"/>
  <c r="C150" i="3"/>
  <c r="J149" i="3"/>
  <c r="Q146" i="3"/>
  <c r="P146" i="3"/>
  <c r="B148" i="6"/>
  <c r="A149" i="6"/>
  <c r="A149" i="11"/>
  <c r="B148" i="11"/>
  <c r="J150" i="6"/>
  <c r="P149" i="6"/>
  <c r="Q149" i="6"/>
  <c r="A149" i="4"/>
  <c r="B148" i="4"/>
  <c r="Y150" i="3" l="1"/>
  <c r="E150" i="3"/>
  <c r="A152" i="3"/>
  <c r="B151" i="3"/>
  <c r="C151" i="3"/>
  <c r="D151" i="3"/>
  <c r="J150" i="3"/>
  <c r="Q147" i="3"/>
  <c r="P147" i="3"/>
  <c r="A150" i="6"/>
  <c r="B149" i="6"/>
  <c r="B149" i="11"/>
  <c r="A150" i="11"/>
  <c r="J151" i="6"/>
  <c r="P150" i="6"/>
  <c r="Q150" i="6"/>
  <c r="B149" i="4"/>
  <c r="A150" i="4"/>
  <c r="Y151" i="3" l="1"/>
  <c r="E151" i="3"/>
  <c r="A153" i="3"/>
  <c r="B152" i="3"/>
  <c r="C152" i="3"/>
  <c r="D152" i="3"/>
  <c r="J151" i="3"/>
  <c r="Q148" i="3"/>
  <c r="P148" i="3"/>
  <c r="A151" i="6"/>
  <c r="B150" i="6"/>
  <c r="A151" i="11"/>
  <c r="B150" i="11"/>
  <c r="J152" i="6"/>
  <c r="P151" i="6"/>
  <c r="Q151" i="6"/>
  <c r="A151" i="4"/>
  <c r="B150" i="4"/>
  <c r="Y152" i="3" l="1"/>
  <c r="E152" i="3"/>
  <c r="A154" i="3"/>
  <c r="B153" i="3"/>
  <c r="C153" i="3"/>
  <c r="D153" i="3"/>
  <c r="J152" i="3"/>
  <c r="Q149" i="3"/>
  <c r="P149" i="3"/>
  <c r="A152" i="6"/>
  <c r="B151" i="6"/>
  <c r="A152" i="11"/>
  <c r="B151" i="11"/>
  <c r="J153" i="6"/>
  <c r="P152" i="6"/>
  <c r="Q152" i="6"/>
  <c r="B151" i="4"/>
  <c r="A152" i="4"/>
  <c r="Y153" i="3" l="1"/>
  <c r="E153" i="3"/>
  <c r="A155" i="3"/>
  <c r="B154" i="3"/>
  <c r="D154" i="3"/>
  <c r="C154" i="3"/>
  <c r="J153" i="3"/>
  <c r="P150" i="3"/>
  <c r="Q150" i="3"/>
  <c r="A153" i="6"/>
  <c r="B152" i="6"/>
  <c r="B152" i="11"/>
  <c r="A153" i="11"/>
  <c r="J154" i="6"/>
  <c r="P153" i="6"/>
  <c r="Q153" i="6"/>
  <c r="A153" i="4"/>
  <c r="B152" i="4"/>
  <c r="Y154" i="3" l="1"/>
  <c r="E154" i="3"/>
  <c r="A156" i="3"/>
  <c r="B155" i="3"/>
  <c r="D155" i="3"/>
  <c r="C155" i="3"/>
  <c r="J154" i="3"/>
  <c r="Q151" i="3"/>
  <c r="P151" i="3"/>
  <c r="B153" i="6"/>
  <c r="A154" i="6"/>
  <c r="A154" i="11"/>
  <c r="B153" i="11"/>
  <c r="J155" i="6"/>
  <c r="P154" i="6"/>
  <c r="Q154" i="6"/>
  <c r="A154" i="4"/>
  <c r="B153" i="4"/>
  <c r="Y155" i="3" l="1"/>
  <c r="E155" i="3"/>
  <c r="A157" i="3"/>
  <c r="B156" i="3"/>
  <c r="C156" i="3"/>
  <c r="D156" i="3"/>
  <c r="J155" i="3"/>
  <c r="Q152" i="3"/>
  <c r="P152" i="3"/>
  <c r="A155" i="6"/>
  <c r="B154" i="6"/>
  <c r="A155" i="11"/>
  <c r="B154" i="11"/>
  <c r="J156" i="6"/>
  <c r="P155" i="6"/>
  <c r="Q155" i="6"/>
  <c r="A155" i="4"/>
  <c r="B154" i="4"/>
  <c r="Y156" i="3" l="1"/>
  <c r="E156" i="3"/>
  <c r="A158" i="3"/>
  <c r="B157" i="3"/>
  <c r="C157" i="3"/>
  <c r="D157" i="3"/>
  <c r="J156" i="3"/>
  <c r="Q153" i="3"/>
  <c r="P153" i="3"/>
  <c r="A156" i="6"/>
  <c r="B155" i="6"/>
  <c r="B155" i="11"/>
  <c r="A156" i="11"/>
  <c r="J157" i="6"/>
  <c r="P156" i="6"/>
  <c r="Q156" i="6"/>
  <c r="B155" i="4"/>
  <c r="A156" i="4"/>
  <c r="Y157" i="3" l="1"/>
  <c r="E157" i="3"/>
  <c r="A159" i="3"/>
  <c r="B158" i="3"/>
  <c r="C158" i="3"/>
  <c r="D158" i="3"/>
  <c r="J157" i="3"/>
  <c r="P154" i="3"/>
  <c r="Q154" i="3"/>
  <c r="B156" i="6"/>
  <c r="A157" i="6"/>
  <c r="A157" i="11"/>
  <c r="B156" i="11"/>
  <c r="J158" i="6"/>
  <c r="P157" i="6"/>
  <c r="Q157" i="6"/>
  <c r="B156" i="4"/>
  <c r="A157" i="4"/>
  <c r="Y158" i="3" l="1"/>
  <c r="E158" i="3"/>
  <c r="A160" i="3"/>
  <c r="B159" i="3"/>
  <c r="C159" i="3"/>
  <c r="D159" i="3"/>
  <c r="J158" i="3"/>
  <c r="Q155" i="3"/>
  <c r="P155" i="3"/>
  <c r="A158" i="6"/>
  <c r="B157" i="6"/>
  <c r="A158" i="11"/>
  <c r="B157" i="11"/>
  <c r="J159" i="6"/>
  <c r="P158" i="6"/>
  <c r="Q158" i="6"/>
  <c r="A158" i="4"/>
  <c r="B157" i="4"/>
  <c r="Y159" i="3" l="1"/>
  <c r="E159" i="3"/>
  <c r="A161" i="3"/>
  <c r="B160" i="3"/>
  <c r="D160" i="3"/>
  <c r="C160" i="3"/>
  <c r="J159" i="3"/>
  <c r="P156" i="3"/>
  <c r="Q156" i="3"/>
  <c r="B158" i="6"/>
  <c r="A159" i="6"/>
  <c r="B158" i="11"/>
  <c r="A159" i="11"/>
  <c r="Q159" i="6"/>
  <c r="J160" i="6"/>
  <c r="P159" i="6"/>
  <c r="B158" i="4"/>
  <c r="A159" i="4"/>
  <c r="Y160" i="3" l="1"/>
  <c r="E160" i="3"/>
  <c r="A162" i="3"/>
  <c r="B161" i="3"/>
  <c r="D161" i="3"/>
  <c r="C161" i="3"/>
  <c r="J160" i="3"/>
  <c r="P157" i="3"/>
  <c r="Q157" i="3"/>
  <c r="B159" i="6"/>
  <c r="A160" i="6"/>
  <c r="A160" i="11"/>
  <c r="B159" i="11"/>
  <c r="P160" i="6"/>
  <c r="Q160" i="6"/>
  <c r="J161" i="6"/>
  <c r="B159" i="4"/>
  <c r="A160" i="4"/>
  <c r="Y161" i="3" l="1"/>
  <c r="E161" i="3"/>
  <c r="A163" i="3"/>
  <c r="B162" i="3"/>
  <c r="C162" i="3"/>
  <c r="D162" i="3"/>
  <c r="J161" i="3"/>
  <c r="P158" i="3"/>
  <c r="Q158" i="3"/>
  <c r="A161" i="6"/>
  <c r="B160" i="6"/>
  <c r="A161" i="11"/>
  <c r="B160" i="11"/>
  <c r="J162" i="6"/>
  <c r="Q161" i="6"/>
  <c r="P161" i="6"/>
  <c r="A161" i="4"/>
  <c r="B160" i="4"/>
  <c r="Y162" i="3" l="1"/>
  <c r="E162" i="3"/>
  <c r="A164" i="3"/>
  <c r="B163" i="3"/>
  <c r="C163" i="3"/>
  <c r="D163" i="3"/>
  <c r="J162" i="3"/>
  <c r="P159" i="3"/>
  <c r="Q159" i="3"/>
  <c r="B161" i="6"/>
  <c r="A162" i="6"/>
  <c r="A162" i="11"/>
  <c r="B161" i="11"/>
  <c r="P162" i="6"/>
  <c r="Q162" i="6"/>
  <c r="J163" i="6"/>
  <c r="A162" i="4"/>
  <c r="B161" i="4"/>
  <c r="Y163" i="3" l="1"/>
  <c r="E163" i="3"/>
  <c r="A165" i="3"/>
  <c r="B164" i="3"/>
  <c r="D164" i="3"/>
  <c r="C164" i="3"/>
  <c r="J163" i="3"/>
  <c r="P160" i="3"/>
  <c r="Q160" i="3"/>
  <c r="B162" i="6"/>
  <c r="A163" i="6"/>
  <c r="A163" i="11"/>
  <c r="B162" i="11"/>
  <c r="J164" i="6"/>
  <c r="P163" i="6"/>
  <c r="Q163" i="6"/>
  <c r="A163" i="4"/>
  <c r="B162" i="4"/>
  <c r="Y164" i="3" l="1"/>
  <c r="E164" i="3"/>
  <c r="A166" i="3"/>
  <c r="B165" i="3"/>
  <c r="D165" i="3"/>
  <c r="C165" i="3"/>
  <c r="J164" i="3"/>
  <c r="P161" i="3"/>
  <c r="Q161" i="3"/>
  <c r="B163" i="6"/>
  <c r="A164" i="6"/>
  <c r="A164" i="11"/>
  <c r="B163" i="11"/>
  <c r="P164" i="6"/>
  <c r="Q164" i="6"/>
  <c r="J165" i="6"/>
  <c r="B163" i="4"/>
  <c r="A164" i="4"/>
  <c r="Y165" i="3" l="1"/>
  <c r="E165" i="3"/>
  <c r="A167" i="3"/>
  <c r="B166" i="3"/>
  <c r="D166" i="3"/>
  <c r="C166" i="3"/>
  <c r="J165" i="3"/>
  <c r="Q162" i="3"/>
  <c r="P162" i="3"/>
  <c r="A165" i="6"/>
  <c r="B164" i="6"/>
  <c r="A165" i="11"/>
  <c r="B164" i="11"/>
  <c r="J166" i="6"/>
  <c r="P165" i="6"/>
  <c r="Q165" i="6"/>
  <c r="B164" i="4"/>
  <c r="A165" i="4"/>
  <c r="Y166" i="3" l="1"/>
  <c r="E166" i="3"/>
  <c r="A168" i="3"/>
  <c r="B167" i="3"/>
  <c r="C167" i="3"/>
  <c r="D167" i="3"/>
  <c r="J166" i="3"/>
  <c r="P163" i="3"/>
  <c r="Q163" i="3"/>
  <c r="A166" i="6"/>
  <c r="B165" i="6"/>
  <c r="B165" i="11"/>
  <c r="A166" i="11"/>
  <c r="J167" i="6"/>
  <c r="P166" i="6"/>
  <c r="Q166" i="6"/>
  <c r="A166" i="4"/>
  <c r="B165" i="4"/>
  <c r="Y167" i="3" l="1"/>
  <c r="E167" i="3"/>
  <c r="A169" i="3"/>
  <c r="B168" i="3"/>
  <c r="C168" i="3"/>
  <c r="D168" i="3"/>
  <c r="J167" i="3"/>
  <c r="Q164" i="3"/>
  <c r="P164" i="3"/>
  <c r="B166" i="6"/>
  <c r="A167" i="6"/>
  <c r="A167" i="11"/>
  <c r="B166" i="11"/>
  <c r="J168" i="6"/>
  <c r="P167" i="6"/>
  <c r="Q167" i="6"/>
  <c r="A167" i="4"/>
  <c r="B166" i="4"/>
  <c r="Y168" i="3" l="1"/>
  <c r="E168" i="3"/>
  <c r="A170" i="3"/>
  <c r="B169" i="3"/>
  <c r="C169" i="3"/>
  <c r="D169" i="3"/>
  <c r="J168" i="3"/>
  <c r="Q165" i="3"/>
  <c r="P165" i="3"/>
  <c r="A168" i="6"/>
  <c r="B167" i="6"/>
  <c r="A168" i="11"/>
  <c r="B167" i="11"/>
  <c r="J169" i="6"/>
  <c r="Q168" i="6"/>
  <c r="P168" i="6"/>
  <c r="A168" i="4"/>
  <c r="B167" i="4"/>
  <c r="Y169" i="3" l="1"/>
  <c r="E169" i="3"/>
  <c r="A171" i="3"/>
  <c r="B170" i="3"/>
  <c r="D170" i="3"/>
  <c r="C170" i="3"/>
  <c r="J169" i="3"/>
  <c r="P166" i="3"/>
  <c r="Q166" i="3"/>
  <c r="B168" i="6"/>
  <c r="A169" i="6"/>
  <c r="B168" i="11"/>
  <c r="A169" i="11"/>
  <c r="J170" i="6"/>
  <c r="Q169" i="6"/>
  <c r="P169" i="6"/>
  <c r="A169" i="4"/>
  <c r="B168" i="4"/>
  <c r="Y170" i="3" l="1"/>
  <c r="E170" i="3"/>
  <c r="A172" i="3"/>
  <c r="B171" i="3"/>
  <c r="D171" i="3"/>
  <c r="C171" i="3"/>
  <c r="J170" i="3"/>
  <c r="P167" i="3"/>
  <c r="Q167" i="3"/>
  <c r="A170" i="6"/>
  <c r="B169" i="6"/>
  <c r="A170" i="11"/>
  <c r="B169" i="11"/>
  <c r="J171" i="6"/>
  <c r="P170" i="6"/>
  <c r="Q170" i="6"/>
  <c r="A170" i="4"/>
  <c r="B169" i="4"/>
  <c r="Y171" i="3" l="1"/>
  <c r="E171" i="3"/>
  <c r="A173" i="3"/>
  <c r="B172" i="3"/>
  <c r="C172" i="3"/>
  <c r="D172" i="3"/>
  <c r="J171" i="3"/>
  <c r="Q168" i="3"/>
  <c r="P168" i="3"/>
  <c r="A171" i="6"/>
  <c r="B170" i="6"/>
  <c r="A171" i="11"/>
  <c r="B170" i="11"/>
  <c r="J172" i="6"/>
  <c r="P171" i="6"/>
  <c r="Q171" i="6"/>
  <c r="A171" i="4"/>
  <c r="B170" i="4"/>
  <c r="Y172" i="3" l="1"/>
  <c r="E172" i="3"/>
  <c r="A174" i="3"/>
  <c r="B173" i="3"/>
  <c r="C173" i="3"/>
  <c r="D173" i="3"/>
  <c r="J172" i="3"/>
  <c r="P169" i="3"/>
  <c r="Q169" i="3"/>
  <c r="A172" i="6"/>
  <c r="B171" i="6"/>
  <c r="B171" i="11"/>
  <c r="A172" i="11"/>
  <c r="J173" i="6"/>
  <c r="P172" i="6"/>
  <c r="Q172" i="6"/>
  <c r="A172" i="4"/>
  <c r="B171" i="4"/>
  <c r="Y173" i="3" l="1"/>
  <c r="E173" i="3"/>
  <c r="A175" i="3"/>
  <c r="B174" i="3"/>
  <c r="C174" i="3"/>
  <c r="D174" i="3"/>
  <c r="J173" i="3"/>
  <c r="Q170" i="3"/>
  <c r="P170" i="3"/>
  <c r="A173" i="6"/>
  <c r="B172" i="6"/>
  <c r="A173" i="11"/>
  <c r="B172" i="11"/>
  <c r="J174" i="6"/>
  <c r="P173" i="6"/>
  <c r="Q173" i="6"/>
  <c r="A173" i="4"/>
  <c r="B172" i="4"/>
  <c r="Y174" i="3" l="1"/>
  <c r="E174" i="3"/>
  <c r="A176" i="3"/>
  <c r="B175" i="3"/>
  <c r="D175" i="3"/>
  <c r="C175" i="3"/>
  <c r="J174" i="3"/>
  <c r="Q171" i="3"/>
  <c r="P171" i="3"/>
  <c r="B173" i="6"/>
  <c r="A174" i="6"/>
  <c r="A174" i="11"/>
  <c r="B173" i="11"/>
  <c r="J175" i="6"/>
  <c r="P174" i="6"/>
  <c r="Q174" i="6"/>
  <c r="A174" i="4"/>
  <c r="B173" i="4"/>
  <c r="Y175" i="3" l="1"/>
  <c r="E175" i="3"/>
  <c r="A177" i="3"/>
  <c r="B176" i="3"/>
  <c r="D176" i="3"/>
  <c r="C176" i="3"/>
  <c r="J175" i="3"/>
  <c r="Q172" i="3"/>
  <c r="P172" i="3"/>
  <c r="A175" i="6"/>
  <c r="B174" i="6"/>
  <c r="B174" i="11"/>
  <c r="A175" i="11"/>
  <c r="Q175" i="6"/>
  <c r="J176" i="6"/>
  <c r="P175" i="6"/>
  <c r="A175" i="4"/>
  <c r="B174" i="4"/>
  <c r="Y176" i="3" l="1"/>
  <c r="E176" i="3"/>
  <c r="A178" i="3"/>
  <c r="B177" i="3"/>
  <c r="C177" i="3"/>
  <c r="D177" i="3"/>
  <c r="J176" i="3"/>
  <c r="P173" i="3"/>
  <c r="Q173" i="3"/>
  <c r="A176" i="6"/>
  <c r="B175" i="6"/>
  <c r="A176" i="11"/>
  <c r="B175" i="11"/>
  <c r="P176" i="6"/>
  <c r="Q176" i="6"/>
  <c r="J177" i="6"/>
  <c r="A176" i="4"/>
  <c r="B175" i="4"/>
  <c r="Y177" i="3" l="1"/>
  <c r="E177" i="3"/>
  <c r="A179" i="3"/>
  <c r="B178" i="3"/>
  <c r="C178" i="3"/>
  <c r="D178" i="3"/>
  <c r="J177" i="3"/>
  <c r="Q174" i="3"/>
  <c r="P174" i="3"/>
  <c r="B176" i="6"/>
  <c r="A177" i="6"/>
  <c r="A177" i="11"/>
  <c r="B176" i="11"/>
  <c r="J178" i="6"/>
  <c r="P177" i="6"/>
  <c r="Q177" i="6"/>
  <c r="A177" i="4"/>
  <c r="B176" i="4"/>
  <c r="Y178" i="3" l="1"/>
  <c r="E178" i="3"/>
  <c r="A180" i="3"/>
  <c r="B179" i="3"/>
  <c r="C179" i="3"/>
  <c r="D179" i="3"/>
  <c r="J178" i="3"/>
  <c r="P175" i="3"/>
  <c r="Q175" i="3"/>
  <c r="A178" i="6"/>
  <c r="B177" i="6"/>
  <c r="A178" i="11"/>
  <c r="B177" i="11"/>
  <c r="P178" i="6"/>
  <c r="Q178" i="6"/>
  <c r="J179" i="6"/>
  <c r="B177" i="4"/>
  <c r="A178" i="4"/>
  <c r="Y179" i="3" l="1"/>
  <c r="E179" i="3"/>
  <c r="A181" i="3"/>
  <c r="B180" i="3"/>
  <c r="D180" i="3"/>
  <c r="C180" i="3"/>
  <c r="J179" i="3"/>
  <c r="P176" i="3"/>
  <c r="Q176" i="3"/>
  <c r="A179" i="6"/>
  <c r="B178" i="6"/>
  <c r="B178" i="11"/>
  <c r="A179" i="11"/>
  <c r="P179" i="6"/>
  <c r="J180" i="6"/>
  <c r="Q179" i="6"/>
  <c r="A179" i="4"/>
  <c r="B178" i="4"/>
  <c r="Y180" i="3" l="1"/>
  <c r="E180" i="3"/>
  <c r="A182" i="3"/>
  <c r="B181" i="3"/>
  <c r="D181" i="3"/>
  <c r="C181" i="3"/>
  <c r="J180" i="3"/>
  <c r="Q177" i="3"/>
  <c r="P177" i="3"/>
  <c r="B179" i="6"/>
  <c r="A180" i="6"/>
  <c r="A180" i="11"/>
  <c r="B179" i="11"/>
  <c r="J181" i="6"/>
  <c r="P180" i="6"/>
  <c r="Q180" i="6"/>
  <c r="B179" i="4"/>
  <c r="A180" i="4"/>
  <c r="Y181" i="3" l="1"/>
  <c r="E181" i="3"/>
  <c r="A183" i="3"/>
  <c r="B182" i="3"/>
  <c r="D182" i="3"/>
  <c r="C182" i="3"/>
  <c r="J181" i="3"/>
  <c r="P178" i="3"/>
  <c r="Q178" i="3"/>
  <c r="B180" i="6"/>
  <c r="A181" i="6"/>
  <c r="A181" i="11"/>
  <c r="B180" i="11"/>
  <c r="J182" i="6"/>
  <c r="P181" i="6"/>
  <c r="Q181" i="6"/>
  <c r="B180" i="4"/>
  <c r="A181" i="4"/>
  <c r="Y182" i="3" l="1"/>
  <c r="E182" i="3"/>
  <c r="A184" i="3"/>
  <c r="B183" i="3"/>
  <c r="C183" i="3"/>
  <c r="D183" i="3"/>
  <c r="J182" i="3"/>
  <c r="P179" i="3"/>
  <c r="Q179" i="3"/>
  <c r="B181" i="6"/>
  <c r="A182" i="6"/>
  <c r="B181" i="11"/>
  <c r="A182" i="11"/>
  <c r="J183" i="6"/>
  <c r="P182" i="6"/>
  <c r="Q182" i="6"/>
  <c r="A182" i="4"/>
  <c r="B181" i="4"/>
  <c r="Y183" i="3" l="1"/>
  <c r="E183" i="3"/>
  <c r="A185" i="3"/>
  <c r="B184" i="3"/>
  <c r="C184" i="3"/>
  <c r="D184" i="3"/>
  <c r="J183" i="3"/>
  <c r="P180" i="3"/>
  <c r="Q180" i="3"/>
  <c r="A183" i="6"/>
  <c r="B182" i="6"/>
  <c r="A183" i="11"/>
  <c r="B182" i="11"/>
  <c r="J184" i="6"/>
  <c r="P183" i="6"/>
  <c r="Q183" i="6"/>
  <c r="A183" i="4"/>
  <c r="B182" i="4"/>
  <c r="Y184" i="3" l="1"/>
  <c r="E184" i="3"/>
  <c r="A186" i="3"/>
  <c r="B185" i="3"/>
  <c r="D185" i="3"/>
  <c r="C185" i="3"/>
  <c r="J184" i="3"/>
  <c r="P181" i="3"/>
  <c r="Q181" i="3"/>
  <c r="B183" i="6"/>
  <c r="A184" i="6"/>
  <c r="A184" i="11"/>
  <c r="B183" i="11"/>
  <c r="J185" i="6"/>
  <c r="P184" i="6"/>
  <c r="Q184" i="6"/>
  <c r="A184" i="4"/>
  <c r="B183" i="4"/>
  <c r="Y185" i="3" l="1"/>
  <c r="E185" i="3"/>
  <c r="A187" i="3"/>
  <c r="B186" i="3"/>
  <c r="D186" i="3"/>
  <c r="C186" i="3"/>
  <c r="J185" i="3"/>
  <c r="Q182" i="3"/>
  <c r="P182" i="3"/>
  <c r="B184" i="6"/>
  <c r="A185" i="6"/>
  <c r="B184" i="11"/>
  <c r="A185" i="11"/>
  <c r="J186" i="6"/>
  <c r="Q185" i="6"/>
  <c r="P185" i="6"/>
  <c r="B184" i="4"/>
  <c r="A185" i="4"/>
  <c r="Y186" i="3" l="1"/>
  <c r="E186" i="3"/>
  <c r="A188" i="3"/>
  <c r="B187" i="3"/>
  <c r="C187" i="3"/>
  <c r="D187" i="3"/>
  <c r="J186" i="3"/>
  <c r="Q183" i="3"/>
  <c r="P183" i="3"/>
  <c r="B185" i="6"/>
  <c r="A186" i="6"/>
  <c r="A186" i="11"/>
  <c r="B185" i="11"/>
  <c r="J187" i="6"/>
  <c r="P186" i="6"/>
  <c r="Q186" i="6"/>
  <c r="A186" i="4"/>
  <c r="B185" i="4"/>
  <c r="Y187" i="3" l="1"/>
  <c r="E187" i="3"/>
  <c r="A189" i="3"/>
  <c r="B188" i="3"/>
  <c r="C188" i="3"/>
  <c r="D188" i="3"/>
  <c r="J187" i="3"/>
  <c r="P184" i="3"/>
  <c r="Q184" i="3"/>
  <c r="B186" i="6"/>
  <c r="A187" i="6"/>
  <c r="A187" i="11"/>
  <c r="B186" i="11"/>
  <c r="J188" i="6"/>
  <c r="P187" i="6"/>
  <c r="Q187" i="6"/>
  <c r="B186" i="4"/>
  <c r="A187" i="4"/>
  <c r="Y188" i="3" l="1"/>
  <c r="E188" i="3"/>
  <c r="A190" i="3"/>
  <c r="B189" i="3"/>
  <c r="C189" i="3"/>
  <c r="D189" i="3"/>
  <c r="J188" i="3"/>
  <c r="Q185" i="3"/>
  <c r="P185" i="3"/>
  <c r="A188" i="6"/>
  <c r="B187" i="6"/>
  <c r="B187" i="11"/>
  <c r="A188" i="11"/>
  <c r="J189" i="6"/>
  <c r="P188" i="6"/>
  <c r="Q188" i="6"/>
  <c r="B187" i="4"/>
  <c r="A188" i="4"/>
  <c r="Y189" i="3" l="1"/>
  <c r="E189" i="3"/>
  <c r="A191" i="3"/>
  <c r="B190" i="3"/>
  <c r="C190" i="3"/>
  <c r="D190" i="3"/>
  <c r="J189" i="3"/>
  <c r="Q186" i="3"/>
  <c r="P186" i="3"/>
  <c r="A189" i="6"/>
  <c r="B188" i="6"/>
  <c r="A189" i="11"/>
  <c r="B188" i="11"/>
  <c r="J190" i="6"/>
  <c r="P189" i="6"/>
  <c r="Q189" i="6"/>
  <c r="A189" i="4"/>
  <c r="B188" i="4"/>
  <c r="Y190" i="3" l="1"/>
  <c r="E190" i="3"/>
  <c r="A192" i="3"/>
  <c r="B191" i="3"/>
  <c r="D191" i="3"/>
  <c r="C191" i="3"/>
  <c r="J190" i="3"/>
  <c r="Q187" i="3"/>
  <c r="P187" i="3"/>
  <c r="A190" i="6"/>
  <c r="B189" i="6"/>
  <c r="A190" i="11"/>
  <c r="B189" i="11"/>
  <c r="J191" i="6"/>
  <c r="P190" i="6"/>
  <c r="Q190" i="6"/>
  <c r="A190" i="4"/>
  <c r="B189" i="4"/>
  <c r="Y191" i="3" l="1"/>
  <c r="E191" i="3"/>
  <c r="A193" i="3"/>
  <c r="B192" i="3"/>
  <c r="C192" i="3"/>
  <c r="D192" i="3"/>
  <c r="J191" i="3"/>
  <c r="Q188" i="3"/>
  <c r="P188" i="3"/>
  <c r="A191" i="6"/>
  <c r="B190" i="6"/>
  <c r="B190" i="11"/>
  <c r="A191" i="11"/>
  <c r="Q191" i="6"/>
  <c r="J192" i="6"/>
  <c r="P191" i="6"/>
  <c r="A191" i="4"/>
  <c r="B190" i="4"/>
  <c r="Y192" i="3" l="1"/>
  <c r="E192" i="3"/>
  <c r="A194" i="3"/>
  <c r="B193" i="3"/>
  <c r="C193" i="3"/>
  <c r="D193" i="3"/>
  <c r="J192" i="3"/>
  <c r="P189" i="3"/>
  <c r="Q189" i="3"/>
  <c r="A192" i="6"/>
  <c r="B191" i="6"/>
  <c r="A192" i="11"/>
  <c r="B191" i="11"/>
  <c r="J193" i="6"/>
  <c r="P192" i="6"/>
  <c r="Q192" i="6"/>
  <c r="A192" i="4"/>
  <c r="B191" i="4"/>
  <c r="Y193" i="3" l="1"/>
  <c r="E193" i="3"/>
  <c r="A195" i="3"/>
  <c r="B194" i="3"/>
  <c r="C194" i="3"/>
  <c r="D194" i="3"/>
  <c r="J193" i="3"/>
  <c r="Q190" i="3"/>
  <c r="P190" i="3"/>
  <c r="A193" i="6"/>
  <c r="B192" i="6"/>
  <c r="A193" i="11"/>
  <c r="B192" i="11"/>
  <c r="J194" i="6"/>
  <c r="P193" i="6"/>
  <c r="Q193" i="6"/>
  <c r="A193" i="4"/>
  <c r="B192" i="4"/>
  <c r="Y194" i="3" l="1"/>
  <c r="E194" i="3"/>
  <c r="A196" i="3"/>
  <c r="B195" i="3"/>
  <c r="C195" i="3"/>
  <c r="D195" i="3"/>
  <c r="J194" i="3"/>
  <c r="P191" i="3"/>
  <c r="Q191" i="3"/>
  <c r="A194" i="6"/>
  <c r="B193" i="6"/>
  <c r="A194" i="11"/>
  <c r="B193" i="11"/>
  <c r="J195" i="6"/>
  <c r="P194" i="6"/>
  <c r="Q194" i="6"/>
  <c r="A194" i="4"/>
  <c r="B193" i="4"/>
  <c r="Y195" i="3" l="1"/>
  <c r="E195" i="3"/>
  <c r="A197" i="3"/>
  <c r="B196" i="3"/>
  <c r="D196" i="3"/>
  <c r="C196" i="3"/>
  <c r="J195" i="3"/>
  <c r="Q192" i="3"/>
  <c r="P192" i="3"/>
  <c r="A195" i="6"/>
  <c r="B194" i="6"/>
  <c r="B194" i="11"/>
  <c r="A195" i="11"/>
  <c r="J196" i="6"/>
  <c r="P195" i="6"/>
  <c r="Q195" i="6"/>
  <c r="A195" i="4"/>
  <c r="B194" i="4"/>
  <c r="Y196" i="3" l="1"/>
  <c r="E196" i="3"/>
  <c r="A198" i="3"/>
  <c r="B197" i="3"/>
  <c r="D197" i="3"/>
  <c r="C197" i="3"/>
  <c r="J196" i="3"/>
  <c r="Q193" i="3"/>
  <c r="P193" i="3"/>
  <c r="A196" i="6"/>
  <c r="B195" i="6"/>
  <c r="A196" i="11"/>
  <c r="B195" i="11"/>
  <c r="P196" i="6"/>
  <c r="Q196" i="6"/>
  <c r="J197" i="6"/>
  <c r="B195" i="4"/>
  <c r="A196" i="4"/>
  <c r="Y197" i="3" l="1"/>
  <c r="E197" i="3"/>
  <c r="A199" i="3"/>
  <c r="B198" i="3"/>
  <c r="D198" i="3"/>
  <c r="C198" i="3"/>
  <c r="J197" i="3"/>
  <c r="P194" i="3"/>
  <c r="Q194" i="3"/>
  <c r="A197" i="6"/>
  <c r="B196" i="6"/>
  <c r="A197" i="11"/>
  <c r="B196" i="11"/>
  <c r="J198" i="6"/>
  <c r="P197" i="6"/>
  <c r="Q197" i="6"/>
  <c r="A197" i="4"/>
  <c r="B196" i="4"/>
  <c r="Y198" i="3" l="1"/>
  <c r="E198" i="3"/>
  <c r="A200" i="3"/>
  <c r="B199" i="3"/>
  <c r="C199" i="3"/>
  <c r="D199" i="3"/>
  <c r="J198" i="3"/>
  <c r="P195" i="3"/>
  <c r="Q195" i="3"/>
  <c r="B197" i="6"/>
  <c r="A198" i="6"/>
  <c r="B197" i="11"/>
  <c r="A198" i="11"/>
  <c r="J199" i="6"/>
  <c r="P198" i="6"/>
  <c r="Q198" i="6"/>
  <c r="B197" i="4"/>
  <c r="A198" i="4"/>
  <c r="Y199" i="3" l="1"/>
  <c r="E199" i="3"/>
  <c r="A201" i="3"/>
  <c r="B200" i="3"/>
  <c r="C200" i="3"/>
  <c r="D200" i="3"/>
  <c r="J199" i="3"/>
  <c r="Q196" i="3"/>
  <c r="P196" i="3"/>
  <c r="A199" i="6"/>
  <c r="B198" i="6"/>
  <c r="A199" i="11"/>
  <c r="B198" i="11"/>
  <c r="J200" i="6"/>
  <c r="P199" i="6"/>
  <c r="Q199" i="6"/>
  <c r="A199" i="4"/>
  <c r="B198" i="4"/>
  <c r="Y200" i="3" l="1"/>
  <c r="E200" i="3"/>
  <c r="A202" i="3"/>
  <c r="B201" i="3"/>
  <c r="D201" i="3"/>
  <c r="C201" i="3"/>
  <c r="J200" i="3"/>
  <c r="Q197" i="3"/>
  <c r="P197" i="3"/>
  <c r="A200" i="6"/>
  <c r="B199" i="6"/>
  <c r="A200" i="11"/>
  <c r="B199" i="11"/>
  <c r="J201" i="6"/>
  <c r="P200" i="6"/>
  <c r="Q200" i="6"/>
  <c r="A200" i="4"/>
  <c r="B199" i="4"/>
  <c r="Y201" i="3" l="1"/>
  <c r="E201" i="3"/>
  <c r="A203" i="3"/>
  <c r="B202" i="3"/>
  <c r="D202" i="3"/>
  <c r="C202" i="3"/>
  <c r="J201" i="3"/>
  <c r="Q198" i="3"/>
  <c r="P198" i="3"/>
  <c r="A201" i="6"/>
  <c r="B200" i="6"/>
  <c r="B200" i="11"/>
  <c r="A201" i="11"/>
  <c r="J202" i="6"/>
  <c r="Q201" i="6"/>
  <c r="P201" i="6"/>
  <c r="A201" i="4"/>
  <c r="B200" i="4"/>
  <c r="Y202" i="3" l="1"/>
  <c r="E202" i="3"/>
  <c r="A204" i="3"/>
  <c r="B203" i="3"/>
  <c r="C203" i="3"/>
  <c r="D203" i="3"/>
  <c r="J202" i="3"/>
  <c r="Q199" i="3"/>
  <c r="P199" i="3"/>
  <c r="A202" i="6"/>
  <c r="B201" i="6"/>
  <c r="A202" i="11"/>
  <c r="B201" i="11"/>
  <c r="J203" i="6"/>
  <c r="P202" i="6"/>
  <c r="Q202" i="6"/>
  <c r="A202" i="4"/>
  <c r="B201" i="4"/>
  <c r="Y203" i="3" l="1"/>
  <c r="E203" i="3"/>
  <c r="A205" i="3"/>
  <c r="B204" i="3"/>
  <c r="C204" i="3"/>
  <c r="D204" i="3"/>
  <c r="J203" i="3"/>
  <c r="P200" i="3"/>
  <c r="Q200" i="3"/>
  <c r="B202" i="6"/>
  <c r="A203" i="6"/>
  <c r="A203" i="11"/>
  <c r="B202" i="11"/>
  <c r="J204" i="6"/>
  <c r="P203" i="6"/>
  <c r="Q203" i="6"/>
  <c r="A203" i="4"/>
  <c r="B202" i="4"/>
  <c r="Y204" i="3" l="1"/>
  <c r="E204" i="3"/>
  <c r="A206" i="3"/>
  <c r="B205" i="3"/>
  <c r="C205" i="3"/>
  <c r="D205" i="3"/>
  <c r="J204" i="3"/>
  <c r="Q201" i="3"/>
  <c r="P201" i="3"/>
  <c r="A204" i="6"/>
  <c r="B203" i="6"/>
  <c r="B203" i="11"/>
  <c r="A204" i="11"/>
  <c r="J205" i="6"/>
  <c r="P204" i="6"/>
  <c r="Q204" i="6"/>
  <c r="A204" i="4"/>
  <c r="B203" i="4"/>
  <c r="Y205" i="3" l="1"/>
  <c r="E205" i="3"/>
  <c r="A207" i="3"/>
  <c r="B206" i="3"/>
  <c r="D206" i="3"/>
  <c r="C206" i="3"/>
  <c r="J205" i="3"/>
  <c r="P202" i="3"/>
  <c r="Q202" i="3"/>
  <c r="A205" i="6"/>
  <c r="B204" i="6"/>
  <c r="A205" i="11"/>
  <c r="B204" i="11"/>
  <c r="J206" i="6"/>
  <c r="P205" i="6"/>
  <c r="Q205" i="6"/>
  <c r="A205" i="4"/>
  <c r="B204" i="4"/>
  <c r="Y206" i="3" l="1"/>
  <c r="E206" i="3"/>
  <c r="A208" i="3"/>
  <c r="B207" i="3"/>
  <c r="D207" i="3"/>
  <c r="C207" i="3"/>
  <c r="J206" i="3"/>
  <c r="P203" i="3"/>
  <c r="Q203" i="3"/>
  <c r="A206" i="6"/>
  <c r="B205" i="6"/>
  <c r="A206" i="11"/>
  <c r="B205" i="11"/>
  <c r="J207" i="6"/>
  <c r="P206" i="6"/>
  <c r="Q206" i="6"/>
  <c r="B205" i="4"/>
  <c r="A206" i="4"/>
  <c r="Y207" i="3" l="1"/>
  <c r="E207" i="3"/>
  <c r="A209" i="3"/>
  <c r="B208" i="3"/>
  <c r="D208" i="3"/>
  <c r="C208" i="3"/>
  <c r="J207" i="3"/>
  <c r="P204" i="3"/>
  <c r="Q204" i="3"/>
  <c r="A207" i="6"/>
  <c r="B206" i="6"/>
  <c r="B206" i="11"/>
  <c r="A207" i="11"/>
  <c r="Q207" i="6"/>
  <c r="J208" i="6"/>
  <c r="P207" i="6"/>
  <c r="A207" i="4"/>
  <c r="B206" i="4"/>
  <c r="Y208" i="3" l="1"/>
  <c r="E208" i="3"/>
  <c r="A210" i="3"/>
  <c r="B209" i="3"/>
  <c r="C209" i="3"/>
  <c r="D209" i="3"/>
  <c r="J208" i="3"/>
  <c r="P205" i="3"/>
  <c r="Q205" i="3"/>
  <c r="A208" i="6"/>
  <c r="B207" i="6"/>
  <c r="B207" i="11"/>
  <c r="A208" i="11"/>
  <c r="P208" i="6"/>
  <c r="J209" i="6"/>
  <c r="Q208" i="6"/>
  <c r="B207" i="4"/>
  <c r="A208" i="4"/>
  <c r="Y209" i="3" l="1"/>
  <c r="E209" i="3"/>
  <c r="A211" i="3"/>
  <c r="B210" i="3"/>
  <c r="C210" i="3"/>
  <c r="D210" i="3"/>
  <c r="J209" i="3"/>
  <c r="Q206" i="3"/>
  <c r="P206" i="3"/>
  <c r="A209" i="6"/>
  <c r="B208" i="6"/>
  <c r="B208" i="11"/>
  <c r="A209" i="11"/>
  <c r="J210" i="6"/>
  <c r="P209" i="6"/>
  <c r="Q209" i="6"/>
  <c r="A209" i="4"/>
  <c r="B208" i="4"/>
  <c r="Y210" i="3" l="1"/>
  <c r="E210" i="3"/>
  <c r="A212" i="3"/>
  <c r="B211" i="3"/>
  <c r="C211" i="3"/>
  <c r="D211" i="3"/>
  <c r="J210" i="3"/>
  <c r="Q207" i="3"/>
  <c r="P207" i="3"/>
  <c r="A210" i="6"/>
  <c r="B209" i="6"/>
  <c r="B209" i="11"/>
  <c r="A210" i="11"/>
  <c r="P210" i="6"/>
  <c r="J211" i="6"/>
  <c r="Q210" i="6"/>
  <c r="A210" i="4"/>
  <c r="B209" i="4"/>
  <c r="Y211" i="3" l="1"/>
  <c r="E211" i="3"/>
  <c r="A213" i="3"/>
  <c r="B212" i="3"/>
  <c r="D212" i="3"/>
  <c r="C212" i="3"/>
  <c r="J211" i="3"/>
  <c r="P208" i="3"/>
  <c r="Q208" i="3"/>
  <c r="A211" i="6"/>
  <c r="B210" i="6"/>
  <c r="B210" i="11"/>
  <c r="A211" i="11"/>
  <c r="J212" i="6"/>
  <c r="P211" i="6"/>
  <c r="Q211" i="6"/>
  <c r="A211" i="4"/>
  <c r="B210" i="4"/>
  <c r="Y212" i="3" l="1"/>
  <c r="E212" i="3"/>
  <c r="A214" i="3"/>
  <c r="B213" i="3"/>
  <c r="D213" i="3"/>
  <c r="C213" i="3"/>
  <c r="J212" i="3"/>
  <c r="P209" i="3"/>
  <c r="Q209" i="3"/>
  <c r="B211" i="6"/>
  <c r="A212" i="6"/>
  <c r="A212" i="11"/>
  <c r="B211" i="11"/>
  <c r="P212" i="6"/>
  <c r="Q212" i="6"/>
  <c r="J213" i="6"/>
  <c r="B211" i="4"/>
  <c r="A212" i="4"/>
  <c r="Y213" i="3" l="1"/>
  <c r="E213" i="3"/>
  <c r="A215" i="3"/>
  <c r="B214" i="3"/>
  <c r="C214" i="3"/>
  <c r="D214" i="3"/>
  <c r="J213" i="3"/>
  <c r="P210" i="3"/>
  <c r="Q210" i="3"/>
  <c r="B212" i="6"/>
  <c r="A213" i="6"/>
  <c r="A213" i="11"/>
  <c r="B212" i="11"/>
  <c r="J214" i="6"/>
  <c r="P213" i="6"/>
  <c r="Q213" i="6"/>
  <c r="B212" i="4"/>
  <c r="A213" i="4"/>
  <c r="Y214" i="3" l="1"/>
  <c r="E214" i="3"/>
  <c r="A216" i="3"/>
  <c r="B215" i="3"/>
  <c r="C215" i="3"/>
  <c r="D215" i="3"/>
  <c r="J214" i="3"/>
  <c r="P211" i="3"/>
  <c r="Q211" i="3"/>
  <c r="A214" i="6"/>
  <c r="B213" i="6"/>
  <c r="B213" i="11"/>
  <c r="A214" i="11"/>
  <c r="J215" i="6"/>
  <c r="P214" i="6"/>
  <c r="Q214" i="6"/>
  <c r="A214" i="4"/>
  <c r="B213" i="4"/>
  <c r="Y215" i="3" l="1"/>
  <c r="E215" i="3"/>
  <c r="A217" i="3"/>
  <c r="B216" i="3"/>
  <c r="D216" i="3"/>
  <c r="C216" i="3"/>
  <c r="J215" i="3"/>
  <c r="P212" i="3"/>
  <c r="Q212" i="3"/>
  <c r="A215" i="6"/>
  <c r="B214" i="6"/>
  <c r="A215" i="11"/>
  <c r="B214" i="11"/>
  <c r="J216" i="6"/>
  <c r="P215" i="6"/>
  <c r="Q215" i="6"/>
  <c r="A215" i="4"/>
  <c r="B214" i="4"/>
  <c r="Y216" i="3" l="1"/>
  <c r="E216" i="3"/>
  <c r="A218" i="3"/>
  <c r="B217" i="3"/>
  <c r="D217" i="3"/>
  <c r="C217" i="3"/>
  <c r="J216" i="3"/>
  <c r="P213" i="3"/>
  <c r="Q213" i="3"/>
  <c r="A216" i="6"/>
  <c r="B215" i="6"/>
  <c r="A216" i="11"/>
  <c r="B215" i="11"/>
  <c r="J217" i="6"/>
  <c r="P216" i="6"/>
  <c r="Q216" i="6"/>
  <c r="A216" i="4"/>
  <c r="B215" i="4"/>
  <c r="Y217" i="3" l="1"/>
  <c r="E217" i="3"/>
  <c r="A219" i="3"/>
  <c r="B218" i="3"/>
  <c r="D218" i="3"/>
  <c r="C218" i="3"/>
  <c r="J217" i="3"/>
  <c r="Q214" i="3"/>
  <c r="P214" i="3"/>
  <c r="A217" i="6"/>
  <c r="B216" i="6"/>
  <c r="B216" i="11"/>
  <c r="A217" i="11"/>
  <c r="J218" i="6"/>
  <c r="Q217" i="6"/>
  <c r="P217" i="6"/>
  <c r="B216" i="4"/>
  <c r="A217" i="4"/>
  <c r="Y218" i="3" l="1"/>
  <c r="E218" i="3"/>
  <c r="A220" i="3"/>
  <c r="B219" i="3"/>
  <c r="C219" i="3"/>
  <c r="D219" i="3"/>
  <c r="J218" i="3"/>
  <c r="Q215" i="3"/>
  <c r="P215" i="3"/>
  <c r="A218" i="6"/>
  <c r="B217" i="6"/>
  <c r="A218" i="11"/>
  <c r="B217" i="11"/>
  <c r="J219" i="6"/>
  <c r="Q218" i="6"/>
  <c r="P218" i="6"/>
  <c r="A218" i="4"/>
  <c r="B217" i="4"/>
  <c r="Y219" i="3" l="1"/>
  <c r="E219" i="3"/>
  <c r="A221" i="3"/>
  <c r="B220" i="3"/>
  <c r="C220" i="3"/>
  <c r="D220" i="3"/>
  <c r="J219" i="3"/>
  <c r="P216" i="3"/>
  <c r="Q216" i="3"/>
  <c r="A219" i="6"/>
  <c r="B218" i="6"/>
  <c r="A219" i="11"/>
  <c r="B218" i="11"/>
  <c r="J220" i="6"/>
  <c r="P219" i="6"/>
  <c r="Q219" i="6"/>
  <c r="B218" i="4"/>
  <c r="A219" i="4"/>
  <c r="Y220" i="3" l="1"/>
  <c r="E220" i="3"/>
  <c r="A222" i="3"/>
  <c r="B221" i="3"/>
  <c r="C221" i="3"/>
  <c r="D221" i="3"/>
  <c r="J220" i="3"/>
  <c r="P217" i="3"/>
  <c r="Q217" i="3"/>
  <c r="A220" i="6"/>
  <c r="B219" i="6"/>
  <c r="B219" i="11"/>
  <c r="A220" i="11"/>
  <c r="J221" i="6"/>
  <c r="P220" i="6"/>
  <c r="Q220" i="6"/>
  <c r="B219" i="4"/>
  <c r="A220" i="4"/>
  <c r="Y221" i="3" l="1"/>
  <c r="E221" i="3"/>
  <c r="A223" i="3"/>
  <c r="B222" i="3"/>
  <c r="D222" i="3"/>
  <c r="C222" i="3"/>
  <c r="J221" i="3"/>
  <c r="P218" i="3"/>
  <c r="Q218" i="3"/>
  <c r="A221" i="6"/>
  <c r="B220" i="6"/>
  <c r="A221" i="11"/>
  <c r="B220" i="11"/>
  <c r="J222" i="6"/>
  <c r="Q221" i="6"/>
  <c r="P221" i="6"/>
  <c r="A221" i="4"/>
  <c r="B220" i="4"/>
  <c r="Y222" i="3" l="1"/>
  <c r="E222" i="3"/>
  <c r="A224" i="3"/>
  <c r="B223" i="3"/>
  <c r="D223" i="3"/>
  <c r="C223" i="3"/>
  <c r="J222" i="3"/>
  <c r="P219" i="3"/>
  <c r="Q219" i="3"/>
  <c r="A222" i="6"/>
  <c r="B221" i="6"/>
  <c r="A222" i="11"/>
  <c r="B221" i="11"/>
  <c r="J223" i="6"/>
  <c r="P222" i="6"/>
  <c r="Q222" i="6"/>
  <c r="A222" i="4"/>
  <c r="B221" i="4"/>
  <c r="Y223" i="3" l="1"/>
  <c r="E223" i="3"/>
  <c r="A225" i="3"/>
  <c r="B224" i="3"/>
  <c r="C224" i="3"/>
  <c r="D224" i="3"/>
  <c r="J223" i="3"/>
  <c r="P220" i="3"/>
  <c r="Q220" i="3"/>
  <c r="A223" i="6"/>
  <c r="B222" i="6"/>
  <c r="A223" i="11"/>
  <c r="B222" i="11"/>
  <c r="Q223" i="6"/>
  <c r="J224" i="6"/>
  <c r="P223" i="6"/>
  <c r="A223" i="4"/>
  <c r="B222" i="4"/>
  <c r="Y224" i="3" l="1"/>
  <c r="E224" i="3"/>
  <c r="A226" i="3"/>
  <c r="B225" i="3"/>
  <c r="C225" i="3"/>
  <c r="D225" i="3"/>
  <c r="J224" i="3"/>
  <c r="Q221" i="3"/>
  <c r="P221" i="3"/>
  <c r="A224" i="6"/>
  <c r="B223" i="6"/>
  <c r="A224" i="11"/>
  <c r="B223" i="11"/>
  <c r="P224" i="6"/>
  <c r="Q224" i="6"/>
  <c r="J225" i="6"/>
  <c r="A224" i="4"/>
  <c r="B223" i="4"/>
  <c r="Y225" i="3" l="1"/>
  <c r="E225" i="3"/>
  <c r="A227" i="3"/>
  <c r="B226" i="3"/>
  <c r="C226" i="3"/>
  <c r="D226" i="3"/>
  <c r="J225" i="3"/>
  <c r="P222" i="3"/>
  <c r="Q222" i="3"/>
  <c r="A225" i="6"/>
  <c r="B224" i="6"/>
  <c r="A225" i="11"/>
  <c r="B224" i="11"/>
  <c r="J226" i="6"/>
  <c r="P225" i="6"/>
  <c r="Q225" i="6"/>
  <c r="A225" i="4"/>
  <c r="B224" i="4"/>
  <c r="Y226" i="3" l="1"/>
  <c r="E226" i="3"/>
  <c r="A228" i="3"/>
  <c r="B227" i="3"/>
  <c r="C227" i="3"/>
  <c r="D227" i="3"/>
  <c r="J226" i="3"/>
  <c r="P223" i="3"/>
  <c r="Q223" i="3"/>
  <c r="A226" i="6"/>
  <c r="B225" i="6"/>
  <c r="A226" i="11"/>
  <c r="B225" i="11"/>
  <c r="P226" i="6"/>
  <c r="J227" i="6"/>
  <c r="Q226" i="6"/>
  <c r="B225" i="4"/>
  <c r="A226" i="4"/>
  <c r="Y227" i="3" l="1"/>
  <c r="E227" i="3"/>
  <c r="A229" i="3"/>
  <c r="B228" i="3"/>
  <c r="D228" i="3"/>
  <c r="C228" i="3"/>
  <c r="J227" i="3"/>
  <c r="P224" i="3"/>
  <c r="Q224" i="3"/>
  <c r="B226" i="6"/>
  <c r="A227" i="6"/>
  <c r="B226" i="11"/>
  <c r="A227" i="11"/>
  <c r="P227" i="6"/>
  <c r="J228" i="6"/>
  <c r="Q227" i="6"/>
  <c r="A227" i="4"/>
  <c r="B226" i="4"/>
  <c r="Y228" i="3" l="1"/>
  <c r="E228" i="3"/>
  <c r="A230" i="3"/>
  <c r="B229" i="3"/>
  <c r="D229" i="3"/>
  <c r="C229" i="3"/>
  <c r="J228" i="3"/>
  <c r="P225" i="3"/>
  <c r="Q225" i="3"/>
  <c r="A228" i="6"/>
  <c r="B227" i="6"/>
  <c r="A228" i="11"/>
  <c r="B227" i="11"/>
  <c r="P228" i="6"/>
  <c r="Q228" i="6"/>
  <c r="J229" i="6"/>
  <c r="A228" i="4"/>
  <c r="B227" i="4"/>
  <c r="Y229" i="3" l="1"/>
  <c r="E229" i="3"/>
  <c r="A231" i="3"/>
  <c r="B230" i="3"/>
  <c r="D230" i="3"/>
  <c r="C230" i="3"/>
  <c r="J229" i="3"/>
  <c r="P226" i="3"/>
  <c r="Q226" i="3"/>
  <c r="A229" i="6"/>
  <c r="B228" i="6"/>
  <c r="A229" i="11"/>
  <c r="B228" i="11"/>
  <c r="J230" i="6"/>
  <c r="P229" i="6"/>
  <c r="Q229" i="6"/>
  <c r="A229" i="4"/>
  <c r="B228" i="4"/>
  <c r="Y230" i="3" l="1"/>
  <c r="E230" i="3"/>
  <c r="A232" i="3"/>
  <c r="B231" i="3"/>
  <c r="C231" i="3"/>
  <c r="D231" i="3"/>
  <c r="J230" i="3"/>
  <c r="P227" i="3"/>
  <c r="Q227" i="3"/>
  <c r="B229" i="6"/>
  <c r="A230" i="6"/>
  <c r="B229" i="11"/>
  <c r="A230" i="11"/>
  <c r="J231" i="6"/>
  <c r="P230" i="6"/>
  <c r="Q230" i="6"/>
  <c r="B229" i="4"/>
  <c r="A230" i="4"/>
  <c r="Y231" i="3" l="1"/>
  <c r="E231" i="3"/>
  <c r="A233" i="3"/>
  <c r="B232" i="3"/>
  <c r="D232" i="3"/>
  <c r="C232" i="3"/>
  <c r="J231" i="3"/>
  <c r="Q228" i="3"/>
  <c r="P228" i="3"/>
  <c r="B230" i="6"/>
  <c r="A231" i="6"/>
  <c r="A231" i="11"/>
  <c r="B230" i="11"/>
  <c r="J232" i="6"/>
  <c r="P231" i="6"/>
  <c r="Q231" i="6"/>
  <c r="A231" i="4"/>
  <c r="B230" i="4"/>
  <c r="Y232" i="3" l="1"/>
  <c r="E232" i="3"/>
  <c r="A234" i="3"/>
  <c r="B233" i="3"/>
  <c r="D233" i="3"/>
  <c r="C233" i="3"/>
  <c r="J232" i="3"/>
  <c r="Q229" i="3"/>
  <c r="P229" i="3"/>
  <c r="A232" i="6"/>
  <c r="B231" i="6"/>
  <c r="A232" i="11"/>
  <c r="B231" i="11"/>
  <c r="J233" i="6"/>
  <c r="P232" i="6"/>
  <c r="Q232" i="6"/>
  <c r="A232" i="4"/>
  <c r="B231" i="4"/>
  <c r="Y233" i="3" l="1"/>
  <c r="E233" i="3"/>
  <c r="A235" i="3"/>
  <c r="B234" i="3"/>
  <c r="C234" i="3"/>
  <c r="D234" i="3"/>
  <c r="J233" i="3"/>
  <c r="P230" i="3"/>
  <c r="Q230" i="3"/>
  <c r="A233" i="6"/>
  <c r="B232" i="6"/>
  <c r="B232" i="11"/>
  <c r="A233" i="11"/>
  <c r="J234" i="6"/>
  <c r="P233" i="6"/>
  <c r="Q233" i="6"/>
  <c r="A233" i="4"/>
  <c r="B232" i="4"/>
  <c r="Y234" i="3" l="1"/>
  <c r="E234" i="3"/>
  <c r="A236" i="3"/>
  <c r="B235" i="3"/>
  <c r="C235" i="3"/>
  <c r="D235" i="3"/>
  <c r="J234" i="3"/>
  <c r="Q231" i="3"/>
  <c r="P231" i="3"/>
  <c r="A234" i="6"/>
  <c r="B233" i="6"/>
  <c r="A234" i="11"/>
  <c r="B233" i="11"/>
  <c r="J235" i="6"/>
  <c r="P234" i="6"/>
  <c r="Q234" i="6"/>
  <c r="A234" i="4"/>
  <c r="B233" i="4"/>
  <c r="Y235" i="3" l="1"/>
  <c r="E235" i="3"/>
  <c r="A237" i="3"/>
  <c r="B236" i="3"/>
  <c r="C236" i="3"/>
  <c r="D236" i="3"/>
  <c r="J235" i="3"/>
  <c r="P232" i="3"/>
  <c r="Q232" i="3"/>
  <c r="B234" i="6"/>
  <c r="A235" i="6"/>
  <c r="A235" i="11"/>
  <c r="B234" i="11"/>
  <c r="J236" i="6"/>
  <c r="P235" i="6"/>
  <c r="Q235" i="6"/>
  <c r="A235" i="4"/>
  <c r="B234" i="4"/>
  <c r="Y236" i="3" l="1"/>
  <c r="E236" i="3"/>
  <c r="A238" i="3"/>
  <c r="B237" i="3"/>
  <c r="C237" i="3"/>
  <c r="D237" i="3"/>
  <c r="J236" i="3"/>
  <c r="Q233" i="3"/>
  <c r="P233" i="3"/>
  <c r="A236" i="6"/>
  <c r="B235" i="6"/>
  <c r="B235" i="11"/>
  <c r="A236" i="11"/>
  <c r="J237" i="6"/>
  <c r="P236" i="6"/>
  <c r="Q236" i="6"/>
  <c r="A236" i="4"/>
  <c r="B235" i="4"/>
  <c r="Y237" i="3" l="1"/>
  <c r="E237" i="3"/>
  <c r="A239" i="3"/>
  <c r="B238" i="3"/>
  <c r="D238" i="3"/>
  <c r="C238" i="3"/>
  <c r="J237" i="3"/>
  <c r="P234" i="3"/>
  <c r="Q234" i="3"/>
  <c r="B236" i="6"/>
  <c r="A237" i="6"/>
  <c r="A237" i="11"/>
  <c r="B236" i="11"/>
  <c r="J238" i="6"/>
  <c r="Q237" i="6"/>
  <c r="P237" i="6"/>
  <c r="B236" i="4"/>
  <c r="A237" i="4"/>
  <c r="Y238" i="3" l="1"/>
  <c r="E238" i="3"/>
  <c r="A240" i="3"/>
  <c r="B239" i="3"/>
  <c r="D239" i="3"/>
  <c r="C239" i="3"/>
  <c r="J238" i="3"/>
  <c r="Q235" i="3"/>
  <c r="P235" i="3"/>
  <c r="A238" i="6"/>
  <c r="B237" i="6"/>
  <c r="A238" i="11"/>
  <c r="B237" i="11"/>
  <c r="J239" i="6"/>
  <c r="Q238" i="6"/>
  <c r="P238" i="6"/>
  <c r="A238" i="4"/>
  <c r="B237" i="4"/>
  <c r="Y239" i="3" l="1"/>
  <c r="E239" i="3"/>
  <c r="A241" i="3"/>
  <c r="B240" i="3"/>
  <c r="C240" i="3"/>
  <c r="D240" i="3"/>
  <c r="J239" i="3"/>
  <c r="P236" i="3"/>
  <c r="Q236" i="3"/>
  <c r="B238" i="6"/>
  <c r="A239" i="6"/>
  <c r="B238" i="11"/>
  <c r="A239" i="11"/>
  <c r="J240" i="6"/>
  <c r="Q239" i="6"/>
  <c r="P239" i="6"/>
  <c r="A239" i="4"/>
  <c r="B238" i="4"/>
  <c r="Y240" i="3" l="1"/>
  <c r="E240" i="3"/>
  <c r="A242" i="3"/>
  <c r="B241" i="3"/>
  <c r="C241" i="3"/>
  <c r="D241" i="3"/>
  <c r="J240" i="3"/>
  <c r="Q237" i="3"/>
  <c r="P237" i="3"/>
  <c r="A240" i="6"/>
  <c r="B239" i="6"/>
  <c r="A240" i="11"/>
  <c r="B239" i="11"/>
  <c r="J241" i="6"/>
  <c r="Q240" i="6"/>
  <c r="P240" i="6"/>
  <c r="A240" i="4"/>
  <c r="B239" i="4"/>
  <c r="Y241" i="3" l="1"/>
  <c r="E241" i="3"/>
  <c r="A243" i="3"/>
  <c r="B242" i="3"/>
  <c r="C242" i="3"/>
  <c r="D242" i="3"/>
  <c r="J241" i="3"/>
  <c r="P238" i="3"/>
  <c r="Q238" i="3"/>
  <c r="B240" i="6"/>
  <c r="A241" i="6"/>
  <c r="A241" i="11"/>
  <c r="B240" i="11"/>
  <c r="J242" i="6"/>
  <c r="P241" i="6"/>
  <c r="Q241" i="6"/>
  <c r="A241" i="4"/>
  <c r="B240" i="4"/>
  <c r="Y242" i="3" l="1"/>
  <c r="E242" i="3"/>
  <c r="A244" i="3"/>
  <c r="B243" i="3"/>
  <c r="C243" i="3"/>
  <c r="D243" i="3"/>
  <c r="J242" i="3"/>
  <c r="Q239" i="3"/>
  <c r="P239" i="3"/>
  <c r="A242" i="6"/>
  <c r="B241" i="6"/>
  <c r="A242" i="11"/>
  <c r="B241" i="11"/>
  <c r="J243" i="6"/>
  <c r="P242" i="6"/>
  <c r="Q242" i="6"/>
  <c r="A242" i="4"/>
  <c r="B241" i="4"/>
  <c r="Y243" i="3" l="1"/>
  <c r="E243" i="3"/>
  <c r="A245" i="3"/>
  <c r="B244" i="3"/>
  <c r="D244" i="3"/>
  <c r="C244" i="3"/>
  <c r="J243" i="3"/>
  <c r="Q240" i="3"/>
  <c r="P240" i="3"/>
  <c r="A243" i="6"/>
  <c r="B242" i="6"/>
  <c r="B242" i="11"/>
  <c r="A243" i="11"/>
  <c r="J244" i="6"/>
  <c r="P243" i="6"/>
  <c r="Q243" i="6"/>
  <c r="A243" i="4"/>
  <c r="B242" i="4"/>
  <c r="Y244" i="3" l="1"/>
  <c r="E244" i="3"/>
  <c r="A246" i="3"/>
  <c r="B245" i="3"/>
  <c r="D245" i="3"/>
  <c r="C245" i="3"/>
  <c r="J244" i="3"/>
  <c r="Q241" i="3"/>
  <c r="P241" i="3"/>
  <c r="B243" i="6"/>
  <c r="A244" i="6"/>
  <c r="B243" i="11"/>
  <c r="A244" i="11"/>
  <c r="P244" i="6"/>
  <c r="Q244" i="6"/>
  <c r="J245" i="6"/>
  <c r="A244" i="4"/>
  <c r="B243" i="4"/>
  <c r="Y245" i="3" l="1"/>
  <c r="E245" i="3"/>
  <c r="A247" i="3"/>
  <c r="B246" i="3"/>
  <c r="C246" i="3"/>
  <c r="D246" i="3"/>
  <c r="J245" i="3"/>
  <c r="P242" i="3"/>
  <c r="Q242" i="3"/>
  <c r="A245" i="6"/>
  <c r="B244" i="6"/>
  <c r="A245" i="11"/>
  <c r="B244" i="11"/>
  <c r="J246" i="6"/>
  <c r="P245" i="6"/>
  <c r="Q245" i="6"/>
  <c r="B244" i="4"/>
  <c r="A245" i="4"/>
  <c r="Y246" i="3" l="1"/>
  <c r="E246" i="3"/>
  <c r="A248" i="3"/>
  <c r="B247" i="3"/>
  <c r="C247" i="3"/>
  <c r="D247" i="3"/>
  <c r="J246" i="3"/>
  <c r="P243" i="3"/>
  <c r="Q243" i="3"/>
  <c r="A246" i="6"/>
  <c r="B245" i="6"/>
  <c r="B245" i="11"/>
  <c r="A246" i="11"/>
  <c r="J247" i="6"/>
  <c r="P246" i="6"/>
  <c r="Q246" i="6"/>
  <c r="B245" i="4"/>
  <c r="A246" i="4"/>
  <c r="Y247" i="3" l="1"/>
  <c r="E247" i="3"/>
  <c r="A249" i="3"/>
  <c r="B248" i="3"/>
  <c r="D248" i="3"/>
  <c r="C248" i="3"/>
  <c r="J247" i="3"/>
  <c r="Q244" i="3"/>
  <c r="P244" i="3"/>
  <c r="A247" i="6"/>
  <c r="B246" i="6"/>
  <c r="A247" i="11"/>
  <c r="B246" i="11"/>
  <c r="J248" i="6"/>
  <c r="P247" i="6"/>
  <c r="Q247" i="6"/>
  <c r="A247" i="4"/>
  <c r="B246" i="4"/>
  <c r="Y248" i="3" l="1"/>
  <c r="E248" i="3"/>
  <c r="A250" i="3"/>
  <c r="B249" i="3"/>
  <c r="D249" i="3"/>
  <c r="C249" i="3"/>
  <c r="J248" i="3"/>
  <c r="P245" i="3"/>
  <c r="Q245" i="3"/>
  <c r="A248" i="6"/>
  <c r="B247" i="6"/>
  <c r="A248" i="11"/>
  <c r="B247" i="11"/>
  <c r="J249" i="6"/>
  <c r="Q248" i="6"/>
  <c r="P248" i="6"/>
  <c r="A248" i="4"/>
  <c r="B247" i="4"/>
  <c r="Y249" i="3" l="1"/>
  <c r="E249" i="3"/>
  <c r="A251" i="3"/>
  <c r="B250" i="3"/>
  <c r="C250" i="3"/>
  <c r="D250" i="3"/>
  <c r="J249" i="3"/>
  <c r="P246" i="3"/>
  <c r="Q246" i="3"/>
  <c r="B248" i="6"/>
  <c r="A249" i="6"/>
  <c r="B248" i="11"/>
  <c r="A249" i="11"/>
  <c r="J250" i="6"/>
  <c r="P249" i="6"/>
  <c r="Q249" i="6"/>
  <c r="B248" i="4"/>
  <c r="A249" i="4"/>
  <c r="Y250" i="3" l="1"/>
  <c r="E250" i="3"/>
  <c r="A252" i="3"/>
  <c r="B251" i="3"/>
  <c r="C251" i="3"/>
  <c r="D251" i="3"/>
  <c r="J250" i="3"/>
  <c r="P247" i="3"/>
  <c r="Q247" i="3"/>
  <c r="A250" i="6"/>
  <c r="B249" i="6"/>
  <c r="A250" i="11"/>
  <c r="B249" i="11"/>
  <c r="J251" i="6"/>
  <c r="P250" i="6"/>
  <c r="Q250" i="6"/>
  <c r="A250" i="4"/>
  <c r="B249" i="4"/>
  <c r="Y251" i="3" l="1"/>
  <c r="E251" i="3"/>
  <c r="A253" i="3"/>
  <c r="B252" i="3"/>
  <c r="C252" i="3"/>
  <c r="D252" i="3"/>
  <c r="J251" i="3"/>
  <c r="Q248" i="3"/>
  <c r="P248" i="3"/>
  <c r="B250" i="6"/>
  <c r="A251" i="6"/>
  <c r="A251" i="11"/>
  <c r="B250" i="11"/>
  <c r="J252" i="6"/>
  <c r="P251" i="6"/>
  <c r="Q251" i="6"/>
  <c r="B250" i="4"/>
  <c r="A251" i="4"/>
  <c r="Y252" i="3" l="1"/>
  <c r="E252" i="3"/>
  <c r="A254" i="3"/>
  <c r="B253" i="3"/>
  <c r="D253" i="3"/>
  <c r="C253" i="3"/>
  <c r="J252" i="3"/>
  <c r="Q249" i="3"/>
  <c r="P249" i="3"/>
  <c r="A252" i="6"/>
  <c r="B251" i="6"/>
  <c r="B251" i="11"/>
  <c r="A252" i="11"/>
  <c r="J253" i="6"/>
  <c r="P252" i="6"/>
  <c r="Q252" i="6"/>
  <c r="B251" i="4"/>
  <c r="A252" i="4"/>
  <c r="Y253" i="3" l="1"/>
  <c r="E253" i="3"/>
  <c r="A255" i="3"/>
  <c r="B254" i="3"/>
  <c r="D254" i="3"/>
  <c r="C254" i="3"/>
  <c r="J253" i="3"/>
  <c r="Q250" i="3"/>
  <c r="P250" i="3"/>
  <c r="B252" i="6"/>
  <c r="A253" i="6"/>
  <c r="A253" i="11"/>
  <c r="B252" i="11"/>
  <c r="J254" i="6"/>
  <c r="Q253" i="6"/>
  <c r="P253" i="6"/>
  <c r="A253" i="4"/>
  <c r="B252" i="4"/>
  <c r="Y254" i="3" l="1"/>
  <c r="E254" i="3"/>
  <c r="A256" i="3"/>
  <c r="B255" i="3"/>
  <c r="D255" i="3"/>
  <c r="C255" i="3"/>
  <c r="J254" i="3"/>
  <c r="P251" i="3"/>
  <c r="Q251" i="3"/>
  <c r="A254" i="6"/>
  <c r="B253" i="6"/>
  <c r="A254" i="11"/>
  <c r="B253" i="11"/>
  <c r="J255" i="6"/>
  <c r="Q254" i="6"/>
  <c r="P254" i="6"/>
  <c r="A254" i="4"/>
  <c r="B253" i="4"/>
  <c r="Y255" i="3" l="1"/>
  <c r="E255" i="3"/>
  <c r="A257" i="3"/>
  <c r="B256" i="3"/>
  <c r="C256" i="3"/>
  <c r="D256" i="3"/>
  <c r="J255" i="3"/>
  <c r="P252" i="3"/>
  <c r="Q252" i="3"/>
  <c r="B254" i="6"/>
  <c r="A255" i="6"/>
  <c r="B254" i="11"/>
  <c r="A255" i="11"/>
  <c r="Q255" i="6"/>
  <c r="J256" i="6"/>
  <c r="P255" i="6"/>
  <c r="B254" i="4"/>
  <c r="A255" i="4"/>
  <c r="Y256" i="3" l="1"/>
  <c r="E256" i="3"/>
  <c r="A258" i="3"/>
  <c r="B257" i="3"/>
  <c r="C257" i="3"/>
  <c r="D257" i="3"/>
  <c r="J256" i="3"/>
  <c r="P253" i="3"/>
  <c r="Q253" i="3"/>
  <c r="A256" i="6"/>
  <c r="B255" i="6"/>
  <c r="A256" i="11"/>
  <c r="B255" i="11"/>
  <c r="J257" i="6"/>
  <c r="Q256" i="6"/>
  <c r="P256" i="6"/>
  <c r="A256" i="4"/>
  <c r="B255" i="4"/>
  <c r="Y257" i="3" l="1"/>
  <c r="E257" i="3"/>
  <c r="A259" i="3"/>
  <c r="B258" i="3"/>
  <c r="C258" i="3"/>
  <c r="D258" i="3"/>
  <c r="J257" i="3"/>
  <c r="Q254" i="3"/>
  <c r="P254" i="3"/>
  <c r="A257" i="6"/>
  <c r="B256" i="6"/>
  <c r="A257" i="11"/>
  <c r="B256" i="11"/>
  <c r="J258" i="6"/>
  <c r="P257" i="6"/>
  <c r="Q257" i="6"/>
  <c r="A257" i="4"/>
  <c r="B256" i="4"/>
  <c r="Y258" i="3" l="1"/>
  <c r="E258" i="3"/>
  <c r="A260" i="3"/>
  <c r="B259" i="3"/>
  <c r="C259" i="3"/>
  <c r="D259" i="3"/>
  <c r="J258" i="3"/>
  <c r="Q255" i="3"/>
  <c r="P255" i="3"/>
  <c r="B257" i="6"/>
  <c r="A258" i="6"/>
  <c r="A258" i="11"/>
  <c r="B257" i="11"/>
  <c r="J259" i="6"/>
  <c r="P258" i="6"/>
  <c r="Q258" i="6"/>
  <c r="A258" i="4"/>
  <c r="B257" i="4"/>
  <c r="Y259" i="3" l="1"/>
  <c r="E259" i="3"/>
  <c r="A261" i="3"/>
  <c r="B260" i="3"/>
  <c r="D260" i="3"/>
  <c r="C260" i="3"/>
  <c r="J259" i="3"/>
  <c r="Q256" i="3"/>
  <c r="P256" i="3"/>
  <c r="A259" i="6"/>
  <c r="B258" i="6"/>
  <c r="B258" i="11"/>
  <c r="A259" i="11"/>
  <c r="J260" i="6"/>
  <c r="Q259" i="6"/>
  <c r="P259" i="6"/>
  <c r="A259" i="4"/>
  <c r="B258" i="4"/>
  <c r="Y260" i="3" l="1"/>
  <c r="E260" i="3"/>
  <c r="A262" i="3"/>
  <c r="B261" i="3"/>
  <c r="C261" i="3"/>
  <c r="D261" i="3"/>
  <c r="J260" i="3"/>
  <c r="Q257" i="3"/>
  <c r="P257" i="3"/>
  <c r="B259" i="6"/>
  <c r="A260" i="6"/>
  <c r="B259" i="11"/>
  <c r="A260" i="11"/>
  <c r="P260" i="6"/>
  <c r="Q260" i="6"/>
  <c r="J261" i="6"/>
  <c r="A260" i="4"/>
  <c r="B259" i="4"/>
  <c r="Y261" i="3" l="1"/>
  <c r="E261" i="3"/>
  <c r="A263" i="3"/>
  <c r="B262" i="3"/>
  <c r="C262" i="3"/>
  <c r="D262" i="3"/>
  <c r="J261" i="3"/>
  <c r="Q258" i="3"/>
  <c r="P258" i="3"/>
  <c r="A261" i="6"/>
  <c r="B260" i="6"/>
  <c r="A261" i="11"/>
  <c r="B260" i="11"/>
  <c r="J262" i="6"/>
  <c r="P261" i="6"/>
  <c r="Q261" i="6"/>
  <c r="B260" i="4"/>
  <c r="A261" i="4"/>
  <c r="Y262" i="3" l="1"/>
  <c r="E262" i="3"/>
  <c r="A264" i="3"/>
  <c r="B263" i="3"/>
  <c r="C263" i="3"/>
  <c r="D263" i="3"/>
  <c r="J262" i="3"/>
  <c r="Q259" i="3"/>
  <c r="P259" i="3"/>
  <c r="A262" i="6"/>
  <c r="B261" i="6"/>
  <c r="B261" i="11"/>
  <c r="A262" i="11"/>
  <c r="J263" i="6"/>
  <c r="P262" i="6"/>
  <c r="Q262" i="6"/>
  <c r="A262" i="4"/>
  <c r="B261" i="4"/>
  <c r="Y263" i="3" l="1"/>
  <c r="E263" i="3"/>
  <c r="A265" i="3"/>
  <c r="B264" i="3"/>
  <c r="D264" i="3"/>
  <c r="C264" i="3"/>
  <c r="J263" i="3"/>
  <c r="P260" i="3"/>
  <c r="Q260" i="3"/>
  <c r="A263" i="6"/>
  <c r="B262" i="6"/>
  <c r="A263" i="11"/>
  <c r="B262" i="11"/>
  <c r="J264" i="6"/>
  <c r="P263" i="6"/>
  <c r="Q263" i="6"/>
  <c r="A263" i="4"/>
  <c r="B262" i="4"/>
  <c r="Y264" i="3" l="1"/>
  <c r="E264" i="3"/>
  <c r="A266" i="3"/>
  <c r="B265" i="3"/>
  <c r="D265" i="3"/>
  <c r="C265" i="3"/>
  <c r="J264" i="3"/>
  <c r="Q261" i="3"/>
  <c r="P261" i="3"/>
  <c r="B263" i="6"/>
  <c r="A264" i="6"/>
  <c r="A264" i="11"/>
  <c r="B263" i="11"/>
  <c r="J265" i="6"/>
  <c r="P264" i="6"/>
  <c r="Q264" i="6"/>
  <c r="B263" i="4"/>
  <c r="A264" i="4"/>
  <c r="Y265" i="3" l="1"/>
  <c r="E265" i="3"/>
  <c r="A267" i="3"/>
  <c r="B266" i="3"/>
  <c r="C266" i="3"/>
  <c r="D266" i="3"/>
  <c r="J265" i="3"/>
  <c r="P262" i="3"/>
  <c r="Q262" i="3"/>
  <c r="A265" i="6"/>
  <c r="B264" i="6"/>
  <c r="B264" i="11"/>
  <c r="A265" i="11"/>
  <c r="J266" i="6"/>
  <c r="P265" i="6"/>
  <c r="Q265" i="6"/>
  <c r="B264" i="4"/>
  <c r="A265" i="4"/>
  <c r="Y266" i="3" l="1"/>
  <c r="E266" i="3"/>
  <c r="A268" i="3"/>
  <c r="B267" i="3"/>
  <c r="C267" i="3"/>
  <c r="D267" i="3"/>
  <c r="J266" i="3"/>
  <c r="P263" i="3"/>
  <c r="Q263" i="3"/>
  <c r="B265" i="6"/>
  <c r="A266" i="6"/>
  <c r="A266" i="11"/>
  <c r="B265" i="11"/>
  <c r="J267" i="6"/>
  <c r="P266" i="6"/>
  <c r="Q266" i="6"/>
  <c r="A266" i="4"/>
  <c r="B265" i="4"/>
  <c r="Y267" i="3" l="1"/>
  <c r="E267" i="3"/>
  <c r="A269" i="3"/>
  <c r="B268" i="3"/>
  <c r="C268" i="3"/>
  <c r="D268" i="3"/>
  <c r="J267" i="3"/>
  <c r="Q264" i="3"/>
  <c r="P264" i="3"/>
  <c r="B266" i="6"/>
  <c r="A267" i="6"/>
  <c r="A267" i="11"/>
  <c r="B266" i="11"/>
  <c r="J268" i="6"/>
  <c r="P267" i="6"/>
  <c r="Q267" i="6"/>
  <c r="B266" i="4"/>
  <c r="A267" i="4"/>
  <c r="Y268" i="3" l="1"/>
  <c r="E268" i="3"/>
  <c r="A270" i="3"/>
  <c r="B269" i="3"/>
  <c r="D269" i="3"/>
  <c r="C269" i="3"/>
  <c r="J268" i="3"/>
  <c r="P265" i="3"/>
  <c r="Q265" i="3"/>
  <c r="B267" i="6"/>
  <c r="A268" i="6"/>
  <c r="B267" i="11"/>
  <c r="A268" i="11"/>
  <c r="J269" i="6"/>
  <c r="P268" i="6"/>
  <c r="Q268" i="6"/>
  <c r="A268" i="4"/>
  <c r="B267" i="4"/>
  <c r="Y269" i="3" l="1"/>
  <c r="E269" i="3"/>
  <c r="A271" i="3"/>
  <c r="B270" i="3"/>
  <c r="D270" i="3"/>
  <c r="C270" i="3"/>
  <c r="J269" i="3"/>
  <c r="P266" i="3"/>
  <c r="Q266" i="3"/>
  <c r="A269" i="6"/>
  <c r="B268" i="6"/>
  <c r="A269" i="11"/>
  <c r="B268" i="11"/>
  <c r="J270" i="6"/>
  <c r="Q269" i="6"/>
  <c r="P269" i="6"/>
  <c r="A269" i="4"/>
  <c r="B268" i="4"/>
  <c r="Y270" i="3" l="1"/>
  <c r="E270" i="3"/>
  <c r="A272" i="3"/>
  <c r="B271" i="3"/>
  <c r="C271" i="3"/>
  <c r="D271" i="3"/>
  <c r="J270" i="3"/>
  <c r="Q267" i="3"/>
  <c r="P267" i="3"/>
  <c r="B269" i="6"/>
  <c r="A270" i="6"/>
  <c r="A270" i="11"/>
  <c r="B269" i="11"/>
  <c r="J271" i="6"/>
  <c r="Q270" i="6"/>
  <c r="P270" i="6"/>
  <c r="A270" i="4"/>
  <c r="B269" i="4"/>
  <c r="Y271" i="3" l="1"/>
  <c r="E271" i="3"/>
  <c r="A273" i="3"/>
  <c r="B272" i="3"/>
  <c r="C272" i="3"/>
  <c r="D272" i="3"/>
  <c r="J271" i="3"/>
  <c r="Q268" i="3"/>
  <c r="P268" i="3"/>
  <c r="A271" i="6"/>
  <c r="B270" i="6"/>
  <c r="A271" i="11"/>
  <c r="B270" i="11"/>
  <c r="Q271" i="6"/>
  <c r="J272" i="6"/>
  <c r="P271" i="6"/>
  <c r="B270" i="4"/>
  <c r="A271" i="4"/>
  <c r="Y272" i="3" l="1"/>
  <c r="E272" i="3"/>
  <c r="A274" i="3"/>
  <c r="B273" i="3"/>
  <c r="D273" i="3"/>
  <c r="C273" i="3"/>
  <c r="J272" i="3"/>
  <c r="Q269" i="3"/>
  <c r="P269" i="3"/>
  <c r="B271" i="6"/>
  <c r="A272" i="6"/>
  <c r="A272" i="11"/>
  <c r="B271" i="11"/>
  <c r="Q272" i="6"/>
  <c r="J273" i="6"/>
  <c r="P272" i="6"/>
  <c r="A272" i="4"/>
  <c r="B271" i="4"/>
  <c r="Y273" i="3" l="1"/>
  <c r="E273" i="3"/>
  <c r="A275" i="3"/>
  <c r="B274" i="3"/>
  <c r="C274" i="3"/>
  <c r="D274" i="3"/>
  <c r="J273" i="3"/>
  <c r="Q270" i="3"/>
  <c r="P270" i="3"/>
  <c r="B272" i="6"/>
  <c r="A273" i="6"/>
  <c r="A273" i="11"/>
  <c r="B272" i="11"/>
  <c r="J274" i="6"/>
  <c r="Q273" i="6"/>
  <c r="P273" i="6"/>
  <c r="A273" i="4"/>
  <c r="B272" i="4"/>
  <c r="Y274" i="3" l="1"/>
  <c r="E274" i="3"/>
  <c r="A276" i="3"/>
  <c r="B275" i="3"/>
  <c r="D275" i="3"/>
  <c r="C275" i="3"/>
  <c r="J274" i="3"/>
  <c r="P271" i="3"/>
  <c r="Q271" i="3"/>
  <c r="A274" i="6"/>
  <c r="B273" i="6"/>
  <c r="A274" i="11"/>
  <c r="B273" i="11"/>
  <c r="J275" i="6"/>
  <c r="P274" i="6"/>
  <c r="Q274" i="6"/>
  <c r="A274" i="4"/>
  <c r="B273" i="4"/>
  <c r="Y275" i="3" l="1"/>
  <c r="E275" i="3"/>
  <c r="A277" i="3"/>
  <c r="B276" i="3"/>
  <c r="D276" i="3"/>
  <c r="C276" i="3"/>
  <c r="J275" i="3"/>
  <c r="P272" i="3"/>
  <c r="Q272" i="3"/>
  <c r="A275" i="6"/>
  <c r="B274" i="6"/>
  <c r="B274" i="11"/>
  <c r="A275" i="11"/>
  <c r="J276" i="6"/>
  <c r="P275" i="6"/>
  <c r="Q275" i="6"/>
  <c r="A275" i="4"/>
  <c r="B274" i="4"/>
  <c r="Y276" i="3" l="1"/>
  <c r="E276" i="3"/>
  <c r="A278" i="3"/>
  <c r="B277" i="3"/>
  <c r="D277" i="3"/>
  <c r="C277" i="3"/>
  <c r="J276" i="3"/>
  <c r="P273" i="3"/>
  <c r="Q273" i="3"/>
  <c r="A276" i="6"/>
  <c r="B275" i="6"/>
  <c r="B275" i="11"/>
  <c r="A276" i="11"/>
  <c r="P276" i="6"/>
  <c r="J277" i="6"/>
  <c r="Q276" i="6"/>
  <c r="B275" i="4"/>
  <c r="A276" i="4"/>
  <c r="Y277" i="3" l="1"/>
  <c r="E277" i="3"/>
  <c r="A279" i="3"/>
  <c r="B278" i="3"/>
  <c r="C278" i="3"/>
  <c r="D278" i="3"/>
  <c r="J277" i="3"/>
  <c r="P274" i="3"/>
  <c r="Q274" i="3"/>
  <c r="A277" i="6"/>
  <c r="B276" i="6"/>
  <c r="A277" i="11"/>
  <c r="B276" i="11"/>
  <c r="J278" i="6"/>
  <c r="P277" i="6"/>
  <c r="Q277" i="6"/>
  <c r="A277" i="4"/>
  <c r="B276" i="4"/>
  <c r="Y278" i="3" l="1"/>
  <c r="E278" i="3"/>
  <c r="A280" i="3"/>
  <c r="B279" i="3"/>
  <c r="D279" i="3"/>
  <c r="C279" i="3"/>
  <c r="J278" i="3"/>
  <c r="Q275" i="3"/>
  <c r="P275" i="3"/>
  <c r="B277" i="6"/>
  <c r="A278" i="6"/>
  <c r="B277" i="11"/>
  <c r="A278" i="11"/>
  <c r="J279" i="6"/>
  <c r="P278" i="6"/>
  <c r="Q278" i="6"/>
  <c r="B277" i="4"/>
  <c r="A278" i="4"/>
  <c r="Y279" i="3" l="1"/>
  <c r="E279" i="3"/>
  <c r="A281" i="3"/>
  <c r="B280" i="3"/>
  <c r="D280" i="3"/>
  <c r="C280" i="3"/>
  <c r="J279" i="3"/>
  <c r="Q276" i="3"/>
  <c r="P276" i="3"/>
  <c r="B278" i="6"/>
  <c r="A279" i="6"/>
  <c r="A279" i="11"/>
  <c r="B278" i="11"/>
  <c r="J280" i="6"/>
  <c r="P279" i="6"/>
  <c r="Q279" i="6"/>
  <c r="A279" i="4"/>
  <c r="B278" i="4"/>
  <c r="Y280" i="3" l="1"/>
  <c r="E280" i="3"/>
  <c r="A282" i="3"/>
  <c r="B281" i="3"/>
  <c r="D281" i="3"/>
  <c r="C281" i="3"/>
  <c r="J280" i="3"/>
  <c r="P277" i="3"/>
  <c r="Q277" i="3"/>
  <c r="A280" i="6"/>
  <c r="B279" i="6"/>
  <c r="B279" i="11"/>
  <c r="A280" i="11"/>
  <c r="J281" i="6"/>
  <c r="P280" i="6"/>
  <c r="Q280" i="6"/>
  <c r="A280" i="4"/>
  <c r="B279" i="4"/>
  <c r="Y281" i="3" l="1"/>
  <c r="E281" i="3"/>
  <c r="A283" i="3"/>
  <c r="B282" i="3"/>
  <c r="C282" i="3"/>
  <c r="D282" i="3"/>
  <c r="J281" i="3"/>
  <c r="P278" i="3"/>
  <c r="Q278" i="3"/>
  <c r="A281" i="6"/>
  <c r="B280" i="6"/>
  <c r="B280" i="11"/>
  <c r="A281" i="11"/>
  <c r="J282" i="6"/>
  <c r="P281" i="6"/>
  <c r="Q281" i="6"/>
  <c r="A281" i="4"/>
  <c r="B280" i="4"/>
  <c r="Y282" i="3" l="1"/>
  <c r="E282" i="3"/>
  <c r="A284" i="3"/>
  <c r="B283" i="3"/>
  <c r="C283" i="3"/>
  <c r="D283" i="3"/>
  <c r="J282" i="3"/>
  <c r="P279" i="3"/>
  <c r="Q279" i="3"/>
  <c r="A282" i="6"/>
  <c r="B281" i="6"/>
  <c r="A282" i="11"/>
  <c r="B281" i="11"/>
  <c r="J283" i="6"/>
  <c r="P282" i="6"/>
  <c r="Q282" i="6"/>
  <c r="B281" i="4"/>
  <c r="A282" i="4"/>
  <c r="Y283" i="3" l="1"/>
  <c r="E283" i="3"/>
  <c r="A285" i="3"/>
  <c r="B284" i="3"/>
  <c r="C284" i="3"/>
  <c r="D284" i="3"/>
  <c r="J283" i="3"/>
  <c r="P280" i="3"/>
  <c r="Q280" i="3"/>
  <c r="B282" i="6"/>
  <c r="A283" i="6"/>
  <c r="A283" i="11"/>
  <c r="B282" i="11"/>
  <c r="J284" i="6"/>
  <c r="P283" i="6"/>
  <c r="Q283" i="6"/>
  <c r="A283" i="4"/>
  <c r="B282" i="4"/>
  <c r="Y284" i="3" l="1"/>
  <c r="E284" i="3"/>
  <c r="A286" i="3"/>
  <c r="B285" i="3"/>
  <c r="D285" i="3"/>
  <c r="C285" i="3"/>
  <c r="J284" i="3"/>
  <c r="Q281" i="3"/>
  <c r="P281" i="3"/>
  <c r="B283" i="6"/>
  <c r="A284" i="6"/>
  <c r="B283" i="11"/>
  <c r="A284" i="11"/>
  <c r="J285" i="6"/>
  <c r="P284" i="6"/>
  <c r="Q284" i="6"/>
  <c r="A284" i="4"/>
  <c r="B283" i="4"/>
  <c r="Y285" i="3" l="1"/>
  <c r="E285" i="3"/>
  <c r="A287" i="3"/>
  <c r="B286" i="3"/>
  <c r="C286" i="3"/>
  <c r="D286" i="3"/>
  <c r="J285" i="3"/>
  <c r="Q282" i="3"/>
  <c r="P282" i="3"/>
  <c r="B284" i="6"/>
  <c r="A285" i="6"/>
  <c r="A285" i="11"/>
  <c r="B284" i="11"/>
  <c r="J286" i="6"/>
  <c r="Q285" i="6"/>
  <c r="P285" i="6"/>
  <c r="A285" i="4"/>
  <c r="B284" i="4"/>
  <c r="Y286" i="3" l="1"/>
  <c r="E286" i="3"/>
  <c r="A288" i="3"/>
  <c r="B287" i="3"/>
  <c r="C287" i="3"/>
  <c r="D287" i="3"/>
  <c r="J286" i="3"/>
  <c r="P283" i="3"/>
  <c r="Q283" i="3"/>
  <c r="B285" i="6"/>
  <c r="A286" i="6"/>
  <c r="A286" i="11"/>
  <c r="B285" i="11"/>
  <c r="J287" i="6"/>
  <c r="Q286" i="6"/>
  <c r="P286" i="6"/>
  <c r="B285" i="4"/>
  <c r="A286" i="4"/>
  <c r="Y287" i="3" l="1"/>
  <c r="E287" i="3"/>
  <c r="A289" i="3"/>
  <c r="B288" i="3"/>
  <c r="C288" i="3"/>
  <c r="D288" i="3"/>
  <c r="J287" i="3"/>
  <c r="P284" i="3"/>
  <c r="Q284" i="3"/>
  <c r="A287" i="6"/>
  <c r="B286" i="6"/>
  <c r="A287" i="11"/>
  <c r="B286" i="11"/>
  <c r="Q287" i="6"/>
  <c r="J288" i="6"/>
  <c r="P287" i="6"/>
  <c r="A287" i="4"/>
  <c r="B286" i="4"/>
  <c r="Y288" i="3" l="1"/>
  <c r="E288" i="3"/>
  <c r="A290" i="3"/>
  <c r="B289" i="3"/>
  <c r="C289" i="3"/>
  <c r="D289" i="3"/>
  <c r="J288" i="3"/>
  <c r="Q285" i="3"/>
  <c r="P285" i="3"/>
  <c r="A288" i="6"/>
  <c r="B287" i="6"/>
  <c r="A288" i="11"/>
  <c r="B287" i="11"/>
  <c r="J289" i="6"/>
  <c r="Q288" i="6"/>
  <c r="P288" i="6"/>
  <c r="A288" i="4"/>
  <c r="B287" i="4"/>
  <c r="Y289" i="3" l="1"/>
  <c r="E289" i="3"/>
  <c r="A291" i="3"/>
  <c r="B290" i="3"/>
  <c r="D290" i="3"/>
  <c r="C290" i="3"/>
  <c r="J289" i="3"/>
  <c r="Q286" i="3"/>
  <c r="P286" i="3"/>
  <c r="A289" i="6"/>
  <c r="B288" i="6"/>
  <c r="A289" i="11"/>
  <c r="B288" i="11"/>
  <c r="J290" i="6"/>
  <c r="P289" i="6"/>
  <c r="Q289" i="6"/>
  <c r="A289" i="4"/>
  <c r="B288" i="4"/>
  <c r="Y290" i="3" l="1"/>
  <c r="E290" i="3"/>
  <c r="A292" i="3"/>
  <c r="B291" i="3"/>
  <c r="D291" i="3"/>
  <c r="C291" i="3"/>
  <c r="J290" i="3"/>
  <c r="P287" i="3"/>
  <c r="Q287" i="3"/>
  <c r="B289" i="6"/>
  <c r="A290" i="6"/>
  <c r="A290" i="11"/>
  <c r="B289" i="11"/>
  <c r="J291" i="6"/>
  <c r="P290" i="6"/>
  <c r="Q290" i="6"/>
  <c r="A290" i="4"/>
  <c r="B289" i="4"/>
  <c r="Y291" i="3" l="1"/>
  <c r="E291" i="3"/>
  <c r="A293" i="3"/>
  <c r="B292" i="3"/>
  <c r="D292" i="3"/>
  <c r="C292" i="3"/>
  <c r="J291" i="3"/>
  <c r="P288" i="3"/>
  <c r="Q288" i="3"/>
  <c r="A291" i="6"/>
  <c r="B290" i="6"/>
  <c r="B290" i="11"/>
  <c r="A291" i="11"/>
  <c r="J292" i="6"/>
  <c r="P291" i="6"/>
  <c r="Q291" i="6"/>
  <c r="A291" i="4"/>
  <c r="B290" i="4"/>
  <c r="Y292" i="3" l="1"/>
  <c r="E292" i="3"/>
  <c r="A294" i="3"/>
  <c r="B293" i="3"/>
  <c r="D293" i="3"/>
  <c r="C293" i="3"/>
  <c r="J292" i="3"/>
  <c r="P289" i="3"/>
  <c r="Q289" i="3"/>
  <c r="A292" i="6"/>
  <c r="B291" i="6"/>
  <c r="A292" i="11"/>
  <c r="B291" i="11"/>
  <c r="P292" i="6"/>
  <c r="J293" i="6"/>
  <c r="Q292" i="6"/>
  <c r="B291" i="4"/>
  <c r="A292" i="4"/>
  <c r="Y293" i="3" l="1"/>
  <c r="E293" i="3"/>
  <c r="A295" i="3"/>
  <c r="B294" i="3"/>
  <c r="D294" i="3"/>
  <c r="C294" i="3"/>
  <c r="J293" i="3"/>
  <c r="Q290" i="3"/>
  <c r="P290" i="3"/>
  <c r="A293" i="6"/>
  <c r="B292" i="6"/>
  <c r="A293" i="11"/>
  <c r="B292" i="11"/>
  <c r="J294" i="6"/>
  <c r="P293" i="6"/>
  <c r="Q293" i="6"/>
  <c r="A293" i="4"/>
  <c r="B292" i="4"/>
  <c r="Y294" i="3" l="1"/>
  <c r="E294" i="3"/>
  <c r="A296" i="3"/>
  <c r="B295" i="3"/>
  <c r="D295" i="3"/>
  <c r="C295" i="3"/>
  <c r="J294" i="3"/>
  <c r="P291" i="3"/>
  <c r="Q291" i="3"/>
  <c r="A294" i="6"/>
  <c r="B293" i="6"/>
  <c r="B293" i="11"/>
  <c r="A294" i="11"/>
  <c r="J295" i="6"/>
  <c r="P294" i="6"/>
  <c r="Q294" i="6"/>
  <c r="A294" i="4"/>
  <c r="B293" i="4"/>
  <c r="Y295" i="3" l="1"/>
  <c r="E295" i="3"/>
  <c r="A297" i="3"/>
  <c r="B296" i="3"/>
  <c r="D296" i="3"/>
  <c r="C296" i="3"/>
  <c r="J295" i="3"/>
  <c r="P292" i="3"/>
  <c r="Q292" i="3"/>
  <c r="A295" i="6"/>
  <c r="B294" i="6"/>
  <c r="A295" i="11"/>
  <c r="B294" i="11"/>
  <c r="J296" i="6"/>
  <c r="P295" i="6"/>
  <c r="Q295" i="6"/>
  <c r="A295" i="4"/>
  <c r="B294" i="4"/>
  <c r="Y296" i="3" l="1"/>
  <c r="E296" i="3"/>
  <c r="A298" i="3"/>
  <c r="B297" i="3"/>
  <c r="D297" i="3"/>
  <c r="C297" i="3"/>
  <c r="J296" i="3"/>
  <c r="Q293" i="3"/>
  <c r="P293" i="3"/>
  <c r="B295" i="6"/>
  <c r="A296" i="6"/>
  <c r="A296" i="11"/>
  <c r="B295" i="11"/>
  <c r="J297" i="6"/>
  <c r="P296" i="6"/>
  <c r="Q296" i="6"/>
  <c r="A296" i="4"/>
  <c r="B295" i="4"/>
  <c r="Y297" i="3" l="1"/>
  <c r="E297" i="3"/>
  <c r="A299" i="3"/>
  <c r="B298" i="3"/>
  <c r="C298" i="3"/>
  <c r="D298" i="3"/>
  <c r="J297" i="3"/>
  <c r="P294" i="3"/>
  <c r="Q294" i="3"/>
  <c r="B296" i="6"/>
  <c r="A297" i="6"/>
  <c r="B296" i="11"/>
  <c r="A297" i="11"/>
  <c r="J298" i="6"/>
  <c r="P297" i="6"/>
  <c r="Q297" i="6"/>
  <c r="A297" i="4"/>
  <c r="B296" i="4"/>
  <c r="Y298" i="3" l="1"/>
  <c r="E298" i="3"/>
  <c r="A300" i="3"/>
  <c r="B299" i="3"/>
  <c r="C299" i="3"/>
  <c r="D299" i="3"/>
  <c r="J298" i="3"/>
  <c r="Q295" i="3"/>
  <c r="P295" i="3"/>
  <c r="A298" i="6"/>
  <c r="B297" i="6"/>
  <c r="A298" i="11"/>
  <c r="B297" i="11"/>
  <c r="J299" i="6"/>
  <c r="P298" i="6"/>
  <c r="Q298" i="6"/>
  <c r="A298" i="4"/>
  <c r="B297" i="4"/>
  <c r="Y299" i="3" l="1"/>
  <c r="E299" i="3"/>
  <c r="A301" i="3"/>
  <c r="B300" i="3"/>
  <c r="D300" i="3"/>
  <c r="C300" i="3"/>
  <c r="J299" i="3"/>
  <c r="Q296" i="3"/>
  <c r="P296" i="3"/>
  <c r="A299" i="6"/>
  <c r="B298" i="6"/>
  <c r="A299" i="11"/>
  <c r="B298" i="11"/>
  <c r="J300" i="6"/>
  <c r="P299" i="6"/>
  <c r="Q299" i="6"/>
  <c r="A299" i="4"/>
  <c r="B298" i="4"/>
  <c r="Y300" i="3" l="1"/>
  <c r="E300" i="3"/>
  <c r="A302" i="3"/>
  <c r="B301" i="3"/>
  <c r="D301" i="3"/>
  <c r="C301" i="3"/>
  <c r="J300" i="3"/>
  <c r="P297" i="3"/>
  <c r="Q297" i="3"/>
  <c r="B299" i="6"/>
  <c r="A300" i="6"/>
  <c r="B299" i="11"/>
  <c r="A300" i="11"/>
  <c r="J301" i="6"/>
  <c r="P300" i="6"/>
  <c r="Q300" i="6"/>
  <c r="A300" i="4"/>
  <c r="B299" i="4"/>
  <c r="Y301" i="3" l="1"/>
  <c r="E301" i="3"/>
  <c r="A303" i="3"/>
  <c r="B302" i="3"/>
  <c r="C302" i="3"/>
  <c r="D302" i="3"/>
  <c r="J301" i="3"/>
  <c r="P298" i="3"/>
  <c r="Q298" i="3"/>
  <c r="A301" i="6"/>
  <c r="B300" i="6"/>
  <c r="A301" i="11"/>
  <c r="B300" i="11"/>
  <c r="J302" i="6"/>
  <c r="P301" i="6"/>
  <c r="Q301" i="6"/>
  <c r="A301" i="4"/>
  <c r="B300" i="4"/>
  <c r="Y302" i="3" l="1"/>
  <c r="E302" i="3"/>
  <c r="A304" i="3"/>
  <c r="B303" i="3"/>
  <c r="C303" i="3"/>
  <c r="D303" i="3"/>
  <c r="J302" i="3"/>
  <c r="P299" i="3"/>
  <c r="Q299" i="3"/>
  <c r="B301" i="6"/>
  <c r="A302" i="6"/>
  <c r="A302" i="11"/>
  <c r="B301" i="11"/>
  <c r="J303" i="6"/>
  <c r="Q302" i="6"/>
  <c r="P302" i="6"/>
  <c r="A302" i="4"/>
  <c r="B301" i="4"/>
  <c r="Y303" i="3" l="1"/>
  <c r="E303" i="3"/>
  <c r="A305" i="3"/>
  <c r="B304" i="3"/>
  <c r="C304" i="3"/>
  <c r="D304" i="3"/>
  <c r="J303" i="3"/>
  <c r="P300" i="3"/>
  <c r="Q300" i="3"/>
  <c r="A303" i="6"/>
  <c r="B302" i="6"/>
  <c r="A303" i="11"/>
  <c r="B302" i="11"/>
  <c r="Q303" i="6"/>
  <c r="J304" i="6"/>
  <c r="P303" i="6"/>
  <c r="A303" i="4"/>
  <c r="B302" i="4"/>
  <c r="Y304" i="3" l="1"/>
  <c r="E304" i="3"/>
  <c r="A306" i="3"/>
  <c r="B305" i="3"/>
  <c r="C305" i="3"/>
  <c r="D305" i="3"/>
  <c r="J304" i="3"/>
  <c r="P301" i="3"/>
  <c r="Q301" i="3"/>
  <c r="A304" i="6"/>
  <c r="B303" i="6"/>
  <c r="A304" i="11"/>
  <c r="B303" i="11"/>
  <c r="J305" i="6"/>
  <c r="Q304" i="6"/>
  <c r="P304" i="6"/>
  <c r="A304" i="4"/>
  <c r="B303" i="4"/>
  <c r="Y305" i="3" l="1"/>
  <c r="E305" i="3"/>
  <c r="A307" i="3"/>
  <c r="B306" i="3"/>
  <c r="C306" i="3"/>
  <c r="D306" i="3"/>
  <c r="J305" i="3"/>
  <c r="Q302" i="3"/>
  <c r="P302" i="3"/>
  <c r="A305" i="6"/>
  <c r="B304" i="6"/>
  <c r="A305" i="11"/>
  <c r="B304" i="11"/>
  <c r="J306" i="6"/>
  <c r="P305" i="6"/>
  <c r="Q305" i="6"/>
  <c r="A305" i="4"/>
  <c r="B304" i="4"/>
  <c r="Y306" i="3" l="1"/>
  <c r="E306" i="3"/>
  <c r="A308" i="3"/>
  <c r="B307" i="3"/>
  <c r="D307" i="3"/>
  <c r="C307" i="3"/>
  <c r="J306" i="3"/>
  <c r="P303" i="3"/>
  <c r="Q303" i="3"/>
  <c r="B305" i="6"/>
  <c r="A306" i="6"/>
  <c r="A306" i="11"/>
  <c r="B305" i="11"/>
  <c r="J307" i="6"/>
  <c r="P306" i="6"/>
  <c r="Q306" i="6"/>
  <c r="B305" i="4"/>
  <c r="A306" i="4"/>
  <c r="Y307" i="3" l="1"/>
  <c r="E307" i="3"/>
  <c r="A309" i="3"/>
  <c r="B308" i="3"/>
  <c r="D308" i="3"/>
  <c r="C308" i="3"/>
  <c r="J307" i="3"/>
  <c r="P304" i="3"/>
  <c r="Q304" i="3"/>
  <c r="A307" i="6"/>
  <c r="B306" i="6"/>
  <c r="B306" i="11"/>
  <c r="A307" i="11"/>
  <c r="J308" i="6"/>
  <c r="P307" i="6"/>
  <c r="Q307" i="6"/>
  <c r="A307" i="4"/>
  <c r="B306" i="4"/>
  <c r="Y308" i="3" l="1"/>
  <c r="E308" i="3"/>
  <c r="A310" i="3"/>
  <c r="B309" i="3"/>
  <c r="C309" i="3"/>
  <c r="D309" i="3"/>
  <c r="J308" i="3"/>
  <c r="P305" i="3"/>
  <c r="Q305" i="3"/>
  <c r="A308" i="6"/>
  <c r="B307" i="6"/>
  <c r="B307" i="11"/>
  <c r="A308" i="11"/>
  <c r="J309" i="6"/>
  <c r="P308" i="6"/>
  <c r="Q308" i="6"/>
  <c r="A308" i="4"/>
  <c r="B307" i="4"/>
  <c r="Y309" i="3" l="1"/>
  <c r="E309" i="3"/>
  <c r="A311" i="3"/>
  <c r="B310" i="3"/>
  <c r="C310" i="3"/>
  <c r="D310" i="3"/>
  <c r="J309" i="3"/>
  <c r="P306" i="3"/>
  <c r="Q306" i="3"/>
  <c r="B308" i="6"/>
  <c r="A309" i="6"/>
  <c r="A309" i="11"/>
  <c r="B308" i="11"/>
  <c r="J310" i="6"/>
  <c r="P309" i="6"/>
  <c r="Q309" i="6"/>
  <c r="A309" i="4"/>
  <c r="B308" i="4"/>
  <c r="Y310" i="3" l="1"/>
  <c r="E310" i="3"/>
  <c r="A312" i="3"/>
  <c r="B311" i="3"/>
  <c r="D311" i="3"/>
  <c r="C311" i="3"/>
  <c r="J310" i="3"/>
  <c r="Q307" i="3"/>
  <c r="P307" i="3"/>
  <c r="B309" i="6"/>
  <c r="A310" i="6"/>
  <c r="B309" i="11"/>
  <c r="A310" i="11"/>
  <c r="J311" i="6"/>
  <c r="P310" i="6"/>
  <c r="Q310" i="6"/>
  <c r="A310" i="4"/>
  <c r="B309" i="4"/>
  <c r="Y311" i="3" l="1"/>
  <c r="E311" i="3"/>
  <c r="A313" i="3"/>
  <c r="B312" i="3"/>
  <c r="D312" i="3"/>
  <c r="C312" i="3"/>
  <c r="J311" i="3"/>
  <c r="P308" i="3"/>
  <c r="Q308" i="3"/>
  <c r="A311" i="6"/>
  <c r="B310" i="6"/>
  <c r="A311" i="11"/>
  <c r="B310" i="11"/>
  <c r="J312" i="6"/>
  <c r="P311" i="6"/>
  <c r="Q311" i="6"/>
  <c r="A311" i="4"/>
  <c r="B310" i="4"/>
  <c r="Y312" i="3" l="1"/>
  <c r="E312" i="3"/>
  <c r="A314" i="3"/>
  <c r="B313" i="3"/>
  <c r="C313" i="3"/>
  <c r="D313" i="3"/>
  <c r="J312" i="3"/>
  <c r="P309" i="3"/>
  <c r="Q309" i="3"/>
  <c r="A312" i="6"/>
  <c r="B311" i="6"/>
  <c r="A312" i="11"/>
  <c r="B311" i="11"/>
  <c r="J313" i="6"/>
  <c r="P312" i="6"/>
  <c r="Q312" i="6"/>
  <c r="A312" i="4"/>
  <c r="B311" i="4"/>
  <c r="Y313" i="3" l="1"/>
  <c r="E313" i="3"/>
  <c r="A315" i="3"/>
  <c r="B314" i="3"/>
  <c r="C314" i="3"/>
  <c r="D314" i="3"/>
  <c r="J313" i="3"/>
  <c r="P310" i="3"/>
  <c r="Q310" i="3"/>
  <c r="A313" i="6"/>
  <c r="B312" i="6"/>
  <c r="B312" i="11"/>
  <c r="A313" i="11"/>
  <c r="J314" i="6"/>
  <c r="P313" i="6"/>
  <c r="Q313" i="6"/>
  <c r="A313" i="4"/>
  <c r="B312" i="4"/>
  <c r="Y314" i="3" l="1"/>
  <c r="E314" i="3"/>
  <c r="A316" i="3"/>
  <c r="B315" i="3"/>
  <c r="C315" i="3"/>
  <c r="D315" i="3"/>
  <c r="J314" i="3"/>
  <c r="Q311" i="3"/>
  <c r="P311" i="3"/>
  <c r="A314" i="6"/>
  <c r="B313" i="6"/>
  <c r="A314" i="11"/>
  <c r="B313" i="11"/>
  <c r="J315" i="6"/>
  <c r="P314" i="6"/>
  <c r="Q314" i="6"/>
  <c r="A314" i="4"/>
  <c r="B313" i="4"/>
  <c r="Y315" i="3" l="1"/>
  <c r="E315" i="3"/>
  <c r="A317" i="3"/>
  <c r="B316" i="3"/>
  <c r="D316" i="3"/>
  <c r="C316" i="3"/>
  <c r="J315" i="3"/>
  <c r="Q312" i="3"/>
  <c r="P312" i="3"/>
  <c r="A315" i="6"/>
  <c r="B314" i="6"/>
  <c r="A315" i="11"/>
  <c r="B314" i="11"/>
  <c r="J316" i="6"/>
  <c r="Q315" i="6"/>
  <c r="P315" i="6"/>
  <c r="A315" i="4"/>
  <c r="B314" i="4"/>
  <c r="Y316" i="3" l="1"/>
  <c r="E316" i="3"/>
  <c r="A318" i="3"/>
  <c r="B317" i="3"/>
  <c r="C317" i="3"/>
  <c r="D317" i="3"/>
  <c r="J316" i="3"/>
  <c r="P313" i="3"/>
  <c r="Q313" i="3"/>
  <c r="B315" i="6"/>
  <c r="A316" i="6"/>
  <c r="B315" i="11"/>
  <c r="A316" i="11"/>
  <c r="J317" i="6"/>
  <c r="P316" i="6"/>
  <c r="Q316" i="6"/>
  <c r="A316" i="4"/>
  <c r="B315" i="4"/>
  <c r="Y317" i="3" l="1"/>
  <c r="E317" i="3"/>
  <c r="A319" i="3"/>
  <c r="B318" i="3"/>
  <c r="C318" i="3"/>
  <c r="D318" i="3"/>
  <c r="J317" i="3"/>
  <c r="Q314" i="3"/>
  <c r="P314" i="3"/>
  <c r="A317" i="6"/>
  <c r="B316" i="6"/>
  <c r="A317" i="11"/>
  <c r="B316" i="11"/>
  <c r="J318" i="6"/>
  <c r="P317" i="6"/>
  <c r="Q317" i="6"/>
  <c r="A317" i="4"/>
  <c r="B316" i="4"/>
  <c r="Y318" i="3" l="1"/>
  <c r="E318" i="3"/>
  <c r="A320" i="3"/>
  <c r="B319" i="3"/>
  <c r="C319" i="3"/>
  <c r="D319" i="3"/>
  <c r="J318" i="3"/>
  <c r="P315" i="3"/>
  <c r="Q315" i="3"/>
  <c r="A318" i="6"/>
  <c r="B317" i="6"/>
  <c r="A318" i="11"/>
  <c r="B317" i="11"/>
  <c r="J319" i="6"/>
  <c r="P318" i="6"/>
  <c r="Q318" i="6"/>
  <c r="A318" i="4"/>
  <c r="B317" i="4"/>
  <c r="Y319" i="3" l="1"/>
  <c r="E319" i="3"/>
  <c r="A321" i="3"/>
  <c r="B320" i="3"/>
  <c r="C320" i="3"/>
  <c r="D320" i="3"/>
  <c r="J319" i="3"/>
  <c r="P316" i="3"/>
  <c r="Q316" i="3"/>
  <c r="A319" i="6"/>
  <c r="B318" i="6"/>
  <c r="B318" i="11"/>
  <c r="A319" i="11"/>
  <c r="Q319" i="6"/>
  <c r="J320" i="6"/>
  <c r="P319" i="6"/>
  <c r="A319" i="4"/>
  <c r="B318" i="4"/>
  <c r="Y320" i="3" l="1"/>
  <c r="E320" i="3"/>
  <c r="A322" i="3"/>
  <c r="B321" i="3"/>
  <c r="C321" i="3"/>
  <c r="D321" i="3"/>
  <c r="J320" i="3"/>
  <c r="P317" i="3"/>
  <c r="Q317" i="3"/>
  <c r="A320" i="6"/>
  <c r="B319" i="6"/>
  <c r="A320" i="11"/>
  <c r="B319" i="11"/>
  <c r="Q320" i="6"/>
  <c r="J321" i="6"/>
  <c r="P320" i="6"/>
  <c r="B319" i="4"/>
  <c r="A320" i="4"/>
  <c r="Y321" i="3" l="1"/>
  <c r="E321" i="3"/>
  <c r="A323" i="3"/>
  <c r="B322" i="3"/>
  <c r="D322" i="3"/>
  <c r="C322" i="3"/>
  <c r="J321" i="3"/>
  <c r="P318" i="3"/>
  <c r="Q318" i="3"/>
  <c r="A321" i="6"/>
  <c r="B320" i="6"/>
  <c r="A321" i="11"/>
  <c r="B320" i="11"/>
  <c r="J322" i="6"/>
  <c r="P321" i="6"/>
  <c r="Q321" i="6"/>
  <c r="A321" i="4"/>
  <c r="B320" i="4"/>
  <c r="Y322" i="3" l="1"/>
  <c r="E322" i="3"/>
  <c r="A324" i="3"/>
  <c r="B323" i="3"/>
  <c r="D323" i="3"/>
  <c r="C323" i="3"/>
  <c r="J322" i="3"/>
  <c r="P319" i="3"/>
  <c r="Q319" i="3"/>
  <c r="A322" i="6"/>
  <c r="B321" i="6"/>
  <c r="A322" i="11"/>
  <c r="B321" i="11"/>
  <c r="J323" i="6"/>
  <c r="P322" i="6"/>
  <c r="Q322" i="6"/>
  <c r="A322" i="4"/>
  <c r="B321" i="4"/>
  <c r="Y323" i="3" l="1"/>
  <c r="E323" i="3"/>
  <c r="A325" i="3"/>
  <c r="B324" i="3"/>
  <c r="D324" i="3"/>
  <c r="C324" i="3"/>
  <c r="J323" i="3"/>
  <c r="Q320" i="3"/>
  <c r="P320" i="3"/>
  <c r="A323" i="6"/>
  <c r="B322" i="6"/>
  <c r="A323" i="11"/>
  <c r="B322" i="11"/>
  <c r="J324" i="6"/>
  <c r="Q323" i="6"/>
  <c r="P323" i="6"/>
  <c r="A323" i="4"/>
  <c r="B322" i="4"/>
  <c r="Y324" i="3" l="1"/>
  <c r="E324" i="3"/>
  <c r="A326" i="3"/>
  <c r="B325" i="3"/>
  <c r="C325" i="3"/>
  <c r="D325" i="3"/>
  <c r="J324" i="3"/>
  <c r="P321" i="3"/>
  <c r="Q321" i="3"/>
  <c r="A324" i="6"/>
  <c r="B323" i="6"/>
  <c r="A324" i="11"/>
  <c r="B323" i="11"/>
  <c r="J325" i="6"/>
  <c r="P324" i="6"/>
  <c r="Q324" i="6"/>
  <c r="A324" i="4"/>
  <c r="B323" i="4"/>
  <c r="Y325" i="3" l="1"/>
  <c r="E325" i="3"/>
  <c r="A327" i="3"/>
  <c r="B326" i="3"/>
  <c r="D326" i="3"/>
  <c r="C326" i="3"/>
  <c r="J325" i="3"/>
  <c r="Q322" i="3"/>
  <c r="P322" i="3"/>
  <c r="A325" i="6"/>
  <c r="B324" i="6"/>
  <c r="A325" i="11"/>
  <c r="B324" i="11"/>
  <c r="J326" i="6"/>
  <c r="P325" i="6"/>
  <c r="Q325" i="6"/>
  <c r="A325" i="4"/>
  <c r="B324" i="4"/>
  <c r="Y326" i="3" l="1"/>
  <c r="E326" i="3"/>
  <c r="A328" i="3"/>
  <c r="B327" i="3"/>
  <c r="D327" i="3"/>
  <c r="C327" i="3"/>
  <c r="J326" i="3"/>
  <c r="P323" i="3"/>
  <c r="Q323" i="3"/>
  <c r="A326" i="6"/>
  <c r="B325" i="6"/>
  <c r="B325" i="11"/>
  <c r="A326" i="11"/>
  <c r="J327" i="6"/>
  <c r="P326" i="6"/>
  <c r="Q326" i="6"/>
  <c r="A326" i="4"/>
  <c r="B325" i="4"/>
  <c r="Y327" i="3" l="1"/>
  <c r="E327" i="3"/>
  <c r="A329" i="3"/>
  <c r="B328" i="3"/>
  <c r="D328" i="3"/>
  <c r="C328" i="3"/>
  <c r="J327" i="3"/>
  <c r="P324" i="3"/>
  <c r="Q324" i="3"/>
  <c r="A327" i="6"/>
  <c r="B326" i="6"/>
  <c r="A327" i="11"/>
  <c r="B326" i="11"/>
  <c r="J328" i="6"/>
  <c r="P327" i="6"/>
  <c r="Q327" i="6"/>
  <c r="A327" i="4"/>
  <c r="B326" i="4"/>
  <c r="Y328" i="3" l="1"/>
  <c r="E328" i="3"/>
  <c r="A330" i="3"/>
  <c r="B329" i="3"/>
  <c r="C329" i="3"/>
  <c r="D329" i="3"/>
  <c r="J328" i="3"/>
  <c r="Q325" i="3"/>
  <c r="P325" i="3"/>
  <c r="B327" i="6"/>
  <c r="A328" i="6"/>
  <c r="A328" i="11"/>
  <c r="B327" i="11"/>
  <c r="J329" i="6"/>
  <c r="Q328" i="6"/>
  <c r="P328" i="6"/>
  <c r="A328" i="4"/>
  <c r="B327" i="4"/>
  <c r="Y329" i="3" l="1"/>
  <c r="E329" i="3"/>
  <c r="A331" i="3"/>
  <c r="B330" i="3"/>
  <c r="C330" i="3"/>
  <c r="D330" i="3"/>
  <c r="J329" i="3"/>
  <c r="P326" i="3"/>
  <c r="Q326" i="3"/>
  <c r="A329" i="6"/>
  <c r="B328" i="6"/>
  <c r="B328" i="11"/>
  <c r="A329" i="11"/>
  <c r="J330" i="6"/>
  <c r="P329" i="6"/>
  <c r="Q329" i="6"/>
  <c r="B328" i="4"/>
  <c r="A329" i="4"/>
  <c r="Y330" i="3" l="1"/>
  <c r="E330" i="3"/>
  <c r="A332" i="3"/>
  <c r="B331" i="3"/>
  <c r="C331" i="3"/>
  <c r="D331" i="3"/>
  <c r="J330" i="3"/>
  <c r="Q327" i="3"/>
  <c r="P327" i="3"/>
  <c r="B329" i="6"/>
  <c r="A330" i="6"/>
  <c r="A330" i="11"/>
  <c r="B329" i="11"/>
  <c r="J331" i="6"/>
  <c r="P330" i="6"/>
  <c r="Q330" i="6"/>
  <c r="A330" i="4"/>
  <c r="B329" i="4"/>
  <c r="Y331" i="3" l="1"/>
  <c r="E331" i="3"/>
  <c r="A333" i="3"/>
  <c r="B332" i="3"/>
  <c r="D332" i="3"/>
  <c r="C332" i="3"/>
  <c r="J331" i="3"/>
  <c r="P328" i="3"/>
  <c r="Q328" i="3"/>
  <c r="B330" i="6"/>
  <c r="A331" i="6"/>
  <c r="A331" i="11"/>
  <c r="B330" i="11"/>
  <c r="J332" i="6"/>
  <c r="P331" i="6"/>
  <c r="Q331" i="6"/>
  <c r="A331" i="4"/>
  <c r="B330" i="4"/>
  <c r="Y332" i="3" l="1"/>
  <c r="E332" i="3"/>
  <c r="A334" i="3"/>
  <c r="B333" i="3"/>
  <c r="C333" i="3"/>
  <c r="D333" i="3"/>
  <c r="J332" i="3"/>
  <c r="P329" i="3"/>
  <c r="Q329" i="3"/>
  <c r="B331" i="6"/>
  <c r="A332" i="6"/>
  <c r="B331" i="11"/>
  <c r="A332" i="11"/>
  <c r="J333" i="6"/>
  <c r="P332" i="6"/>
  <c r="Q332" i="6"/>
  <c r="B331" i="4"/>
  <c r="A332" i="4"/>
  <c r="Y333" i="3" l="1"/>
  <c r="E333" i="3"/>
  <c r="A335" i="3"/>
  <c r="B334" i="3"/>
  <c r="C334" i="3"/>
  <c r="D334" i="3"/>
  <c r="J333" i="3"/>
  <c r="Q330" i="3"/>
  <c r="P330" i="3"/>
  <c r="A333" i="6"/>
  <c r="B332" i="6"/>
  <c r="A333" i="11"/>
  <c r="B332" i="11"/>
  <c r="J334" i="6"/>
  <c r="P333" i="6"/>
  <c r="Q333" i="6"/>
  <c r="A333" i="4"/>
  <c r="B332" i="4"/>
  <c r="Y334" i="3" l="1"/>
  <c r="E334" i="3"/>
  <c r="A336" i="3"/>
  <c r="B335" i="3"/>
  <c r="D335" i="3"/>
  <c r="C335" i="3"/>
  <c r="J334" i="3"/>
  <c r="P331" i="3"/>
  <c r="Q331" i="3"/>
  <c r="B333" i="6"/>
  <c r="A334" i="6"/>
  <c r="A334" i="11"/>
  <c r="B333" i="11"/>
  <c r="J335" i="6"/>
  <c r="P334" i="6"/>
  <c r="Q334" i="6"/>
  <c r="A334" i="4"/>
  <c r="B333" i="4"/>
  <c r="Y335" i="3" l="1"/>
  <c r="E335" i="3"/>
  <c r="A337" i="3"/>
  <c r="B336" i="3"/>
  <c r="C336" i="3"/>
  <c r="D336" i="3"/>
  <c r="J335" i="3"/>
  <c r="P332" i="3"/>
  <c r="Q332" i="3"/>
  <c r="A335" i="6"/>
  <c r="B334" i="6"/>
  <c r="B334" i="11"/>
  <c r="A335" i="11"/>
  <c r="Q335" i="6"/>
  <c r="J336" i="6"/>
  <c r="P335" i="6"/>
  <c r="A335" i="4"/>
  <c r="B334" i="4"/>
  <c r="Y336" i="3" l="1"/>
  <c r="E336" i="3"/>
  <c r="A338" i="3"/>
  <c r="B337" i="3"/>
  <c r="C337" i="3"/>
  <c r="D337" i="3"/>
  <c r="J336" i="3"/>
  <c r="Q333" i="3"/>
  <c r="P333" i="3"/>
  <c r="A336" i="6"/>
  <c r="B335" i="6"/>
  <c r="A336" i="11"/>
  <c r="B335" i="11"/>
  <c r="Q336" i="6"/>
  <c r="J337" i="6"/>
  <c r="P336" i="6"/>
  <c r="A336" i="4"/>
  <c r="B335" i="4"/>
  <c r="Y337" i="3" l="1"/>
  <c r="E337" i="3"/>
  <c r="A339" i="3"/>
  <c r="B338" i="3"/>
  <c r="D338" i="3"/>
  <c r="C338" i="3"/>
  <c r="J337" i="3"/>
  <c r="P334" i="3"/>
  <c r="Q334" i="3"/>
  <c r="A337" i="6"/>
  <c r="B336" i="6"/>
  <c r="A337" i="11"/>
  <c r="B336" i="11"/>
  <c r="J338" i="6"/>
  <c r="P337" i="6"/>
  <c r="Q337" i="6"/>
  <c r="A337" i="4"/>
  <c r="B336" i="4"/>
  <c r="Y338" i="3" l="1"/>
  <c r="E338" i="3"/>
  <c r="A340" i="3"/>
  <c r="B339" i="3"/>
  <c r="D339" i="3"/>
  <c r="C339" i="3"/>
  <c r="J338" i="3"/>
  <c r="Q335" i="3"/>
  <c r="P335" i="3"/>
  <c r="A338" i="6"/>
  <c r="B337" i="6"/>
  <c r="A338" i="11"/>
  <c r="B337" i="11"/>
  <c r="J339" i="6"/>
  <c r="P338" i="6"/>
  <c r="Q338" i="6"/>
  <c r="B337" i="4"/>
  <c r="A338" i="4"/>
  <c r="Y339" i="3" l="1"/>
  <c r="E339" i="3"/>
  <c r="A341" i="3"/>
  <c r="B340" i="3"/>
  <c r="C340" i="3"/>
  <c r="D340" i="3"/>
  <c r="J339" i="3"/>
  <c r="Q336" i="3"/>
  <c r="P336" i="3"/>
  <c r="A339" i="6"/>
  <c r="B338" i="6"/>
  <c r="B338" i="11"/>
  <c r="A339" i="11"/>
  <c r="J340" i="6"/>
  <c r="P339" i="6"/>
  <c r="Q339" i="6"/>
  <c r="A339" i="4"/>
  <c r="B338" i="4"/>
  <c r="Y340" i="3" l="1"/>
  <c r="E340" i="3"/>
  <c r="A342" i="3"/>
  <c r="B341" i="3"/>
  <c r="D341" i="3"/>
  <c r="C341" i="3"/>
  <c r="J340" i="3"/>
  <c r="Q337" i="3"/>
  <c r="P337" i="3"/>
  <c r="A340" i="6"/>
  <c r="B339" i="6"/>
  <c r="A340" i="11"/>
  <c r="B339" i="11"/>
  <c r="J341" i="6"/>
  <c r="P340" i="6"/>
  <c r="Q340" i="6"/>
  <c r="A340" i="4"/>
  <c r="B339" i="4"/>
  <c r="Y341" i="3" l="1"/>
  <c r="E341" i="3"/>
  <c r="A343" i="3"/>
  <c r="B342" i="3"/>
  <c r="D342" i="3"/>
  <c r="C342" i="3"/>
  <c r="J341" i="3"/>
  <c r="P338" i="3"/>
  <c r="Q338" i="3"/>
  <c r="A341" i="6"/>
  <c r="B340" i="6"/>
  <c r="A341" i="11"/>
  <c r="B340" i="11"/>
  <c r="J342" i="6"/>
  <c r="P341" i="6"/>
  <c r="Q341" i="6"/>
  <c r="A341" i="4"/>
  <c r="B340" i="4"/>
  <c r="Y342" i="3" l="1"/>
  <c r="E342" i="3"/>
  <c r="A344" i="3"/>
  <c r="B343" i="3"/>
  <c r="D343" i="3"/>
  <c r="C343" i="3"/>
  <c r="J342" i="3"/>
  <c r="P339" i="3"/>
  <c r="Q339" i="3"/>
  <c r="A342" i="6"/>
  <c r="B341" i="6"/>
  <c r="B341" i="11"/>
  <c r="A342" i="11"/>
  <c r="J343" i="6"/>
  <c r="P342" i="6"/>
  <c r="Q342" i="6"/>
  <c r="B341" i="4"/>
  <c r="A342" i="4"/>
  <c r="Y343" i="3" l="1"/>
  <c r="E343" i="3"/>
  <c r="A345" i="3"/>
  <c r="B344" i="3"/>
  <c r="C344" i="3"/>
  <c r="D344" i="3"/>
  <c r="J343" i="3"/>
  <c r="Q340" i="3"/>
  <c r="P340" i="3"/>
  <c r="A343" i="6"/>
  <c r="B342" i="6"/>
  <c r="A343" i="11"/>
  <c r="B342" i="11"/>
  <c r="J344" i="6"/>
  <c r="Q343" i="6"/>
  <c r="P343" i="6"/>
  <c r="A343" i="4"/>
  <c r="B342" i="4"/>
  <c r="Y344" i="3" l="1"/>
  <c r="E344" i="3"/>
  <c r="A346" i="3"/>
  <c r="B345" i="3"/>
  <c r="C345" i="3"/>
  <c r="D345" i="3"/>
  <c r="J344" i="3"/>
  <c r="P341" i="3"/>
  <c r="Q341" i="3"/>
  <c r="A344" i="6"/>
  <c r="B343" i="6"/>
  <c r="A344" i="11"/>
  <c r="B343" i="11"/>
  <c r="J345" i="6"/>
  <c r="P344" i="6"/>
  <c r="Q344" i="6"/>
  <c r="A344" i="4"/>
  <c r="B343" i="4"/>
  <c r="Y345" i="3" l="1"/>
  <c r="E345" i="3"/>
  <c r="A347" i="3"/>
  <c r="B346" i="3"/>
  <c r="C346" i="3"/>
  <c r="D346" i="3"/>
  <c r="J345" i="3"/>
  <c r="P342" i="3"/>
  <c r="Q342" i="3"/>
  <c r="B344" i="6"/>
  <c r="A345" i="6"/>
  <c r="B344" i="11"/>
  <c r="A345" i="11"/>
  <c r="J346" i="6"/>
  <c r="P345" i="6"/>
  <c r="Q345" i="6"/>
  <c r="A345" i="4"/>
  <c r="B344" i="4"/>
  <c r="Y346" i="3" l="1"/>
  <c r="E346" i="3"/>
  <c r="A348" i="3"/>
  <c r="B347" i="3"/>
  <c r="D347" i="3"/>
  <c r="C347" i="3"/>
  <c r="J346" i="3"/>
  <c r="P343" i="3"/>
  <c r="Q343" i="3"/>
  <c r="A346" i="6"/>
  <c r="B345" i="6"/>
  <c r="A346" i="11"/>
  <c r="B345" i="11"/>
  <c r="J347" i="6"/>
  <c r="P346" i="6"/>
  <c r="Q346" i="6"/>
  <c r="A346" i="4"/>
  <c r="B345" i="4"/>
  <c r="Y347" i="3" l="1"/>
  <c r="E347" i="3"/>
  <c r="A349" i="3"/>
  <c r="B348" i="3"/>
  <c r="C348" i="3"/>
  <c r="D348" i="3"/>
  <c r="J347" i="3"/>
  <c r="Q344" i="3"/>
  <c r="P344" i="3"/>
  <c r="A347" i="6"/>
  <c r="B346" i="6"/>
  <c r="A347" i="11"/>
  <c r="B346" i="11"/>
  <c r="J348" i="6"/>
  <c r="P347" i="6"/>
  <c r="Q347" i="6"/>
  <c r="A347" i="4"/>
  <c r="B346" i="4"/>
  <c r="Y348" i="3" l="1"/>
  <c r="E348" i="3"/>
  <c r="A350" i="3"/>
  <c r="B349" i="3"/>
  <c r="C349" i="3"/>
  <c r="D349" i="3"/>
  <c r="J348" i="3"/>
  <c r="P345" i="3"/>
  <c r="Q345" i="3"/>
  <c r="A348" i="6"/>
  <c r="B347" i="6"/>
  <c r="B347" i="11"/>
  <c r="A348" i="11"/>
  <c r="J349" i="6"/>
  <c r="P348" i="6"/>
  <c r="Q348" i="6"/>
  <c r="A348" i="4"/>
  <c r="B347" i="4"/>
  <c r="Y349" i="3" l="1"/>
  <c r="E349" i="3"/>
  <c r="A351" i="3"/>
  <c r="B350" i="3"/>
  <c r="D350" i="3"/>
  <c r="C350" i="3"/>
  <c r="J349" i="3"/>
  <c r="P346" i="3"/>
  <c r="Q346" i="3"/>
  <c r="B348" i="6"/>
  <c r="A349" i="6"/>
  <c r="A349" i="11"/>
  <c r="B348" i="11"/>
  <c r="J350" i="6"/>
  <c r="P349" i="6"/>
  <c r="Q349" i="6"/>
  <c r="B348" i="4"/>
  <c r="A349" i="4"/>
  <c r="Y350" i="3" l="1"/>
  <c r="E350" i="3"/>
  <c r="A352" i="3"/>
  <c r="B351" i="3"/>
  <c r="C351" i="3"/>
  <c r="D351" i="3"/>
  <c r="J350" i="3"/>
  <c r="Q347" i="3"/>
  <c r="P347" i="3"/>
  <c r="A350" i="6"/>
  <c r="B349" i="6"/>
  <c r="A350" i="11"/>
  <c r="B349" i="11"/>
  <c r="J351" i="6"/>
  <c r="P350" i="6"/>
  <c r="Q350" i="6"/>
  <c r="A350" i="4"/>
  <c r="B349" i="4"/>
  <c r="Y351" i="3" l="1"/>
  <c r="E351" i="3"/>
  <c r="A353" i="3"/>
  <c r="B352" i="3"/>
  <c r="C352" i="3"/>
  <c r="D352" i="3"/>
  <c r="J351" i="3"/>
  <c r="Q348" i="3"/>
  <c r="P348" i="3"/>
  <c r="A351" i="6"/>
  <c r="B350" i="6"/>
  <c r="B350" i="11"/>
  <c r="A351" i="11"/>
  <c r="J352" i="6"/>
  <c r="P351" i="6"/>
  <c r="Q351" i="6"/>
  <c r="A351" i="4"/>
  <c r="B350" i="4"/>
  <c r="Y352" i="3" l="1"/>
  <c r="E352" i="3"/>
  <c r="A354" i="3"/>
  <c r="B353" i="3"/>
  <c r="C353" i="3"/>
  <c r="D353" i="3"/>
  <c r="J352" i="3"/>
  <c r="Q349" i="3"/>
  <c r="P349" i="3"/>
  <c r="A352" i="6"/>
  <c r="B351" i="6"/>
  <c r="A352" i="11"/>
  <c r="B351" i="11"/>
  <c r="J353" i="6"/>
  <c r="Q352" i="6"/>
  <c r="P352" i="6"/>
  <c r="B351" i="4"/>
  <c r="A352" i="4"/>
  <c r="Y353" i="3" l="1"/>
  <c r="E353" i="3"/>
  <c r="A355" i="3"/>
  <c r="B354" i="3"/>
  <c r="D354" i="3"/>
  <c r="C354" i="3"/>
  <c r="J353" i="3"/>
  <c r="Q350" i="3"/>
  <c r="P350" i="3"/>
  <c r="B352" i="6"/>
  <c r="A353" i="6"/>
  <c r="A353" i="11"/>
  <c r="B352" i="11"/>
  <c r="J354" i="6"/>
  <c r="P353" i="6"/>
  <c r="Q353" i="6"/>
  <c r="A353" i="4"/>
  <c r="B352" i="4"/>
  <c r="Y354" i="3" l="1"/>
  <c r="E354" i="3"/>
  <c r="A356" i="3"/>
  <c r="B355" i="3"/>
  <c r="D355" i="3"/>
  <c r="C355" i="3"/>
  <c r="J354" i="3"/>
  <c r="P351" i="3"/>
  <c r="Q351" i="3"/>
  <c r="A354" i="6"/>
  <c r="B353" i="6"/>
  <c r="A354" i="11"/>
  <c r="B353" i="11"/>
  <c r="J355" i="6"/>
  <c r="P354" i="6"/>
  <c r="Q354" i="6"/>
  <c r="A354" i="4"/>
  <c r="B353" i="4"/>
  <c r="Y355" i="3" l="1"/>
  <c r="E355" i="3"/>
  <c r="A357" i="3"/>
  <c r="B356" i="3"/>
  <c r="C356" i="3"/>
  <c r="D356" i="3"/>
  <c r="J355" i="3"/>
  <c r="Q352" i="3"/>
  <c r="P352" i="3"/>
  <c r="A355" i="6"/>
  <c r="B354" i="6"/>
  <c r="B354" i="11"/>
  <c r="A355" i="11"/>
  <c r="J356" i="6"/>
  <c r="P355" i="6"/>
  <c r="Q355" i="6"/>
  <c r="A355" i="4"/>
  <c r="B354" i="4"/>
  <c r="Y356" i="3" l="1"/>
  <c r="E356" i="3"/>
  <c r="A358" i="3"/>
  <c r="B357" i="3"/>
  <c r="C357" i="3"/>
  <c r="D357" i="3"/>
  <c r="J356" i="3"/>
  <c r="Q353" i="3"/>
  <c r="P353" i="3"/>
  <c r="A356" i="6"/>
  <c r="B355" i="6"/>
  <c r="B355" i="11"/>
  <c r="A356" i="11"/>
  <c r="J357" i="6"/>
  <c r="P356" i="6"/>
  <c r="Q356" i="6"/>
  <c r="B355" i="4"/>
  <c r="A356" i="4"/>
  <c r="Y357" i="3" l="1"/>
  <c r="E357" i="3"/>
  <c r="A359" i="3"/>
  <c r="B358" i="3"/>
  <c r="D358" i="3"/>
  <c r="C358" i="3"/>
  <c r="J357" i="3"/>
  <c r="Q354" i="3"/>
  <c r="P354" i="3"/>
  <c r="A357" i="6"/>
  <c r="B356" i="6"/>
  <c r="A357" i="11"/>
  <c r="B356" i="11"/>
  <c r="J358" i="6"/>
  <c r="P357" i="6"/>
  <c r="Q357" i="6"/>
  <c r="B356" i="4"/>
  <c r="A357" i="4"/>
  <c r="Y358" i="3" l="1"/>
  <c r="E358" i="3"/>
  <c r="A360" i="3"/>
  <c r="B359" i="3"/>
  <c r="D359" i="3"/>
  <c r="C359" i="3"/>
  <c r="J358" i="3"/>
  <c r="P355" i="3"/>
  <c r="Q355" i="3"/>
  <c r="B357" i="6"/>
  <c r="A358" i="6"/>
  <c r="B357" i="11"/>
  <c r="A358" i="11"/>
  <c r="J359" i="6"/>
  <c r="P358" i="6"/>
  <c r="Q358" i="6"/>
  <c r="B357" i="4"/>
  <c r="A358" i="4"/>
  <c r="Y359" i="3" l="1"/>
  <c r="E359" i="3"/>
  <c r="A361" i="3"/>
  <c r="B360" i="3"/>
  <c r="C360" i="3"/>
  <c r="D360" i="3"/>
  <c r="J359" i="3"/>
  <c r="Q356" i="3"/>
  <c r="P356" i="3"/>
  <c r="A359" i="6"/>
  <c r="B358" i="6"/>
  <c r="A359" i="11"/>
  <c r="B358" i="11"/>
  <c r="J360" i="6"/>
  <c r="Q359" i="6"/>
  <c r="P359" i="6"/>
  <c r="B358" i="4"/>
  <c r="A359" i="4"/>
  <c r="Y360" i="3" l="1"/>
  <c r="E360" i="3"/>
  <c r="A362" i="3"/>
  <c r="B361" i="3"/>
  <c r="C361" i="3"/>
  <c r="D361" i="3"/>
  <c r="J360" i="3"/>
  <c r="Q357" i="3"/>
  <c r="P357" i="3"/>
  <c r="A360" i="6"/>
  <c r="B359" i="6"/>
  <c r="B359" i="11"/>
  <c r="A360" i="11"/>
  <c r="J361" i="6"/>
  <c r="P360" i="6"/>
  <c r="Q360" i="6"/>
  <c r="A360" i="4"/>
  <c r="B359" i="4"/>
  <c r="Y361" i="3" l="1"/>
  <c r="E361" i="3"/>
  <c r="A363" i="3"/>
  <c r="B362" i="3"/>
  <c r="C362" i="3"/>
  <c r="D362" i="3"/>
  <c r="J361" i="3"/>
  <c r="P358" i="3"/>
  <c r="Q358" i="3"/>
  <c r="B360" i="6"/>
  <c r="A361" i="6"/>
  <c r="B360" i="11"/>
  <c r="A361" i="11"/>
  <c r="J362" i="6"/>
  <c r="P361" i="6"/>
  <c r="Q361" i="6"/>
  <c r="A361" i="4"/>
  <c r="B360" i="4"/>
  <c r="Y362" i="3" l="1"/>
  <c r="E362" i="3"/>
  <c r="A364" i="3"/>
  <c r="B363" i="3"/>
  <c r="D363" i="3"/>
  <c r="C363" i="3"/>
  <c r="J362" i="3"/>
  <c r="P359" i="3"/>
  <c r="Q359" i="3"/>
  <c r="B361" i="6"/>
  <c r="A362" i="6"/>
  <c r="A362" i="11"/>
  <c r="B361" i="11"/>
  <c r="J363" i="6"/>
  <c r="P362" i="6"/>
  <c r="Q362" i="6"/>
  <c r="A362" i="4"/>
  <c r="B361" i="4"/>
  <c r="Y363" i="3" l="1"/>
  <c r="E363" i="3"/>
  <c r="A365" i="3"/>
  <c r="B364" i="3"/>
  <c r="C364" i="3"/>
  <c r="D364" i="3"/>
  <c r="J363" i="3"/>
  <c r="Q360" i="3"/>
  <c r="P360" i="3"/>
  <c r="B362" i="6"/>
  <c r="A363" i="6"/>
  <c r="A363" i="11"/>
  <c r="B362" i="11"/>
  <c r="P363" i="6"/>
  <c r="Q363" i="6"/>
  <c r="J364" i="6"/>
  <c r="A363" i="4"/>
  <c r="B362" i="4"/>
  <c r="Y364" i="3" l="1"/>
  <c r="E364" i="3"/>
  <c r="A366" i="3"/>
  <c r="B365" i="3"/>
  <c r="D365" i="3"/>
  <c r="C365" i="3"/>
  <c r="J364" i="3"/>
  <c r="Q361" i="3"/>
  <c r="P361" i="3"/>
  <c r="A364" i="6"/>
  <c r="B363" i="6"/>
  <c r="B363" i="11"/>
  <c r="A364" i="11"/>
  <c r="J365" i="6"/>
  <c r="P364" i="6"/>
  <c r="Q364" i="6"/>
  <c r="A364" i="4"/>
  <c r="B363" i="4"/>
  <c r="Y365" i="3" l="1"/>
  <c r="E365" i="3"/>
  <c r="A367" i="3"/>
  <c r="B366" i="3"/>
  <c r="D366" i="3"/>
  <c r="C366" i="3"/>
  <c r="J365" i="3"/>
  <c r="P362" i="3"/>
  <c r="Q362" i="3"/>
  <c r="B364" i="6"/>
  <c r="A365" i="6"/>
  <c r="A365" i="11"/>
  <c r="B364" i="11"/>
  <c r="P365" i="6"/>
  <c r="Q365" i="6"/>
  <c r="J366" i="6"/>
  <c r="A365" i="4"/>
  <c r="B364" i="4"/>
  <c r="Y366" i="3" l="1"/>
  <c r="E366" i="3"/>
  <c r="A368" i="3"/>
  <c r="B367" i="3"/>
  <c r="D367" i="3"/>
  <c r="C367" i="3"/>
  <c r="J366" i="3"/>
  <c r="P363" i="3"/>
  <c r="Q363" i="3"/>
  <c r="A366" i="6"/>
  <c r="B365" i="6"/>
  <c r="A366" i="11"/>
  <c r="B365" i="11"/>
  <c r="P366" i="6"/>
  <c r="Q366" i="6"/>
  <c r="J367" i="6"/>
  <c r="B365" i="4"/>
  <c r="A366" i="4"/>
  <c r="Y367" i="3" l="1"/>
  <c r="E367" i="3"/>
  <c r="A369" i="3"/>
  <c r="B368" i="3"/>
  <c r="C368" i="3"/>
  <c r="D368" i="3"/>
  <c r="J367" i="3"/>
  <c r="Q364" i="3"/>
  <c r="P364" i="3"/>
  <c r="A367" i="6"/>
  <c r="B366" i="6"/>
  <c r="A367" i="11"/>
  <c r="B366" i="11"/>
  <c r="J368" i="6"/>
  <c r="P367" i="6"/>
  <c r="Q367" i="6"/>
  <c r="A367" i="4"/>
  <c r="B366" i="4"/>
  <c r="Y368" i="3" l="1"/>
  <c r="E368" i="3"/>
  <c r="A370" i="3"/>
  <c r="B369" i="3"/>
  <c r="D369" i="3"/>
  <c r="C369" i="3"/>
  <c r="J368" i="3"/>
  <c r="P365" i="3"/>
  <c r="Q365" i="3"/>
  <c r="A368" i="6"/>
  <c r="B367" i="6"/>
  <c r="A368" i="11"/>
  <c r="B367" i="11"/>
  <c r="P368" i="6"/>
  <c r="Q368" i="6"/>
  <c r="J369" i="6"/>
  <c r="A368" i="4"/>
  <c r="B367" i="4"/>
  <c r="Y369" i="3" l="1"/>
  <c r="E369" i="3"/>
  <c r="A371" i="3"/>
  <c r="B370" i="3"/>
  <c r="D370" i="3"/>
  <c r="C370" i="3"/>
  <c r="J369" i="3"/>
  <c r="P366" i="3"/>
  <c r="Q366" i="3"/>
  <c r="A369" i="6"/>
  <c r="B368" i="6"/>
  <c r="A369" i="11"/>
  <c r="B368" i="11"/>
  <c r="J370" i="6"/>
  <c r="Q369" i="6"/>
  <c r="P369" i="6"/>
  <c r="A369" i="4"/>
  <c r="B368" i="4"/>
  <c r="Y370" i="3" l="1"/>
  <c r="E370" i="3"/>
  <c r="A372" i="3"/>
  <c r="B371" i="3"/>
  <c r="D371" i="3"/>
  <c r="C371" i="3"/>
  <c r="J370" i="3"/>
  <c r="Q367" i="3"/>
  <c r="P367" i="3"/>
  <c r="A370" i="6"/>
  <c r="B369" i="6"/>
  <c r="A370" i="11"/>
  <c r="B369" i="11"/>
  <c r="P370" i="6"/>
  <c r="Q370" i="6"/>
  <c r="J371" i="6"/>
  <c r="B369" i="4"/>
  <c r="A370" i="4"/>
  <c r="Y371" i="3" l="1"/>
  <c r="E371" i="3"/>
  <c r="A373" i="3"/>
  <c r="B372" i="3"/>
  <c r="C372" i="3"/>
  <c r="D372" i="3"/>
  <c r="J371" i="3"/>
  <c r="P368" i="3"/>
  <c r="Q368" i="3"/>
  <c r="A371" i="6"/>
  <c r="B370" i="6"/>
  <c r="A371" i="11"/>
  <c r="B370" i="11"/>
  <c r="P371" i="6"/>
  <c r="Q371" i="6"/>
  <c r="J372" i="6"/>
  <c r="A371" i="4"/>
  <c r="B370" i="4"/>
  <c r="Y372" i="3" l="1"/>
  <c r="E372" i="3"/>
  <c r="A374" i="3"/>
  <c r="B373" i="3"/>
  <c r="D373" i="3"/>
  <c r="C373" i="3"/>
  <c r="J372" i="3"/>
  <c r="Q369" i="3"/>
  <c r="P369" i="3"/>
  <c r="A372" i="6"/>
  <c r="B371" i="6"/>
  <c r="B371" i="11"/>
  <c r="A372" i="11"/>
  <c r="J373" i="6"/>
  <c r="P372" i="6"/>
  <c r="Q372" i="6"/>
  <c r="A372" i="4"/>
  <c r="B371" i="4"/>
  <c r="Y373" i="3" l="1"/>
  <c r="E373" i="3"/>
  <c r="A375" i="3"/>
  <c r="B374" i="3"/>
  <c r="D374" i="3"/>
  <c r="C374" i="3"/>
  <c r="J373" i="3"/>
  <c r="P370" i="3"/>
  <c r="Q370" i="3"/>
  <c r="B372" i="6"/>
  <c r="A373" i="6"/>
  <c r="A373" i="11"/>
  <c r="B372" i="11"/>
  <c r="P373" i="6"/>
  <c r="Q373" i="6"/>
  <c r="J374" i="6"/>
  <c r="B372" i="4"/>
  <c r="A373" i="4"/>
  <c r="Y374" i="3" l="1"/>
  <c r="E374" i="3"/>
  <c r="A376" i="3"/>
  <c r="B375" i="3"/>
  <c r="C375" i="3"/>
  <c r="D375" i="3"/>
  <c r="J374" i="3"/>
  <c r="P371" i="3"/>
  <c r="Q371" i="3"/>
  <c r="A374" i="6"/>
  <c r="B373" i="6"/>
  <c r="B373" i="11"/>
  <c r="A374" i="11"/>
  <c r="J375" i="6"/>
  <c r="P374" i="6"/>
  <c r="Q374" i="6"/>
  <c r="A374" i="4"/>
  <c r="B373" i="4"/>
  <c r="Y375" i="3" l="1"/>
  <c r="E375" i="3"/>
  <c r="A377" i="3"/>
  <c r="B376" i="3"/>
  <c r="C376" i="3"/>
  <c r="D376" i="3"/>
  <c r="J375" i="3"/>
  <c r="P372" i="3"/>
  <c r="Q372" i="3"/>
  <c r="A375" i="6"/>
  <c r="B374" i="6"/>
  <c r="A375" i="11"/>
  <c r="B374" i="11"/>
  <c r="P375" i="6"/>
  <c r="Q375" i="6"/>
  <c r="J376" i="6"/>
  <c r="B374" i="4"/>
  <c r="A375" i="4"/>
  <c r="Y376" i="3" l="1"/>
  <c r="E376" i="3"/>
  <c r="A378" i="3"/>
  <c r="B377" i="3"/>
  <c r="C377" i="3"/>
  <c r="D377" i="3"/>
  <c r="J376" i="3"/>
  <c r="P373" i="3"/>
  <c r="Q373" i="3"/>
  <c r="A376" i="6"/>
  <c r="B375" i="6"/>
  <c r="B375" i="11"/>
  <c r="A376" i="11"/>
  <c r="J377" i="6"/>
  <c r="P376" i="6"/>
  <c r="Q376" i="6"/>
  <c r="A376" i="4"/>
  <c r="B375" i="4"/>
  <c r="Y377" i="3" l="1"/>
  <c r="E377" i="3"/>
  <c r="A379" i="3"/>
  <c r="B378" i="3"/>
  <c r="C378" i="3"/>
  <c r="D378" i="3"/>
  <c r="J377" i="3"/>
  <c r="P374" i="3"/>
  <c r="Q374" i="3"/>
  <c r="A377" i="6"/>
  <c r="B376" i="6"/>
  <c r="B376" i="11"/>
  <c r="A377" i="11"/>
  <c r="P377" i="6"/>
  <c r="Q377" i="6"/>
  <c r="J378" i="6"/>
  <c r="A377" i="4"/>
  <c r="B376" i="4"/>
  <c r="Y378" i="3" l="1"/>
  <c r="E378" i="3"/>
  <c r="A380" i="3"/>
  <c r="B379" i="3"/>
  <c r="C379" i="3"/>
  <c r="D379" i="3"/>
  <c r="J378" i="3"/>
  <c r="P375" i="3"/>
  <c r="Q375" i="3"/>
  <c r="A378" i="6"/>
  <c r="B377" i="6"/>
  <c r="A378" i="11"/>
  <c r="B377" i="11"/>
  <c r="Q378" i="6"/>
  <c r="J379" i="6"/>
  <c r="P378" i="6"/>
  <c r="A378" i="4"/>
  <c r="B377" i="4"/>
  <c r="Y379" i="3" l="1"/>
  <c r="E379" i="3"/>
  <c r="A381" i="3"/>
  <c r="B380" i="3"/>
  <c r="D380" i="3"/>
  <c r="C380" i="3"/>
  <c r="J379" i="3"/>
  <c r="Q376" i="3"/>
  <c r="P376" i="3"/>
  <c r="B378" i="6"/>
  <c r="A379" i="6"/>
  <c r="A379" i="11"/>
  <c r="B378" i="11"/>
  <c r="J380" i="6"/>
  <c r="P379" i="6"/>
  <c r="Q379" i="6"/>
  <c r="A379" i="4"/>
  <c r="B378" i="4"/>
  <c r="Y380" i="3" l="1"/>
  <c r="E380" i="3"/>
  <c r="A382" i="3"/>
  <c r="B381" i="3"/>
  <c r="C381" i="3"/>
  <c r="D381" i="3"/>
  <c r="J380" i="3"/>
  <c r="Q377" i="3"/>
  <c r="P377" i="3"/>
  <c r="B379" i="6"/>
  <c r="A380" i="6"/>
  <c r="B379" i="11"/>
  <c r="A380" i="11"/>
  <c r="P380" i="6"/>
  <c r="Q380" i="6"/>
  <c r="J381" i="6"/>
  <c r="A380" i="4"/>
  <c r="B379" i="4"/>
  <c r="Y381" i="3" l="1"/>
  <c r="E381" i="3"/>
  <c r="A383" i="3"/>
  <c r="B382" i="3"/>
  <c r="D382" i="3"/>
  <c r="C382" i="3"/>
  <c r="J381" i="3"/>
  <c r="Q378" i="3"/>
  <c r="P378" i="3"/>
  <c r="B380" i="6"/>
  <c r="A381" i="6"/>
  <c r="A381" i="11"/>
  <c r="B380" i="11"/>
  <c r="J382" i="6"/>
  <c r="P381" i="6"/>
  <c r="Q381" i="6"/>
  <c r="A381" i="4"/>
  <c r="B380" i="4"/>
  <c r="Y382" i="3" l="1"/>
  <c r="E382" i="3"/>
  <c r="A384" i="3"/>
  <c r="B383" i="3"/>
  <c r="C383" i="3"/>
  <c r="D383" i="3"/>
  <c r="J382" i="3"/>
  <c r="Q379" i="3"/>
  <c r="P379" i="3"/>
  <c r="B381" i="6"/>
  <c r="A382" i="6"/>
  <c r="A382" i="11"/>
  <c r="B381" i="11"/>
  <c r="P382" i="6"/>
  <c r="Q382" i="6"/>
  <c r="J383" i="6"/>
  <c r="A382" i="4"/>
  <c r="B381" i="4"/>
  <c r="Y383" i="3" l="1"/>
  <c r="E383" i="3"/>
  <c r="A385" i="3"/>
  <c r="B384" i="3"/>
  <c r="C384" i="3"/>
  <c r="D384" i="3"/>
  <c r="J383" i="3"/>
  <c r="Q380" i="3"/>
  <c r="P380" i="3"/>
  <c r="A383" i="6"/>
  <c r="B382" i="6"/>
  <c r="B382" i="11"/>
  <c r="A383" i="11"/>
  <c r="J384" i="6"/>
  <c r="P383" i="6"/>
  <c r="Q383" i="6"/>
  <c r="A383" i="4"/>
  <c r="B382" i="4"/>
  <c r="Y384" i="3" l="1"/>
  <c r="E384" i="3"/>
  <c r="A386" i="3"/>
  <c r="B385" i="3"/>
  <c r="C385" i="3"/>
  <c r="D385" i="3"/>
  <c r="J384" i="3"/>
  <c r="Q381" i="3"/>
  <c r="P381" i="3"/>
  <c r="A384" i="6"/>
  <c r="B383" i="6"/>
  <c r="A384" i="11"/>
  <c r="B383" i="11"/>
  <c r="P384" i="6"/>
  <c r="Q384" i="6"/>
  <c r="J385" i="6"/>
  <c r="A384" i="4"/>
  <c r="B383" i="4"/>
  <c r="Y385" i="3" l="1"/>
  <c r="E385" i="3"/>
  <c r="A387" i="3"/>
  <c r="B386" i="3"/>
  <c r="D386" i="3"/>
  <c r="C386" i="3"/>
  <c r="J385" i="3"/>
  <c r="Q382" i="3"/>
  <c r="P382" i="3"/>
  <c r="A385" i="6"/>
  <c r="B384" i="6"/>
  <c r="A385" i="11"/>
  <c r="B384" i="11"/>
  <c r="J386" i="6"/>
  <c r="Q385" i="6"/>
  <c r="P385" i="6"/>
  <c r="A385" i="4"/>
  <c r="B384" i="4"/>
  <c r="Y386" i="3" l="1"/>
  <c r="E386" i="3"/>
  <c r="A388" i="3"/>
  <c r="B387" i="3"/>
  <c r="D387" i="3"/>
  <c r="C387" i="3"/>
  <c r="J386" i="3"/>
  <c r="Q383" i="3"/>
  <c r="P383" i="3"/>
  <c r="A386" i="6"/>
  <c r="B385" i="6"/>
  <c r="A386" i="11"/>
  <c r="B385" i="11"/>
  <c r="P386" i="6"/>
  <c r="Q386" i="6"/>
  <c r="J387" i="6"/>
  <c r="A386" i="4"/>
  <c r="B385" i="4"/>
  <c r="Y387" i="3" l="1"/>
  <c r="E387" i="3"/>
  <c r="A389" i="3"/>
  <c r="B388" i="3"/>
  <c r="C388" i="3"/>
  <c r="D388" i="3"/>
  <c r="J387" i="3"/>
  <c r="Q384" i="3"/>
  <c r="P384" i="3"/>
  <c r="A387" i="6"/>
  <c r="B386" i="6"/>
  <c r="B386" i="11"/>
  <c r="A387" i="11"/>
  <c r="P387" i="6"/>
  <c r="Q387" i="6"/>
  <c r="J388" i="6"/>
  <c r="A387" i="4"/>
  <c r="B386" i="4"/>
  <c r="Y388" i="3" l="1"/>
  <c r="E388" i="3"/>
  <c r="A390" i="3"/>
  <c r="B389" i="3"/>
  <c r="D389" i="3"/>
  <c r="C389" i="3"/>
  <c r="J388" i="3"/>
  <c r="Q385" i="3"/>
  <c r="P385" i="3"/>
  <c r="A388" i="6"/>
  <c r="B387" i="6"/>
  <c r="B387" i="11"/>
  <c r="A388" i="11"/>
  <c r="J389" i="6"/>
  <c r="P388" i="6"/>
  <c r="Q388" i="6"/>
  <c r="B387" i="4"/>
  <c r="A388" i="4"/>
  <c r="Y389" i="3" l="1"/>
  <c r="E389" i="3"/>
  <c r="A391" i="3"/>
  <c r="B390" i="3"/>
  <c r="D390" i="3"/>
  <c r="C390" i="3"/>
  <c r="J389" i="3"/>
  <c r="Q386" i="3"/>
  <c r="P386" i="3"/>
  <c r="A389" i="6"/>
  <c r="B388" i="6"/>
  <c r="A389" i="11"/>
  <c r="B388" i="11"/>
  <c r="P389" i="6"/>
  <c r="Q389" i="6"/>
  <c r="J390" i="6"/>
  <c r="B388" i="4"/>
  <c r="A389" i="4"/>
  <c r="Y390" i="3" l="1"/>
  <c r="E390" i="3"/>
  <c r="A392" i="3"/>
  <c r="B391" i="3"/>
  <c r="C391" i="3"/>
  <c r="D391" i="3"/>
  <c r="J390" i="3"/>
  <c r="Q387" i="3"/>
  <c r="P387" i="3"/>
  <c r="A390" i="6"/>
  <c r="B389" i="6"/>
  <c r="B389" i="11"/>
  <c r="A390" i="11"/>
  <c r="J391" i="6"/>
  <c r="P390" i="6"/>
  <c r="Q390" i="6"/>
  <c r="A390" i="4"/>
  <c r="B389" i="4"/>
  <c r="Y391" i="3" l="1"/>
  <c r="E391" i="3"/>
  <c r="A393" i="3"/>
  <c r="B392" i="3"/>
  <c r="C392" i="3"/>
  <c r="D392" i="3"/>
  <c r="J391" i="3"/>
  <c r="Q388" i="3"/>
  <c r="P388" i="3"/>
  <c r="A391" i="6"/>
  <c r="B390" i="6"/>
  <c r="A391" i="11"/>
  <c r="B390" i="11"/>
  <c r="P391" i="6"/>
  <c r="Q391" i="6"/>
  <c r="J392" i="6"/>
  <c r="A391" i="4"/>
  <c r="B390" i="4"/>
  <c r="Y392" i="3" l="1"/>
  <c r="E392" i="3"/>
  <c r="A394" i="3"/>
  <c r="B393" i="3"/>
  <c r="C393" i="3"/>
  <c r="D393" i="3"/>
  <c r="J392" i="3"/>
  <c r="P389" i="3"/>
  <c r="Q389" i="3"/>
  <c r="A392" i="6"/>
  <c r="B391" i="6"/>
  <c r="B391" i="11"/>
  <c r="A392" i="11"/>
  <c r="J393" i="6"/>
  <c r="P392" i="6"/>
  <c r="Q392" i="6"/>
  <c r="A392" i="4"/>
  <c r="B391" i="4"/>
  <c r="Y393" i="3" l="1"/>
  <c r="E393" i="3"/>
  <c r="A395" i="3"/>
  <c r="B394" i="3"/>
  <c r="D394" i="3"/>
  <c r="C394" i="3"/>
  <c r="J393" i="3"/>
  <c r="P390" i="3"/>
  <c r="Q390" i="3"/>
  <c r="B392" i="6"/>
  <c r="A393" i="6"/>
  <c r="B392" i="11"/>
  <c r="A393" i="11"/>
  <c r="P393" i="6"/>
  <c r="Q393" i="6"/>
  <c r="J394" i="6"/>
  <c r="A393" i="4"/>
  <c r="B392" i="4"/>
  <c r="Y394" i="3" l="1"/>
  <c r="E394" i="3"/>
  <c r="A396" i="3"/>
  <c r="B395" i="3"/>
  <c r="D395" i="3"/>
  <c r="C395" i="3"/>
  <c r="J394" i="3"/>
  <c r="P391" i="3"/>
  <c r="Q391" i="3"/>
  <c r="B393" i="6"/>
  <c r="A394" i="6"/>
  <c r="A394" i="11"/>
  <c r="B393" i="11"/>
  <c r="Q394" i="6"/>
  <c r="J395" i="6"/>
  <c r="P394" i="6"/>
  <c r="A394" i="4"/>
  <c r="B393" i="4"/>
  <c r="Y395" i="3" l="1"/>
  <c r="E395" i="3"/>
  <c r="A397" i="3"/>
  <c r="B396" i="3"/>
  <c r="D396" i="3"/>
  <c r="C396" i="3"/>
  <c r="J395" i="3"/>
  <c r="P392" i="3"/>
  <c r="Q392" i="3"/>
  <c r="A395" i="6"/>
  <c r="B394" i="6"/>
  <c r="A395" i="11"/>
  <c r="B394" i="11"/>
  <c r="J396" i="6"/>
  <c r="P395" i="6"/>
  <c r="Q395" i="6"/>
  <c r="B394" i="4"/>
  <c r="A395" i="4"/>
  <c r="Y396" i="3" l="1"/>
  <c r="E396" i="3"/>
  <c r="A398" i="3"/>
  <c r="B397" i="3"/>
  <c r="D397" i="3"/>
  <c r="C397" i="3"/>
  <c r="J396" i="3"/>
  <c r="P393" i="3"/>
  <c r="Q393" i="3"/>
  <c r="A396" i="6"/>
  <c r="B395" i="6"/>
  <c r="B395" i="11"/>
  <c r="A396" i="11"/>
  <c r="P396" i="6"/>
  <c r="Q396" i="6"/>
  <c r="J397" i="6"/>
  <c r="A396" i="4"/>
  <c r="B395" i="4"/>
  <c r="Y397" i="3" l="1"/>
  <c r="E397" i="3"/>
  <c r="A399" i="3"/>
  <c r="B398" i="3"/>
  <c r="D398" i="3"/>
  <c r="C398" i="3"/>
  <c r="J397" i="3"/>
  <c r="P394" i="3"/>
  <c r="Q394" i="3"/>
  <c r="A397" i="6"/>
  <c r="B396" i="6"/>
  <c r="A397" i="11"/>
  <c r="B396" i="11"/>
  <c r="J398" i="6"/>
  <c r="Q397" i="6"/>
  <c r="P397" i="6"/>
  <c r="A397" i="4"/>
  <c r="B396" i="4"/>
  <c r="Y398" i="3" l="1"/>
  <c r="E398" i="3"/>
  <c r="A400" i="3"/>
  <c r="B399" i="3"/>
  <c r="D399" i="3"/>
  <c r="C399" i="3"/>
  <c r="J398" i="3"/>
  <c r="P395" i="3"/>
  <c r="Q395" i="3"/>
  <c r="A398" i="6"/>
  <c r="B397" i="6"/>
  <c r="A398" i="11"/>
  <c r="B397" i="11"/>
  <c r="P398" i="6"/>
  <c r="Q398" i="6"/>
  <c r="J399" i="6"/>
  <c r="A398" i="4"/>
  <c r="B397" i="4"/>
  <c r="Y399" i="3" l="1"/>
  <c r="E399" i="3"/>
  <c r="A401" i="3"/>
  <c r="B400" i="3"/>
  <c r="D400" i="3"/>
  <c r="C400" i="3"/>
  <c r="J399" i="3"/>
  <c r="P396" i="3"/>
  <c r="Q396" i="3"/>
  <c r="B398" i="6"/>
  <c r="A399" i="6"/>
  <c r="B398" i="11"/>
  <c r="A399" i="11"/>
  <c r="J400" i="6"/>
  <c r="P399" i="6"/>
  <c r="Q399" i="6"/>
  <c r="A399" i="4"/>
  <c r="B398" i="4"/>
  <c r="Y400" i="3" l="1"/>
  <c r="E400" i="3"/>
  <c r="A402" i="3"/>
  <c r="B401" i="3"/>
  <c r="C401" i="3"/>
  <c r="D401" i="3"/>
  <c r="J400" i="3"/>
  <c r="Q397" i="3"/>
  <c r="P397" i="3"/>
  <c r="B399" i="6"/>
  <c r="A400" i="6"/>
  <c r="B399" i="11"/>
  <c r="A400" i="11"/>
  <c r="P400" i="6"/>
  <c r="Q400" i="6"/>
  <c r="J401" i="6"/>
  <c r="B399" i="4"/>
  <c r="A400" i="4"/>
  <c r="Y401" i="3" l="1"/>
  <c r="E401" i="3"/>
  <c r="A403" i="3"/>
  <c r="B402" i="3"/>
  <c r="D402" i="3"/>
  <c r="C402" i="3"/>
  <c r="J401" i="3"/>
  <c r="P398" i="3"/>
  <c r="Q398" i="3"/>
  <c r="A401" i="6"/>
  <c r="B400" i="6"/>
  <c r="A401" i="11"/>
  <c r="B400" i="11"/>
  <c r="J402" i="6"/>
  <c r="Q401" i="6"/>
  <c r="P401" i="6"/>
  <c r="A401" i="4"/>
  <c r="B400" i="4"/>
  <c r="Y402" i="3" l="1"/>
  <c r="E402" i="3"/>
  <c r="A404" i="3"/>
  <c r="B403" i="3"/>
  <c r="C403" i="3"/>
  <c r="D403" i="3"/>
  <c r="J402" i="3"/>
  <c r="Q399" i="3"/>
  <c r="P399" i="3"/>
  <c r="B401" i="6"/>
  <c r="A402" i="6"/>
  <c r="A402" i="11"/>
  <c r="B401" i="11"/>
  <c r="P402" i="6"/>
  <c r="Q402" i="6"/>
  <c r="J403" i="6"/>
  <c r="A402" i="4"/>
  <c r="B401" i="4"/>
  <c r="Y403" i="3" l="1"/>
  <c r="E403" i="3"/>
  <c r="A405" i="3"/>
  <c r="B404" i="3"/>
  <c r="C404" i="3"/>
  <c r="D404" i="3"/>
  <c r="J403" i="3"/>
  <c r="Q400" i="3"/>
  <c r="P400" i="3"/>
  <c r="A403" i="6"/>
  <c r="B402" i="6"/>
  <c r="B402" i="11"/>
  <c r="A403" i="11"/>
  <c r="P403" i="6"/>
  <c r="Q403" i="6"/>
  <c r="J404" i="6"/>
  <c r="A403" i="4"/>
  <c r="B402" i="4"/>
  <c r="Y404" i="3" l="1"/>
  <c r="E404" i="3"/>
  <c r="A406" i="3"/>
  <c r="B405" i="3"/>
  <c r="D405" i="3"/>
  <c r="C405" i="3"/>
  <c r="J404" i="3"/>
  <c r="Q401" i="3"/>
  <c r="P401" i="3"/>
  <c r="B403" i="6"/>
  <c r="A404" i="6"/>
  <c r="B403" i="11"/>
  <c r="A404" i="11"/>
  <c r="J405" i="6"/>
  <c r="P404" i="6"/>
  <c r="Q404" i="6"/>
  <c r="B403" i="4"/>
  <c r="A404" i="4"/>
  <c r="Y405" i="3" l="1"/>
  <c r="E405" i="3"/>
  <c r="A407" i="3"/>
  <c r="B406" i="3"/>
  <c r="C406" i="3"/>
  <c r="D406" i="3"/>
  <c r="J405" i="3"/>
  <c r="P402" i="3"/>
  <c r="Q402" i="3"/>
  <c r="A405" i="6"/>
  <c r="B404" i="6"/>
  <c r="A405" i="11"/>
  <c r="B404" i="11"/>
  <c r="P405" i="6"/>
  <c r="Q405" i="6"/>
  <c r="J406" i="6"/>
  <c r="A405" i="4"/>
  <c r="B404" i="4"/>
  <c r="Y406" i="3" l="1"/>
  <c r="E406" i="3"/>
  <c r="A408" i="3"/>
  <c r="B407" i="3"/>
  <c r="C407" i="3"/>
  <c r="D407" i="3"/>
  <c r="J406" i="3"/>
  <c r="P403" i="3"/>
  <c r="Q403" i="3"/>
  <c r="B405" i="6"/>
  <c r="A406" i="6"/>
  <c r="B405" i="11"/>
  <c r="A406" i="11"/>
  <c r="J407" i="6"/>
  <c r="P406" i="6"/>
  <c r="Q406" i="6"/>
  <c r="A406" i="4"/>
  <c r="B405" i="4"/>
  <c r="Y407" i="3" l="1"/>
  <c r="E407" i="3"/>
  <c r="A409" i="3"/>
  <c r="B408" i="3"/>
  <c r="C408" i="3"/>
  <c r="D408" i="3"/>
  <c r="J407" i="3"/>
  <c r="Q404" i="3"/>
  <c r="P404" i="3"/>
  <c r="A407" i="6"/>
  <c r="B406" i="6"/>
  <c r="A407" i="11"/>
  <c r="B406" i="11"/>
  <c r="P407" i="6"/>
  <c r="Q407" i="6"/>
  <c r="J408" i="6"/>
  <c r="A407" i="4"/>
  <c r="B406" i="4"/>
  <c r="Y408" i="3" l="1"/>
  <c r="E408" i="3"/>
  <c r="A410" i="3"/>
  <c r="B409" i="3"/>
  <c r="C409" i="3"/>
  <c r="D409" i="3"/>
  <c r="J408" i="3"/>
  <c r="P405" i="3"/>
  <c r="Q405" i="3"/>
  <c r="A408" i="6"/>
  <c r="B407" i="6"/>
  <c r="A408" i="11"/>
  <c r="B407" i="11"/>
  <c r="J409" i="6"/>
  <c r="P408" i="6"/>
  <c r="Q408" i="6"/>
  <c r="A408" i="4"/>
  <c r="B407" i="4"/>
  <c r="Y409" i="3" l="1"/>
  <c r="E409" i="3"/>
  <c r="A411" i="3"/>
  <c r="B410" i="3"/>
  <c r="D410" i="3"/>
  <c r="C410" i="3"/>
  <c r="J409" i="3"/>
  <c r="Q406" i="3"/>
  <c r="P406" i="3"/>
  <c r="A409" i="6"/>
  <c r="B408" i="6"/>
  <c r="B408" i="11"/>
  <c r="A409" i="11"/>
  <c r="P409" i="6"/>
  <c r="Q409" i="6"/>
  <c r="J410" i="6"/>
  <c r="A409" i="4"/>
  <c r="B408" i="4"/>
  <c r="Y410" i="3" l="1"/>
  <c r="E410" i="3"/>
  <c r="A412" i="3"/>
  <c r="B411" i="3"/>
  <c r="D411" i="3"/>
  <c r="C411" i="3"/>
  <c r="J410" i="3"/>
  <c r="Q407" i="3"/>
  <c r="P407" i="3"/>
  <c r="B409" i="6"/>
  <c r="A410" i="6"/>
  <c r="A410" i="11"/>
  <c r="B409" i="11"/>
  <c r="Q410" i="6"/>
  <c r="J411" i="6"/>
  <c r="P410" i="6"/>
  <c r="A410" i="4"/>
  <c r="B409" i="4"/>
  <c r="Y411" i="3" l="1"/>
  <c r="E411" i="3"/>
  <c r="A413" i="3"/>
  <c r="B412" i="3"/>
  <c r="D412" i="3"/>
  <c r="C412" i="3"/>
  <c r="J411" i="3"/>
  <c r="Q408" i="3"/>
  <c r="P408" i="3"/>
  <c r="A411" i="6"/>
  <c r="B410" i="6"/>
  <c r="A411" i="11"/>
  <c r="B410" i="11"/>
  <c r="J412" i="6"/>
  <c r="P411" i="6"/>
  <c r="Q411" i="6"/>
  <c r="A411" i="4"/>
  <c r="B410" i="4"/>
  <c r="Y412" i="3" l="1"/>
  <c r="E412" i="3"/>
  <c r="A414" i="3"/>
  <c r="B413" i="3"/>
  <c r="D413" i="3"/>
  <c r="C413" i="3"/>
  <c r="J412" i="3"/>
  <c r="Q409" i="3"/>
  <c r="P409" i="3"/>
  <c r="A412" i="6"/>
  <c r="B411" i="6"/>
  <c r="B411" i="11"/>
  <c r="A412" i="11"/>
  <c r="P412" i="6"/>
  <c r="Q412" i="6"/>
  <c r="J413" i="6"/>
  <c r="A412" i="4"/>
  <c r="B411" i="4"/>
  <c r="Y413" i="3" l="1"/>
  <c r="E413" i="3"/>
  <c r="A415" i="3"/>
  <c r="B414" i="3"/>
  <c r="C414" i="3"/>
  <c r="D414" i="3"/>
  <c r="J413" i="3"/>
  <c r="P410" i="3"/>
  <c r="Q410" i="3"/>
  <c r="A413" i="6"/>
  <c r="B412" i="6"/>
  <c r="A413" i="11"/>
  <c r="B412" i="11"/>
  <c r="J414" i="6"/>
  <c r="Q413" i="6"/>
  <c r="P413" i="6"/>
  <c r="A413" i="4"/>
  <c r="B412" i="4"/>
  <c r="Y414" i="3" l="1"/>
  <c r="E414" i="3"/>
  <c r="A416" i="3"/>
  <c r="B415" i="3"/>
  <c r="C415" i="3"/>
  <c r="D415" i="3"/>
  <c r="J414" i="3"/>
  <c r="P411" i="3"/>
  <c r="Q411" i="3"/>
  <c r="B413" i="6"/>
  <c r="A414" i="6"/>
  <c r="A414" i="11"/>
  <c r="B413" i="11"/>
  <c r="P414" i="6"/>
  <c r="J415" i="6"/>
  <c r="Q414" i="6"/>
  <c r="A414" i="4"/>
  <c r="B413" i="4"/>
  <c r="Y415" i="3" l="1"/>
  <c r="E415" i="3"/>
  <c r="A417" i="3"/>
  <c r="B416" i="3"/>
  <c r="D416" i="3"/>
  <c r="C416" i="3"/>
  <c r="J415" i="3"/>
  <c r="Q412" i="3"/>
  <c r="P412" i="3"/>
  <c r="B414" i="6"/>
  <c r="A415" i="6"/>
  <c r="B414" i="11"/>
  <c r="A415" i="11"/>
  <c r="P415" i="6"/>
  <c r="Q415" i="6"/>
  <c r="J416" i="6"/>
  <c r="A415" i="4"/>
  <c r="B414" i="4"/>
  <c r="Y416" i="3" l="1"/>
  <c r="E416" i="3"/>
  <c r="A418" i="3"/>
  <c r="B417" i="3"/>
  <c r="D417" i="3"/>
  <c r="C417" i="3"/>
  <c r="J416" i="3"/>
  <c r="Q413" i="3"/>
  <c r="P413" i="3"/>
  <c r="A416" i="6"/>
  <c r="B415" i="6"/>
  <c r="A416" i="11"/>
  <c r="B415" i="11"/>
  <c r="P416" i="6"/>
  <c r="Q416" i="6"/>
  <c r="J417" i="6"/>
  <c r="B415" i="4"/>
  <c r="A416" i="4"/>
  <c r="Y417" i="3" l="1"/>
  <c r="E417" i="3"/>
  <c r="A419" i="3"/>
  <c r="B418" i="3"/>
  <c r="D418" i="3"/>
  <c r="C418" i="3"/>
  <c r="J417" i="3"/>
  <c r="P414" i="3"/>
  <c r="Q414" i="3"/>
  <c r="A417" i="6"/>
  <c r="B416" i="6"/>
  <c r="A417" i="11"/>
  <c r="B416" i="11"/>
  <c r="J418" i="6"/>
  <c r="Q417" i="6"/>
  <c r="P417" i="6"/>
  <c r="A417" i="4"/>
  <c r="B416" i="4"/>
  <c r="Y418" i="3" l="1"/>
  <c r="E418" i="3"/>
  <c r="A420" i="3"/>
  <c r="B419" i="3"/>
  <c r="C419" i="3"/>
  <c r="D419" i="3"/>
  <c r="J418" i="3"/>
  <c r="P415" i="3"/>
  <c r="Q415" i="3"/>
  <c r="A418" i="6"/>
  <c r="B417" i="6"/>
  <c r="A418" i="11"/>
  <c r="B417" i="11"/>
  <c r="P418" i="6"/>
  <c r="Q418" i="6"/>
  <c r="J419" i="6"/>
  <c r="B417" i="4"/>
  <c r="A418" i="4"/>
  <c r="Y419" i="3" l="1"/>
  <c r="E419" i="3"/>
  <c r="A421" i="3"/>
  <c r="B420" i="3"/>
  <c r="D420" i="3"/>
  <c r="C420" i="3"/>
  <c r="J419" i="3"/>
  <c r="P416" i="3"/>
  <c r="Q416" i="3"/>
  <c r="A419" i="6"/>
  <c r="B418" i="6"/>
  <c r="A419" i="11"/>
  <c r="B418" i="11"/>
  <c r="P419" i="6"/>
  <c r="Q419" i="6"/>
  <c r="J420" i="6"/>
  <c r="A419" i="4"/>
  <c r="B418" i="4"/>
  <c r="Y420" i="3" l="1"/>
  <c r="E420" i="3"/>
  <c r="A422" i="3"/>
  <c r="B421" i="3"/>
  <c r="D421" i="3"/>
  <c r="C421" i="3"/>
  <c r="J420" i="3"/>
  <c r="P417" i="3"/>
  <c r="Q417" i="3"/>
  <c r="B419" i="6"/>
  <c r="A420" i="6"/>
  <c r="B419" i="11"/>
  <c r="A420" i="11"/>
  <c r="J421" i="6"/>
  <c r="P420" i="6"/>
  <c r="Q420" i="6"/>
  <c r="A420" i="4"/>
  <c r="B419" i="4"/>
  <c r="Y421" i="3" l="1"/>
  <c r="E421" i="3"/>
  <c r="A423" i="3"/>
  <c r="B422" i="3"/>
  <c r="C422" i="3"/>
  <c r="D422" i="3"/>
  <c r="J421" i="3"/>
  <c r="Q418" i="3"/>
  <c r="P418" i="3"/>
  <c r="A421" i="6"/>
  <c r="B420" i="6"/>
  <c r="A421" i="11"/>
  <c r="B420" i="11"/>
  <c r="P421" i="6"/>
  <c r="Q421" i="6"/>
  <c r="J422" i="6"/>
  <c r="A421" i="4"/>
  <c r="B420" i="4"/>
  <c r="Y422" i="3" l="1"/>
  <c r="E422" i="3"/>
  <c r="A424" i="3"/>
  <c r="B423" i="3"/>
  <c r="C423" i="3"/>
  <c r="D423" i="3"/>
  <c r="J422" i="3"/>
  <c r="Q419" i="3"/>
  <c r="P419" i="3"/>
  <c r="A422" i="6"/>
  <c r="B421" i="6"/>
  <c r="B421" i="11"/>
  <c r="A422" i="11"/>
  <c r="J423" i="6"/>
  <c r="P422" i="6"/>
  <c r="Q422" i="6"/>
  <c r="A422" i="4"/>
  <c r="B421" i="4"/>
  <c r="Y423" i="3" l="1"/>
  <c r="E423" i="3"/>
  <c r="A425" i="3"/>
  <c r="B424" i="3"/>
  <c r="C424" i="3"/>
  <c r="D424" i="3"/>
  <c r="J423" i="3"/>
  <c r="P420" i="3"/>
  <c r="Q420" i="3"/>
  <c r="A423" i="6"/>
  <c r="B422" i="6"/>
  <c r="A423" i="11"/>
  <c r="B422" i="11"/>
  <c r="Q423" i="6"/>
  <c r="J424" i="6"/>
  <c r="P423" i="6"/>
  <c r="A423" i="4"/>
  <c r="B422" i="4"/>
  <c r="Y424" i="3" l="1"/>
  <c r="E424" i="3"/>
  <c r="A426" i="3"/>
  <c r="B425" i="3"/>
  <c r="C425" i="3"/>
  <c r="D425" i="3"/>
  <c r="J424" i="3"/>
  <c r="P421" i="3"/>
  <c r="Q421" i="3"/>
  <c r="A424" i="6"/>
  <c r="B423" i="6"/>
  <c r="B423" i="11"/>
  <c r="A424" i="11"/>
  <c r="J425" i="6"/>
  <c r="P424" i="6"/>
  <c r="Q424" i="6"/>
  <c r="A424" i="4"/>
  <c r="B423" i="4"/>
  <c r="Y425" i="3" l="1"/>
  <c r="E425" i="3"/>
  <c r="A427" i="3"/>
  <c r="B426" i="3"/>
  <c r="C426" i="3"/>
  <c r="D426" i="3"/>
  <c r="J425" i="3"/>
  <c r="P422" i="3"/>
  <c r="Q422" i="3"/>
  <c r="A425" i="6"/>
  <c r="B424" i="6"/>
  <c r="B424" i="11"/>
  <c r="A425" i="11"/>
  <c r="P425" i="6"/>
  <c r="Q425" i="6"/>
  <c r="J426" i="6"/>
  <c r="A425" i="4"/>
  <c r="B424" i="4"/>
  <c r="Y426" i="3" l="1"/>
  <c r="E426" i="3"/>
  <c r="A428" i="3"/>
  <c r="B427" i="3"/>
  <c r="D427" i="3"/>
  <c r="C427" i="3"/>
  <c r="J426" i="3"/>
  <c r="Q423" i="3"/>
  <c r="P423" i="3"/>
  <c r="A426" i="6"/>
  <c r="B425" i="6"/>
  <c r="A426" i="11"/>
  <c r="B425" i="11"/>
  <c r="Q426" i="6"/>
  <c r="J427" i="6"/>
  <c r="P426" i="6"/>
  <c r="A426" i="4"/>
  <c r="B425" i="4"/>
  <c r="Y427" i="3" l="1"/>
  <c r="E427" i="3"/>
  <c r="A429" i="3"/>
  <c r="B428" i="3"/>
  <c r="D428" i="3"/>
  <c r="C428" i="3"/>
  <c r="J427" i="3"/>
  <c r="P424" i="3"/>
  <c r="Q424" i="3"/>
  <c r="A427" i="6"/>
  <c r="B426" i="6"/>
  <c r="A427" i="11"/>
  <c r="B426" i="11"/>
  <c r="J428" i="6"/>
  <c r="P427" i="6"/>
  <c r="Q427" i="6"/>
  <c r="B426" i="4"/>
  <c r="A427" i="4"/>
  <c r="Y428" i="3" l="1"/>
  <c r="E428" i="3"/>
  <c r="A430" i="3"/>
  <c r="B429" i="3"/>
  <c r="D429" i="3"/>
  <c r="C429" i="3"/>
  <c r="J428" i="3"/>
  <c r="Q425" i="3"/>
  <c r="P425" i="3"/>
  <c r="A428" i="6"/>
  <c r="B427" i="6"/>
  <c r="B427" i="11"/>
  <c r="A428" i="11"/>
  <c r="P428" i="6"/>
  <c r="Q428" i="6"/>
  <c r="J429" i="6"/>
  <c r="A428" i="4"/>
  <c r="B427" i="4"/>
  <c r="Y429" i="3" l="1"/>
  <c r="E429" i="3"/>
  <c r="A431" i="3"/>
  <c r="B430" i="3"/>
  <c r="D430" i="3"/>
  <c r="C430" i="3"/>
  <c r="J429" i="3"/>
  <c r="P426" i="3"/>
  <c r="Q426" i="3"/>
  <c r="A429" i="6"/>
  <c r="B428" i="6"/>
  <c r="A429" i="11"/>
  <c r="B428" i="11"/>
  <c r="J430" i="6"/>
  <c r="Q429" i="6"/>
  <c r="P429" i="6"/>
  <c r="A429" i="4"/>
  <c r="B428" i="4"/>
  <c r="Y430" i="3" l="1"/>
  <c r="E430" i="3"/>
  <c r="A432" i="3"/>
  <c r="B431" i="3"/>
  <c r="D431" i="3"/>
  <c r="C431" i="3"/>
  <c r="J430" i="3"/>
  <c r="P427" i="3"/>
  <c r="Q427" i="3"/>
  <c r="A430" i="6"/>
  <c r="B429" i="6"/>
  <c r="B429" i="11"/>
  <c r="A430" i="11"/>
  <c r="P430" i="6"/>
  <c r="J431" i="6"/>
  <c r="Q430" i="6"/>
  <c r="B429" i="4"/>
  <c r="A430" i="4"/>
  <c r="Y431" i="3" l="1"/>
  <c r="E431" i="3"/>
  <c r="A433" i="3"/>
  <c r="B432" i="3"/>
  <c r="D432" i="3"/>
  <c r="C432" i="3"/>
  <c r="J431" i="3"/>
  <c r="Q428" i="3"/>
  <c r="P428" i="3"/>
  <c r="A431" i="6"/>
  <c r="B430" i="6"/>
  <c r="A431" i="11"/>
  <c r="B430" i="11"/>
  <c r="P431" i="6"/>
  <c r="J432" i="6"/>
  <c r="Q431" i="6"/>
  <c r="A431" i="4"/>
  <c r="B430" i="4"/>
  <c r="Y432" i="3" l="1"/>
  <c r="E432" i="3"/>
  <c r="A434" i="3"/>
  <c r="B433" i="3"/>
  <c r="D433" i="3"/>
  <c r="C433" i="3"/>
  <c r="J432" i="3"/>
  <c r="Q429" i="3"/>
  <c r="P429" i="3"/>
  <c r="A432" i="6"/>
  <c r="B431" i="6"/>
  <c r="B431" i="11"/>
  <c r="A432" i="11"/>
  <c r="P432" i="6"/>
  <c r="Q432" i="6"/>
  <c r="J433" i="6"/>
  <c r="A432" i="4"/>
  <c r="B431" i="4"/>
  <c r="Y433" i="3" l="1"/>
  <c r="E433" i="3"/>
  <c r="A435" i="3"/>
  <c r="B434" i="3"/>
  <c r="C434" i="3"/>
  <c r="D434" i="3"/>
  <c r="J433" i="3"/>
  <c r="P430" i="3"/>
  <c r="Q430" i="3"/>
  <c r="A433" i="6"/>
  <c r="B432" i="6"/>
  <c r="A433" i="11"/>
  <c r="B432" i="11"/>
  <c r="J434" i="6"/>
  <c r="Q433" i="6"/>
  <c r="P433" i="6"/>
  <c r="A433" i="4"/>
  <c r="B432" i="4"/>
  <c r="Y434" i="3" l="1"/>
  <c r="E434" i="3"/>
  <c r="A436" i="3"/>
  <c r="B435" i="3"/>
  <c r="C435" i="3"/>
  <c r="D435" i="3"/>
  <c r="J434" i="3"/>
  <c r="Q431" i="3"/>
  <c r="P431" i="3"/>
  <c r="A434" i="6"/>
  <c r="B433" i="6"/>
  <c r="B433" i="11"/>
  <c r="A434" i="11"/>
  <c r="P434" i="6"/>
  <c r="J435" i="6"/>
  <c r="Q434" i="6"/>
  <c r="B433" i="4"/>
  <c r="A434" i="4"/>
  <c r="Y435" i="3" l="1"/>
  <c r="E435" i="3"/>
  <c r="A437" i="3"/>
  <c r="B436" i="3"/>
  <c r="D436" i="3"/>
  <c r="C436" i="3"/>
  <c r="J435" i="3"/>
  <c r="Q432" i="3"/>
  <c r="P432" i="3"/>
  <c r="A435" i="6"/>
  <c r="B434" i="6"/>
  <c r="A435" i="11"/>
  <c r="B434" i="11"/>
  <c r="P435" i="6"/>
  <c r="Q435" i="6"/>
  <c r="J436" i="6"/>
  <c r="B434" i="4"/>
  <c r="A435" i="4"/>
  <c r="Y436" i="3" l="1"/>
  <c r="E436" i="3"/>
  <c r="A438" i="3"/>
  <c r="B437" i="3"/>
  <c r="C437" i="3"/>
  <c r="D437" i="3"/>
  <c r="J436" i="3"/>
  <c r="P433" i="3"/>
  <c r="Q433" i="3"/>
  <c r="B435" i="6"/>
  <c r="A436" i="6"/>
  <c r="B435" i="11"/>
  <c r="A436" i="11"/>
  <c r="J437" i="6"/>
  <c r="Q436" i="6"/>
  <c r="P436" i="6"/>
  <c r="A436" i="4"/>
  <c r="B435" i="4"/>
  <c r="Y437" i="3" l="1"/>
  <c r="E437" i="3"/>
  <c r="A439" i="3"/>
  <c r="B438" i="3"/>
  <c r="C438" i="3"/>
  <c r="D438" i="3"/>
  <c r="J437" i="3"/>
  <c r="P434" i="3"/>
  <c r="Q434" i="3"/>
  <c r="A437" i="6"/>
  <c r="B436" i="6"/>
  <c r="A437" i="11"/>
  <c r="B436" i="11"/>
  <c r="P437" i="6"/>
  <c r="Q437" i="6"/>
  <c r="J438" i="6"/>
  <c r="B436" i="4"/>
  <c r="A437" i="4"/>
  <c r="Y438" i="3" l="1"/>
  <c r="E438" i="3"/>
  <c r="A440" i="3"/>
  <c r="B439" i="3"/>
  <c r="C439" i="3"/>
  <c r="D439" i="3"/>
  <c r="J438" i="3"/>
  <c r="Q435" i="3"/>
  <c r="P435" i="3"/>
  <c r="A438" i="6"/>
  <c r="B437" i="6"/>
  <c r="A438" i="11"/>
  <c r="B437" i="11"/>
  <c r="J439" i="6"/>
  <c r="P438" i="6"/>
  <c r="Q438" i="6"/>
  <c r="A438" i="4"/>
  <c r="B437" i="4"/>
  <c r="Y439" i="3" l="1"/>
  <c r="E439" i="3"/>
  <c r="A441" i="3"/>
  <c r="B440" i="3"/>
  <c r="D440" i="3"/>
  <c r="C440" i="3"/>
  <c r="J439" i="3"/>
  <c r="P436" i="3"/>
  <c r="Q436" i="3"/>
  <c r="B438" i="6"/>
  <c r="A439" i="6"/>
  <c r="A439" i="11"/>
  <c r="B438" i="11"/>
  <c r="Q439" i="6"/>
  <c r="J440" i="6"/>
  <c r="P439" i="6"/>
  <c r="A439" i="4"/>
  <c r="B438" i="4"/>
  <c r="Y440" i="3" l="1"/>
  <c r="E440" i="3"/>
  <c r="A442" i="3"/>
  <c r="B441" i="3"/>
  <c r="D441" i="3"/>
  <c r="C441" i="3"/>
  <c r="J440" i="3"/>
  <c r="Q437" i="3"/>
  <c r="P437" i="3"/>
  <c r="A440" i="6"/>
  <c r="B439" i="6"/>
  <c r="A440" i="11"/>
  <c r="B439" i="11"/>
  <c r="J441" i="6"/>
  <c r="P440" i="6"/>
  <c r="Q440" i="6"/>
  <c r="A440" i="4"/>
  <c r="B439" i="4"/>
  <c r="Y441" i="3" l="1"/>
  <c r="E441" i="3"/>
  <c r="A443" i="3"/>
  <c r="B442" i="3"/>
  <c r="D442" i="3"/>
  <c r="C442" i="3"/>
  <c r="J441" i="3"/>
  <c r="Q438" i="3"/>
  <c r="P438" i="3"/>
  <c r="A441" i="6"/>
  <c r="B440" i="6"/>
  <c r="B440" i="11"/>
  <c r="A441" i="11"/>
  <c r="P441" i="6"/>
  <c r="Q441" i="6"/>
  <c r="J442" i="6"/>
  <c r="B440" i="4"/>
  <c r="A441" i="4"/>
  <c r="Y442" i="3" l="1"/>
  <c r="E442" i="3"/>
  <c r="A444" i="3"/>
  <c r="B443" i="3"/>
  <c r="D443" i="3"/>
  <c r="C443" i="3"/>
  <c r="J442" i="3"/>
  <c r="Q439" i="3"/>
  <c r="P439" i="3"/>
  <c r="A442" i="6"/>
  <c r="B441" i="6"/>
  <c r="B441" i="11"/>
  <c r="A442" i="11"/>
  <c r="Q442" i="6"/>
  <c r="J443" i="6"/>
  <c r="P442" i="6"/>
  <c r="A442" i="4"/>
  <c r="B441" i="4"/>
  <c r="Y443" i="3" l="1"/>
  <c r="E443" i="3"/>
  <c r="A445" i="3"/>
  <c r="B444" i="3"/>
  <c r="D444" i="3"/>
  <c r="C444" i="3"/>
  <c r="J443" i="3"/>
  <c r="P440" i="3"/>
  <c r="Q440" i="3"/>
  <c r="B442" i="6"/>
  <c r="A443" i="6"/>
  <c r="A443" i="11"/>
  <c r="B442" i="11"/>
  <c r="J444" i="6"/>
  <c r="P443" i="6"/>
  <c r="Q443" i="6"/>
  <c r="A443" i="4"/>
  <c r="B442" i="4"/>
  <c r="Y444" i="3" l="1"/>
  <c r="E444" i="3"/>
  <c r="A446" i="3"/>
  <c r="B445" i="3"/>
  <c r="C445" i="3"/>
  <c r="D445" i="3"/>
  <c r="J444" i="3"/>
  <c r="P441" i="3"/>
  <c r="Q441" i="3"/>
  <c r="A444" i="6"/>
  <c r="B443" i="6"/>
  <c r="B443" i="11"/>
  <c r="A444" i="11"/>
  <c r="P444" i="6"/>
  <c r="Q444" i="6"/>
  <c r="J445" i="6"/>
  <c r="B443" i="4"/>
  <c r="A444" i="4"/>
  <c r="Y445" i="3" l="1"/>
  <c r="E445" i="3"/>
  <c r="A447" i="3"/>
  <c r="B446" i="3"/>
  <c r="C446" i="3"/>
  <c r="D446" i="3"/>
  <c r="J445" i="3"/>
  <c r="Q442" i="3"/>
  <c r="P442" i="3"/>
  <c r="A445" i="6"/>
  <c r="B444" i="6"/>
  <c r="A445" i="11"/>
  <c r="B444" i="11"/>
  <c r="J446" i="6"/>
  <c r="Q445" i="6"/>
  <c r="P445" i="6"/>
  <c r="A445" i="4"/>
  <c r="B444" i="4"/>
  <c r="Y446" i="3" l="1"/>
  <c r="E446" i="3"/>
  <c r="A448" i="3"/>
  <c r="B447" i="3"/>
  <c r="D447" i="3"/>
  <c r="C447" i="3"/>
  <c r="J446" i="3"/>
  <c r="Q443" i="3"/>
  <c r="P443" i="3"/>
  <c r="A446" i="6"/>
  <c r="B445" i="6"/>
  <c r="B445" i="11"/>
  <c r="A446" i="11"/>
  <c r="P446" i="6"/>
  <c r="J447" i="6"/>
  <c r="Q446" i="6"/>
  <c r="A446" i="4"/>
  <c r="B445" i="4"/>
  <c r="Y447" i="3" l="1"/>
  <c r="E447" i="3"/>
  <c r="A449" i="3"/>
  <c r="B448" i="3"/>
  <c r="D448" i="3"/>
  <c r="C448" i="3"/>
  <c r="J447" i="3"/>
  <c r="Q444" i="3"/>
  <c r="P444" i="3"/>
  <c r="A447" i="6"/>
  <c r="B446" i="6"/>
  <c r="B446" i="11"/>
  <c r="A447" i="11"/>
  <c r="P447" i="6"/>
  <c r="Q447" i="6"/>
  <c r="J448" i="6"/>
  <c r="A447" i="4"/>
  <c r="B446" i="4"/>
  <c r="Y448" i="3" l="1"/>
  <c r="E448" i="3"/>
  <c r="A450" i="3"/>
  <c r="B449" i="3"/>
  <c r="D449" i="3"/>
  <c r="C449" i="3"/>
  <c r="J448" i="3"/>
  <c r="Q445" i="3"/>
  <c r="P445" i="3"/>
  <c r="A448" i="6"/>
  <c r="B447" i="6"/>
  <c r="A448" i="11"/>
  <c r="B447" i="11"/>
  <c r="P448" i="6"/>
  <c r="J449" i="6"/>
  <c r="Q448" i="6"/>
  <c r="A448" i="4"/>
  <c r="B447" i="4"/>
  <c r="Y449" i="3" l="1"/>
  <c r="E449" i="3"/>
  <c r="A451" i="3"/>
  <c r="B450" i="3"/>
  <c r="C450" i="3"/>
  <c r="D450" i="3"/>
  <c r="J449" i="3"/>
  <c r="P446" i="3"/>
  <c r="Q446" i="3"/>
  <c r="A449" i="6"/>
  <c r="B448" i="6"/>
  <c r="A449" i="11"/>
  <c r="B448" i="11"/>
  <c r="P449" i="6"/>
  <c r="Q449" i="6"/>
  <c r="J450" i="6"/>
  <c r="A449" i="4"/>
  <c r="B448" i="4"/>
  <c r="Y450" i="3" l="1"/>
  <c r="E450" i="3"/>
  <c r="A452" i="3"/>
  <c r="B451" i="3"/>
  <c r="C451" i="3"/>
  <c r="D451" i="3"/>
  <c r="J450" i="3"/>
  <c r="P447" i="3"/>
  <c r="Q447" i="3"/>
  <c r="B449" i="6"/>
  <c r="A450" i="6"/>
  <c r="B449" i="11"/>
  <c r="A450" i="11"/>
  <c r="P450" i="6"/>
  <c r="Q450" i="6"/>
  <c r="J451" i="6"/>
  <c r="B449" i="4"/>
  <c r="A450" i="4"/>
  <c r="Y451" i="3" l="1"/>
  <c r="E451" i="3"/>
  <c r="A453" i="3"/>
  <c r="B452" i="3"/>
  <c r="D452" i="3"/>
  <c r="C452" i="3"/>
  <c r="J451" i="3"/>
  <c r="Q448" i="3"/>
  <c r="P448" i="3"/>
  <c r="A451" i="6"/>
  <c r="B450" i="6"/>
  <c r="A451" i="11"/>
  <c r="B450" i="11"/>
  <c r="P451" i="6"/>
  <c r="Q451" i="6"/>
  <c r="J452" i="6"/>
  <c r="B450" i="4"/>
  <c r="A451" i="4"/>
  <c r="Y452" i="3" l="1"/>
  <c r="E452" i="3"/>
  <c r="A454" i="3"/>
  <c r="B453" i="3"/>
  <c r="C453" i="3"/>
  <c r="D453" i="3"/>
  <c r="J452" i="3"/>
  <c r="Q449" i="3"/>
  <c r="P449" i="3"/>
  <c r="A452" i="6"/>
  <c r="B451" i="6"/>
  <c r="A452" i="11"/>
  <c r="B451" i="11"/>
  <c r="J453" i="6"/>
  <c r="P452" i="6"/>
  <c r="Q452" i="6"/>
  <c r="B451" i="4"/>
  <c r="A452" i="4"/>
  <c r="Y453" i="3" l="1"/>
  <c r="E453" i="3"/>
  <c r="A455" i="3"/>
  <c r="B454" i="3"/>
  <c r="C454" i="3"/>
  <c r="D454" i="3"/>
  <c r="J453" i="3"/>
  <c r="P450" i="3"/>
  <c r="Q450" i="3"/>
  <c r="B452" i="6"/>
  <c r="A453" i="6"/>
  <c r="A453" i="11"/>
  <c r="B452" i="11"/>
  <c r="P453" i="6"/>
  <c r="Q453" i="6"/>
  <c r="J454" i="6"/>
  <c r="A453" i="4"/>
  <c r="B452" i="4"/>
  <c r="Y454" i="3" l="1"/>
  <c r="E454" i="3"/>
  <c r="A456" i="3"/>
  <c r="B455" i="3"/>
  <c r="D455" i="3"/>
  <c r="C455" i="3"/>
  <c r="J454" i="3"/>
  <c r="Q451" i="3"/>
  <c r="P451" i="3"/>
  <c r="A454" i="6"/>
  <c r="B453" i="6"/>
  <c r="A454" i="11"/>
  <c r="B453" i="11"/>
  <c r="J455" i="6"/>
  <c r="P454" i="6"/>
  <c r="Q454" i="6"/>
  <c r="A454" i="4"/>
  <c r="B453" i="4"/>
  <c r="Y455" i="3" l="1"/>
  <c r="E455" i="3"/>
  <c r="A457" i="3"/>
  <c r="B456" i="3"/>
  <c r="C456" i="3"/>
  <c r="D456" i="3"/>
  <c r="J455" i="3"/>
  <c r="P452" i="3"/>
  <c r="Q452" i="3"/>
  <c r="A455" i="6"/>
  <c r="B454" i="6"/>
  <c r="A455" i="11"/>
  <c r="B454" i="11"/>
  <c r="Q455" i="6"/>
  <c r="J456" i="6"/>
  <c r="P455" i="6"/>
  <c r="A455" i="4"/>
  <c r="B454" i="4"/>
  <c r="Y456" i="3" l="1"/>
  <c r="E456" i="3"/>
  <c r="A458" i="3"/>
  <c r="B457" i="3"/>
  <c r="D457" i="3"/>
  <c r="C457" i="3"/>
  <c r="J456" i="3"/>
  <c r="Q453" i="3"/>
  <c r="P453" i="3"/>
  <c r="B455" i="6"/>
  <c r="A456" i="6"/>
  <c r="A456" i="11"/>
  <c r="B455" i="11"/>
  <c r="J457" i="6"/>
  <c r="P456" i="6"/>
  <c r="Q456" i="6"/>
  <c r="A456" i="4"/>
  <c r="B455" i="4"/>
  <c r="Y457" i="3" l="1"/>
  <c r="E457" i="3"/>
  <c r="A459" i="3"/>
  <c r="B458" i="3"/>
  <c r="D458" i="3"/>
  <c r="C458" i="3"/>
  <c r="J457" i="3"/>
  <c r="P454" i="3"/>
  <c r="Q454" i="3"/>
  <c r="A457" i="6"/>
  <c r="B456" i="6"/>
  <c r="B456" i="11"/>
  <c r="A457" i="11"/>
  <c r="Q457" i="6"/>
  <c r="P457" i="6"/>
  <c r="J458" i="6"/>
  <c r="A457" i="4"/>
  <c r="B456" i="4"/>
  <c r="Y458" i="3" l="1"/>
  <c r="E458" i="3"/>
  <c r="A460" i="3"/>
  <c r="B459" i="3"/>
  <c r="D459" i="3"/>
  <c r="C459" i="3"/>
  <c r="J458" i="3"/>
  <c r="P455" i="3"/>
  <c r="Q455" i="3"/>
  <c r="B457" i="6"/>
  <c r="A458" i="6"/>
  <c r="B457" i="11"/>
  <c r="A458" i="11"/>
  <c r="Q458" i="6"/>
  <c r="J459" i="6"/>
  <c r="P458" i="6"/>
  <c r="A458" i="4"/>
  <c r="B457" i="4"/>
  <c r="Y459" i="3" l="1"/>
  <c r="E459" i="3"/>
  <c r="A461" i="3"/>
  <c r="B460" i="3"/>
  <c r="D460" i="3"/>
  <c r="C460" i="3"/>
  <c r="J459" i="3"/>
  <c r="P456" i="3"/>
  <c r="Q456" i="3"/>
  <c r="A459" i="6"/>
  <c r="B458" i="6"/>
  <c r="A459" i="11"/>
  <c r="B458" i="11"/>
  <c r="J460" i="6"/>
  <c r="P459" i="6"/>
  <c r="Q459" i="6"/>
  <c r="B458" i="4"/>
  <c r="A459" i="4"/>
  <c r="Y460" i="3" l="1"/>
  <c r="E460" i="3"/>
  <c r="A462" i="3"/>
  <c r="B461" i="3"/>
  <c r="C461" i="3"/>
  <c r="D461" i="3"/>
  <c r="J460" i="3"/>
  <c r="P457" i="3"/>
  <c r="Q457" i="3"/>
  <c r="A460" i="6"/>
  <c r="B459" i="6"/>
  <c r="A460" i="11"/>
  <c r="B459" i="11"/>
  <c r="P460" i="6"/>
  <c r="Q460" i="6"/>
  <c r="J461" i="6"/>
  <c r="B459" i="4"/>
  <c r="A460" i="4"/>
  <c r="Y461" i="3" l="1"/>
  <c r="E461" i="3"/>
  <c r="A463" i="3"/>
  <c r="B462" i="3"/>
  <c r="D462" i="3"/>
  <c r="C462" i="3"/>
  <c r="J461" i="3"/>
  <c r="P458" i="3"/>
  <c r="Q458" i="3"/>
  <c r="B460" i="6"/>
  <c r="A461" i="6"/>
  <c r="A461" i="11"/>
  <c r="B460" i="11"/>
  <c r="J462" i="6"/>
  <c r="Q461" i="6"/>
  <c r="P461" i="6"/>
  <c r="B460" i="4"/>
  <c r="A461" i="4"/>
  <c r="Y462" i="3" l="1"/>
  <c r="E462" i="3"/>
  <c r="A464" i="3"/>
  <c r="B463" i="3"/>
  <c r="D463" i="3"/>
  <c r="C463" i="3"/>
  <c r="J462" i="3"/>
  <c r="P459" i="3"/>
  <c r="Q459" i="3"/>
  <c r="B461" i="6"/>
  <c r="A462" i="6"/>
  <c r="B461" i="11"/>
  <c r="A462" i="11"/>
  <c r="P462" i="6"/>
  <c r="J463" i="6"/>
  <c r="Q462" i="6"/>
  <c r="B461" i="4"/>
  <c r="A462" i="4"/>
  <c r="Y463" i="3" l="1"/>
  <c r="E463" i="3"/>
  <c r="A465" i="3"/>
  <c r="B464" i="3"/>
  <c r="D464" i="3"/>
  <c r="C464" i="3"/>
  <c r="J463" i="3"/>
  <c r="Q460" i="3"/>
  <c r="P460" i="3"/>
  <c r="A463" i="6"/>
  <c r="B462" i="6"/>
  <c r="B462" i="11"/>
  <c r="A463" i="11"/>
  <c r="P463" i="6"/>
  <c r="Q463" i="6"/>
  <c r="J464" i="6"/>
  <c r="B462" i="4"/>
  <c r="A463" i="4"/>
  <c r="Y464" i="3" l="1"/>
  <c r="E464" i="3"/>
  <c r="A466" i="3"/>
  <c r="B465" i="3"/>
  <c r="D465" i="3"/>
  <c r="C465" i="3"/>
  <c r="J464" i="3"/>
  <c r="P461" i="3"/>
  <c r="Q461" i="3"/>
  <c r="A464" i="6"/>
  <c r="B463" i="6"/>
  <c r="A464" i="11"/>
  <c r="B463" i="11"/>
  <c r="P464" i="6"/>
  <c r="Q464" i="6"/>
  <c r="J465" i="6"/>
  <c r="B463" i="4"/>
  <c r="A464" i="4"/>
  <c r="Y465" i="3" l="1"/>
  <c r="E465" i="3"/>
  <c r="A467" i="3"/>
  <c r="B466" i="3"/>
  <c r="C466" i="3"/>
  <c r="D466" i="3"/>
  <c r="J465" i="3"/>
  <c r="P462" i="3"/>
  <c r="Q462" i="3"/>
  <c r="A465" i="6"/>
  <c r="B464" i="6"/>
  <c r="A465" i="11"/>
  <c r="B464" i="11"/>
  <c r="P465" i="6"/>
  <c r="Q465" i="6"/>
  <c r="J466" i="6"/>
  <c r="A465" i="4"/>
  <c r="B464" i="4"/>
  <c r="Y466" i="3" l="1"/>
  <c r="E466" i="3"/>
  <c r="A468" i="3"/>
  <c r="B467" i="3"/>
  <c r="C467" i="3"/>
  <c r="D467" i="3"/>
  <c r="J466" i="3"/>
  <c r="P463" i="3"/>
  <c r="Q463" i="3"/>
  <c r="A466" i="6"/>
  <c r="B465" i="6"/>
  <c r="B465" i="11"/>
  <c r="A466" i="11"/>
  <c r="P466" i="6"/>
  <c r="J467" i="6"/>
  <c r="Q466" i="6"/>
  <c r="A466" i="4"/>
  <c r="B465" i="4"/>
  <c r="Y467" i="3" l="1"/>
  <c r="E467" i="3"/>
  <c r="A469" i="3"/>
  <c r="B468" i="3"/>
  <c r="C468" i="3"/>
  <c r="D468" i="3"/>
  <c r="J467" i="3"/>
  <c r="P464" i="3"/>
  <c r="Q464" i="3"/>
  <c r="A467" i="6"/>
  <c r="B466" i="6"/>
  <c r="A467" i="11"/>
  <c r="B466" i="11"/>
  <c r="P467" i="6"/>
  <c r="Q467" i="6"/>
  <c r="J468" i="6"/>
  <c r="A467" i="4"/>
  <c r="B466" i="4"/>
  <c r="Y468" i="3" l="1"/>
  <c r="E468" i="3"/>
  <c r="A470" i="3"/>
  <c r="B469" i="3"/>
  <c r="C469" i="3"/>
  <c r="D469" i="3"/>
  <c r="J468" i="3"/>
  <c r="P465" i="3"/>
  <c r="Q465" i="3"/>
  <c r="A468" i="6"/>
  <c r="B467" i="6"/>
  <c r="A468" i="11"/>
  <c r="B467" i="11"/>
  <c r="J469" i="6"/>
  <c r="P468" i="6"/>
  <c r="Q468" i="6"/>
  <c r="B467" i="4"/>
  <c r="A468" i="4"/>
  <c r="Y469" i="3" l="1"/>
  <c r="E469" i="3"/>
  <c r="A471" i="3"/>
  <c r="B470" i="3"/>
  <c r="D470" i="3"/>
  <c r="C470" i="3"/>
  <c r="J469" i="3"/>
  <c r="Q466" i="3"/>
  <c r="P466" i="3"/>
  <c r="A469" i="6"/>
  <c r="B468" i="6"/>
  <c r="A469" i="11"/>
  <c r="B468" i="11"/>
  <c r="P469" i="6"/>
  <c r="Q469" i="6"/>
  <c r="J470" i="6"/>
  <c r="A469" i="4"/>
  <c r="B468" i="4"/>
  <c r="Y470" i="3" l="1"/>
  <c r="E470" i="3"/>
  <c r="A472" i="3"/>
  <c r="B471" i="3"/>
  <c r="C471" i="3"/>
  <c r="D471" i="3"/>
  <c r="J470" i="3"/>
  <c r="P467" i="3"/>
  <c r="Q467" i="3"/>
  <c r="A470" i="6"/>
  <c r="B469" i="6"/>
  <c r="A470" i="11"/>
  <c r="B469" i="11"/>
  <c r="J471" i="6"/>
  <c r="P470" i="6"/>
  <c r="Q470" i="6"/>
  <c r="A470" i="4"/>
  <c r="B469" i="4"/>
  <c r="Y471" i="3" l="1"/>
  <c r="E471" i="3"/>
  <c r="A473" i="3"/>
  <c r="B472" i="3"/>
  <c r="D472" i="3"/>
  <c r="C472" i="3"/>
  <c r="J471" i="3"/>
  <c r="P468" i="3"/>
  <c r="Q468" i="3"/>
  <c r="B470" i="6"/>
  <c r="A471" i="6"/>
  <c r="A471" i="11"/>
  <c r="B470" i="11"/>
  <c r="Q471" i="6"/>
  <c r="J472" i="6"/>
  <c r="P471" i="6"/>
  <c r="A471" i="4"/>
  <c r="B470" i="4"/>
  <c r="Y472" i="3" l="1"/>
  <c r="E472" i="3"/>
  <c r="A474" i="3"/>
  <c r="B473" i="3"/>
  <c r="D473" i="3"/>
  <c r="C473" i="3"/>
  <c r="J472" i="3"/>
  <c r="Q469" i="3"/>
  <c r="P469" i="3"/>
  <c r="A472" i="6"/>
  <c r="B471" i="6"/>
  <c r="A472" i="11"/>
  <c r="B471" i="11"/>
  <c r="J473" i="6"/>
  <c r="P472" i="6"/>
  <c r="Q472" i="6"/>
  <c r="A472" i="4"/>
  <c r="B471" i="4"/>
  <c r="Y473" i="3" l="1"/>
  <c r="E473" i="3"/>
  <c r="A475" i="3"/>
  <c r="B474" i="3"/>
  <c r="D474" i="3"/>
  <c r="C474" i="3"/>
  <c r="J473" i="3"/>
  <c r="P470" i="3"/>
  <c r="Q470" i="3"/>
  <c r="A473" i="6"/>
  <c r="B472" i="6"/>
  <c r="B472" i="11"/>
  <c r="A473" i="11"/>
  <c r="Q473" i="6"/>
  <c r="J474" i="6"/>
  <c r="P473" i="6"/>
  <c r="A473" i="4"/>
  <c r="B472" i="4"/>
  <c r="Y474" i="3" l="1"/>
  <c r="E474" i="3"/>
  <c r="A476" i="3"/>
  <c r="B475" i="3"/>
  <c r="D475" i="3"/>
  <c r="C475" i="3"/>
  <c r="J474" i="3"/>
  <c r="Q471" i="3"/>
  <c r="P471" i="3"/>
  <c r="B473" i="6"/>
  <c r="A474" i="6"/>
  <c r="B473" i="11"/>
  <c r="A474" i="11"/>
  <c r="Q474" i="6"/>
  <c r="J475" i="6"/>
  <c r="P474" i="6"/>
  <c r="B473" i="4"/>
  <c r="A474" i="4"/>
  <c r="Y475" i="3" l="1"/>
  <c r="E475" i="3"/>
  <c r="A477" i="3"/>
  <c r="B476" i="3"/>
  <c r="C476" i="3"/>
  <c r="D476" i="3"/>
  <c r="J475" i="3"/>
  <c r="P472" i="3"/>
  <c r="Q472" i="3"/>
  <c r="A475" i="6"/>
  <c r="B474" i="6"/>
  <c r="A475" i="11"/>
  <c r="B474" i="11"/>
  <c r="J476" i="6"/>
  <c r="P475" i="6"/>
  <c r="Q475" i="6"/>
  <c r="A475" i="4"/>
  <c r="B474" i="4"/>
  <c r="Y476" i="3" l="1"/>
  <c r="E476" i="3"/>
  <c r="A478" i="3"/>
  <c r="B477" i="3"/>
  <c r="D477" i="3"/>
  <c r="C477" i="3"/>
  <c r="J476" i="3"/>
  <c r="Q473" i="3"/>
  <c r="P473" i="3"/>
  <c r="B475" i="6"/>
  <c r="A476" i="6"/>
  <c r="A476" i="11"/>
  <c r="B475" i="11"/>
  <c r="P476" i="6"/>
  <c r="Q476" i="6"/>
  <c r="J477" i="6"/>
  <c r="B475" i="4"/>
  <c r="A476" i="4"/>
  <c r="Y477" i="3" l="1"/>
  <c r="E477" i="3"/>
  <c r="A479" i="3"/>
  <c r="B478" i="3"/>
  <c r="D478" i="3"/>
  <c r="C478" i="3"/>
  <c r="J477" i="3"/>
  <c r="P474" i="3"/>
  <c r="Q474" i="3"/>
  <c r="A477" i="6"/>
  <c r="B476" i="6"/>
  <c r="A477" i="11"/>
  <c r="B476" i="11"/>
  <c r="J478" i="6"/>
  <c r="Q477" i="6"/>
  <c r="P477" i="6"/>
  <c r="A477" i="4"/>
  <c r="B476" i="4"/>
  <c r="Y478" i="3" l="1"/>
  <c r="E478" i="3"/>
  <c r="A480" i="3"/>
  <c r="B479" i="3"/>
  <c r="D479" i="3"/>
  <c r="C479" i="3"/>
  <c r="J478" i="3"/>
  <c r="Q475" i="3"/>
  <c r="P475" i="3"/>
  <c r="A478" i="6"/>
  <c r="B477" i="6"/>
  <c r="B477" i="11"/>
  <c r="A478" i="11"/>
  <c r="P478" i="6"/>
  <c r="J479" i="6"/>
  <c r="Q478" i="6"/>
  <c r="A478" i="4"/>
  <c r="B477" i="4"/>
  <c r="Y479" i="3" l="1"/>
  <c r="E479" i="3"/>
  <c r="A481" i="3"/>
  <c r="B480" i="3"/>
  <c r="D480" i="3"/>
  <c r="C480" i="3"/>
  <c r="J479" i="3"/>
  <c r="P476" i="3"/>
  <c r="Q476" i="3"/>
  <c r="A479" i="6"/>
  <c r="B478" i="6"/>
  <c r="B478" i="11"/>
  <c r="A479" i="11"/>
  <c r="P479" i="6"/>
  <c r="Q479" i="6"/>
  <c r="J480" i="6"/>
  <c r="B478" i="4"/>
  <c r="A479" i="4"/>
  <c r="Y480" i="3" l="1"/>
  <c r="E480" i="3"/>
  <c r="A482" i="3"/>
  <c r="B481" i="3"/>
  <c r="D481" i="3"/>
  <c r="C481" i="3"/>
  <c r="J480" i="3"/>
  <c r="P477" i="3"/>
  <c r="Q477" i="3"/>
  <c r="A480" i="6"/>
  <c r="B479" i="6"/>
  <c r="A480" i="11"/>
  <c r="B479" i="11"/>
  <c r="P480" i="6"/>
  <c r="J481" i="6"/>
  <c r="Q480" i="6"/>
  <c r="A480" i="4"/>
  <c r="B479" i="4"/>
  <c r="Y481" i="3" l="1"/>
  <c r="E481" i="3"/>
  <c r="A483" i="3"/>
  <c r="B482" i="3"/>
  <c r="C482" i="3"/>
  <c r="D482" i="3"/>
  <c r="J481" i="3"/>
  <c r="P478" i="3"/>
  <c r="Q478" i="3"/>
  <c r="B480" i="6"/>
  <c r="A481" i="6"/>
  <c r="A481" i="11"/>
  <c r="B480" i="11"/>
  <c r="P481" i="6"/>
  <c r="Q481" i="6"/>
  <c r="J482" i="6"/>
  <c r="B480" i="4"/>
  <c r="A481" i="4"/>
  <c r="Y482" i="3" l="1"/>
  <c r="E482" i="3"/>
  <c r="A484" i="3"/>
  <c r="B483" i="3"/>
  <c r="C483" i="3"/>
  <c r="D483" i="3"/>
  <c r="J482" i="3"/>
  <c r="P479" i="3"/>
  <c r="Q479" i="3"/>
  <c r="A482" i="6"/>
  <c r="B481" i="6"/>
  <c r="B481" i="11"/>
  <c r="A482" i="11"/>
  <c r="P482" i="6"/>
  <c r="Q482" i="6"/>
  <c r="J483" i="6"/>
  <c r="A482" i="4"/>
  <c r="B481" i="4"/>
  <c r="Y483" i="3" l="1"/>
  <c r="E483" i="3"/>
  <c r="A485" i="3"/>
  <c r="B484" i="3"/>
  <c r="C484" i="3"/>
  <c r="D484" i="3"/>
  <c r="J483" i="3"/>
  <c r="Q480" i="3"/>
  <c r="P480" i="3"/>
  <c r="A483" i="6"/>
  <c r="B482" i="6"/>
  <c r="A483" i="11"/>
  <c r="B482" i="11"/>
  <c r="P483" i="6"/>
  <c r="Q483" i="6"/>
  <c r="J484" i="6"/>
  <c r="A483" i="4"/>
  <c r="B482" i="4"/>
  <c r="Y484" i="3" l="1"/>
  <c r="E484" i="3"/>
  <c r="A486" i="3"/>
  <c r="B485" i="3"/>
  <c r="D485" i="3"/>
  <c r="C485" i="3"/>
  <c r="J484" i="3"/>
  <c r="P481" i="3"/>
  <c r="Q481" i="3"/>
  <c r="A484" i="6"/>
  <c r="B483" i="6"/>
  <c r="A484" i="11"/>
  <c r="B483" i="11"/>
  <c r="J485" i="6"/>
  <c r="P484" i="6"/>
  <c r="Q484" i="6"/>
  <c r="A484" i="4"/>
  <c r="B483" i="4"/>
  <c r="Y485" i="3" l="1"/>
  <c r="E485" i="3"/>
  <c r="A487" i="3"/>
  <c r="B486" i="3"/>
  <c r="C486" i="3"/>
  <c r="D486" i="3"/>
  <c r="J485" i="3"/>
  <c r="Q482" i="3"/>
  <c r="P482" i="3"/>
  <c r="A485" i="6"/>
  <c r="B484" i="6"/>
  <c r="A485" i="11"/>
  <c r="B484" i="11"/>
  <c r="P485" i="6"/>
  <c r="Q485" i="6"/>
  <c r="J486" i="6"/>
  <c r="A485" i="4"/>
  <c r="B484" i="4"/>
  <c r="Y486" i="3" l="1"/>
  <c r="E486" i="3"/>
  <c r="A488" i="3"/>
  <c r="B487" i="3"/>
  <c r="D487" i="3"/>
  <c r="C487" i="3"/>
  <c r="J486" i="3"/>
  <c r="P483" i="3"/>
  <c r="Q483" i="3"/>
  <c r="A486" i="6"/>
  <c r="B485" i="6"/>
  <c r="A486" i="11"/>
  <c r="B485" i="11"/>
  <c r="J487" i="6"/>
  <c r="P486" i="6"/>
  <c r="Q486" i="6"/>
  <c r="A486" i="4"/>
  <c r="B485" i="4"/>
  <c r="Y487" i="3" l="1"/>
  <c r="E487" i="3"/>
  <c r="A489" i="3"/>
  <c r="B488" i="3"/>
  <c r="D488" i="3"/>
  <c r="C488" i="3"/>
  <c r="J487" i="3"/>
  <c r="P484" i="3"/>
  <c r="Q484" i="3"/>
  <c r="B486" i="6"/>
  <c r="A487" i="6"/>
  <c r="A487" i="11"/>
  <c r="B486" i="11"/>
  <c r="Q487" i="6"/>
  <c r="J488" i="6"/>
  <c r="P487" i="6"/>
  <c r="A487" i="4"/>
  <c r="B486" i="4"/>
  <c r="Y488" i="3" l="1"/>
  <c r="E488" i="3"/>
  <c r="A490" i="3"/>
  <c r="B489" i="3"/>
  <c r="D489" i="3"/>
  <c r="C489" i="3"/>
  <c r="J488" i="3"/>
  <c r="P485" i="3"/>
  <c r="Q485" i="3"/>
  <c r="A488" i="6"/>
  <c r="B487" i="6"/>
  <c r="A488" i="11"/>
  <c r="B487" i="11"/>
  <c r="J489" i="6"/>
  <c r="P488" i="6"/>
  <c r="Q488" i="6"/>
  <c r="A488" i="4"/>
  <c r="B487" i="4"/>
  <c r="Y489" i="3" l="1"/>
  <c r="E489" i="3"/>
  <c r="A491" i="3"/>
  <c r="B490" i="3"/>
  <c r="D490" i="3"/>
  <c r="C490" i="3"/>
  <c r="J489" i="3"/>
  <c r="P486" i="3"/>
  <c r="Q486" i="3"/>
  <c r="B488" i="6"/>
  <c r="A489" i="6"/>
  <c r="B488" i="11"/>
  <c r="A489" i="11"/>
  <c r="Q489" i="6"/>
  <c r="P489" i="6"/>
  <c r="J490" i="6"/>
  <c r="B488" i="4"/>
  <c r="A489" i="4"/>
  <c r="Y490" i="3" l="1"/>
  <c r="E490" i="3"/>
  <c r="A492" i="3"/>
  <c r="B491" i="3"/>
  <c r="D491" i="3"/>
  <c r="C491" i="3"/>
  <c r="J490" i="3"/>
  <c r="P487" i="3"/>
  <c r="Q487" i="3"/>
  <c r="A490" i="6"/>
  <c r="B489" i="6"/>
  <c r="B489" i="11"/>
  <c r="A490" i="11"/>
  <c r="Q490" i="6"/>
  <c r="J491" i="6"/>
  <c r="P490" i="6"/>
  <c r="B489" i="4"/>
  <c r="A490" i="4"/>
  <c r="Y491" i="3" l="1"/>
  <c r="E491" i="3"/>
  <c r="A493" i="3"/>
  <c r="B492" i="3"/>
  <c r="C492" i="3"/>
  <c r="D492" i="3"/>
  <c r="J491" i="3"/>
  <c r="Q488" i="3"/>
  <c r="P488" i="3"/>
  <c r="B490" i="6"/>
  <c r="A491" i="6"/>
  <c r="A491" i="11"/>
  <c r="B490" i="11"/>
  <c r="J492" i="6"/>
  <c r="P491" i="6"/>
  <c r="Q491" i="6"/>
  <c r="B490" i="4"/>
  <c r="A491" i="4"/>
  <c r="Y492" i="3" l="1"/>
  <c r="E492" i="3"/>
  <c r="A494" i="3"/>
  <c r="B493" i="3"/>
  <c r="C493" i="3"/>
  <c r="D493" i="3"/>
  <c r="J492" i="3"/>
  <c r="Q489" i="3"/>
  <c r="P489" i="3"/>
  <c r="B491" i="6"/>
  <c r="A492" i="6"/>
  <c r="B491" i="11"/>
  <c r="A492" i="11"/>
  <c r="P492" i="6"/>
  <c r="Q492" i="6"/>
  <c r="J493" i="6"/>
  <c r="A492" i="4"/>
  <c r="B491" i="4"/>
  <c r="Y493" i="3" l="1"/>
  <c r="E493" i="3"/>
  <c r="A495" i="3"/>
  <c r="B494" i="3"/>
  <c r="D494" i="3"/>
  <c r="C494" i="3"/>
  <c r="J493" i="3"/>
  <c r="Q490" i="3"/>
  <c r="P490" i="3"/>
  <c r="A493" i="6"/>
  <c r="B492" i="6"/>
  <c r="A493" i="11"/>
  <c r="B492" i="11"/>
  <c r="J494" i="6"/>
  <c r="Q493" i="6"/>
  <c r="P493" i="6"/>
  <c r="A493" i="4"/>
  <c r="B492" i="4"/>
  <c r="Y494" i="3" l="1"/>
  <c r="E494" i="3"/>
  <c r="A496" i="3"/>
  <c r="B495" i="3"/>
  <c r="D495" i="3"/>
  <c r="C495" i="3"/>
  <c r="J494" i="3"/>
  <c r="P491" i="3"/>
  <c r="Q491" i="3"/>
  <c r="B493" i="6"/>
  <c r="A494" i="6"/>
  <c r="B493" i="11"/>
  <c r="A494" i="11"/>
  <c r="J495" i="6"/>
  <c r="Q494" i="6"/>
  <c r="P494" i="6"/>
  <c r="B493" i="4"/>
  <c r="A494" i="4"/>
  <c r="Y495" i="3" l="1"/>
  <c r="E495" i="3"/>
  <c r="A497" i="3"/>
  <c r="B496" i="3"/>
  <c r="D496" i="3"/>
  <c r="C496" i="3"/>
  <c r="J495" i="3"/>
  <c r="Q492" i="3"/>
  <c r="P492" i="3"/>
  <c r="A495" i="6"/>
  <c r="B494" i="6"/>
  <c r="B494" i="11"/>
  <c r="A495" i="11"/>
  <c r="P495" i="6"/>
  <c r="Q495" i="6"/>
  <c r="J496" i="6"/>
  <c r="B494" i="4"/>
  <c r="A495" i="4"/>
  <c r="Y496" i="3" l="1"/>
  <c r="E496" i="3"/>
  <c r="A498" i="3"/>
  <c r="B497" i="3"/>
  <c r="D497" i="3"/>
  <c r="C497" i="3"/>
  <c r="J496" i="3"/>
  <c r="Q493" i="3"/>
  <c r="P493" i="3"/>
  <c r="A496" i="6"/>
  <c r="B495" i="6"/>
  <c r="A496" i="11"/>
  <c r="B495" i="11"/>
  <c r="P496" i="6"/>
  <c r="J497" i="6"/>
  <c r="Q496" i="6"/>
  <c r="B495" i="4"/>
  <c r="A496" i="4"/>
  <c r="Y497" i="3" l="1"/>
  <c r="E497" i="3"/>
  <c r="A499" i="3"/>
  <c r="B498" i="3"/>
  <c r="C498" i="3"/>
  <c r="D498" i="3"/>
  <c r="J497" i="3"/>
  <c r="P494" i="3"/>
  <c r="Q494" i="3"/>
  <c r="B496" i="6"/>
  <c r="A497" i="6"/>
  <c r="A497" i="11"/>
  <c r="B496" i="11"/>
  <c r="P497" i="6"/>
  <c r="Q497" i="6"/>
  <c r="J498" i="6"/>
  <c r="A497" i="4"/>
  <c r="B496" i="4"/>
  <c r="Y498" i="3" l="1"/>
  <c r="E498" i="3"/>
  <c r="A500" i="3"/>
  <c r="B499" i="3"/>
  <c r="C499" i="3"/>
  <c r="D499" i="3"/>
  <c r="J498" i="3"/>
  <c r="P495" i="3"/>
  <c r="Q495" i="3"/>
  <c r="B497" i="6"/>
  <c r="A498" i="6"/>
  <c r="B497" i="11"/>
  <c r="A498" i="11"/>
  <c r="P498" i="6"/>
  <c r="Q498" i="6"/>
  <c r="J499" i="6"/>
  <c r="A498" i="4"/>
  <c r="B497" i="4"/>
  <c r="Y499" i="3" l="1"/>
  <c r="E499" i="3"/>
  <c r="A501" i="3"/>
  <c r="B500" i="3"/>
  <c r="D500" i="3"/>
  <c r="C500" i="3"/>
  <c r="J499" i="3"/>
  <c r="Q496" i="3"/>
  <c r="P496" i="3"/>
  <c r="A499" i="6"/>
  <c r="B498" i="6"/>
  <c r="A499" i="11"/>
  <c r="B498" i="11"/>
  <c r="P499" i="6"/>
  <c r="Q499" i="6"/>
  <c r="J500" i="6"/>
  <c r="A499" i="4"/>
  <c r="B498" i="4"/>
  <c r="Y500" i="3" l="1"/>
  <c r="E500" i="3"/>
  <c r="A502" i="3"/>
  <c r="B501" i="3"/>
  <c r="D501" i="3"/>
  <c r="C501" i="3"/>
  <c r="J500" i="3"/>
  <c r="Q497" i="3"/>
  <c r="P497" i="3"/>
  <c r="B499" i="6"/>
  <c r="A500" i="6"/>
  <c r="B499" i="11"/>
  <c r="A500" i="11"/>
  <c r="J501" i="6"/>
  <c r="P500" i="6"/>
  <c r="Q500" i="6"/>
  <c r="A500" i="4"/>
  <c r="B499" i="4"/>
  <c r="Y501" i="3" l="1"/>
  <c r="E501" i="3"/>
  <c r="A503" i="3"/>
  <c r="B502" i="3"/>
  <c r="D502" i="3"/>
  <c r="C502" i="3"/>
  <c r="J501" i="3"/>
  <c r="Q498" i="3"/>
  <c r="P498" i="3"/>
  <c r="A501" i="6"/>
  <c r="B500" i="6"/>
  <c r="A501" i="11"/>
  <c r="B500" i="11"/>
  <c r="P501" i="6"/>
  <c r="Q501" i="6"/>
  <c r="J502" i="6"/>
  <c r="B500" i="4"/>
  <c r="A501" i="4"/>
  <c r="Y502" i="3" l="1"/>
  <c r="E502" i="3"/>
  <c r="A504" i="3"/>
  <c r="B503" i="3"/>
  <c r="D503" i="3"/>
  <c r="C503" i="3"/>
  <c r="J502" i="3"/>
  <c r="Q499" i="3"/>
  <c r="P499" i="3"/>
  <c r="B501" i="6"/>
  <c r="A502" i="6"/>
  <c r="A502" i="11"/>
  <c r="B501" i="11"/>
  <c r="J503" i="6"/>
  <c r="P502" i="6"/>
  <c r="Q502" i="6"/>
  <c r="B501" i="4"/>
  <c r="A502" i="4"/>
  <c r="Y503" i="3" l="1"/>
  <c r="E503" i="3"/>
  <c r="A505" i="3"/>
  <c r="B504" i="3"/>
  <c r="D504" i="3"/>
  <c r="C504" i="3"/>
  <c r="J503" i="3"/>
  <c r="P500" i="3"/>
  <c r="Q500" i="3"/>
  <c r="B502" i="6"/>
  <c r="A503" i="6"/>
  <c r="A503" i="11"/>
  <c r="B502" i="11"/>
  <c r="Q503" i="6"/>
  <c r="P503" i="6"/>
  <c r="J504" i="6"/>
  <c r="A503" i="4"/>
  <c r="B502" i="4"/>
  <c r="Y504" i="3" l="1"/>
  <c r="E504" i="3"/>
  <c r="A506" i="3"/>
  <c r="B505" i="3"/>
  <c r="D505" i="3"/>
  <c r="C505" i="3"/>
  <c r="J504" i="3"/>
  <c r="Q501" i="3"/>
  <c r="P501" i="3"/>
  <c r="A504" i="6"/>
  <c r="B503" i="6"/>
  <c r="A504" i="11"/>
  <c r="B503" i="11"/>
  <c r="J505" i="6"/>
  <c r="P504" i="6"/>
  <c r="Q504" i="6"/>
  <c r="A504" i="4"/>
  <c r="B503" i="4"/>
  <c r="Y505" i="3" l="1"/>
  <c r="E505" i="3"/>
  <c r="A507" i="3"/>
  <c r="B506" i="3"/>
  <c r="D506" i="3"/>
  <c r="C506" i="3"/>
  <c r="J505" i="3"/>
  <c r="P502" i="3"/>
  <c r="Q502" i="3"/>
  <c r="A505" i="6"/>
  <c r="B504" i="6"/>
  <c r="B504" i="11"/>
  <c r="A505" i="11"/>
  <c r="Q505" i="6"/>
  <c r="P505" i="6"/>
  <c r="J506" i="6"/>
  <c r="A505" i="4"/>
  <c r="B504" i="4"/>
  <c r="Y506" i="3" l="1"/>
  <c r="E506" i="3"/>
  <c r="A508" i="3"/>
  <c r="B507" i="3"/>
  <c r="C507" i="3"/>
  <c r="D507" i="3"/>
  <c r="J506" i="3"/>
  <c r="Q503" i="3"/>
  <c r="P503" i="3"/>
  <c r="A506" i="6"/>
  <c r="B505" i="6"/>
  <c r="B505" i="11"/>
  <c r="A506" i="11"/>
  <c r="Q506" i="6"/>
  <c r="J507" i="6"/>
  <c r="P506" i="6"/>
  <c r="B505" i="4"/>
  <c r="A506" i="4"/>
  <c r="Y507" i="3" l="1"/>
  <c r="E507" i="3"/>
  <c r="A509" i="3"/>
  <c r="B508" i="3"/>
  <c r="C508" i="3"/>
  <c r="D508" i="3"/>
  <c r="J507" i="3"/>
  <c r="Q504" i="3"/>
  <c r="P504" i="3"/>
  <c r="B506" i="6"/>
  <c r="A507" i="6"/>
  <c r="A507" i="11"/>
  <c r="B506" i="11"/>
  <c r="J508" i="6"/>
  <c r="Q507" i="6"/>
  <c r="P507" i="6"/>
  <c r="A507" i="4"/>
  <c r="B506" i="4"/>
  <c r="Y508" i="3" l="1"/>
  <c r="E508" i="3"/>
  <c r="A510" i="3"/>
  <c r="B509" i="3"/>
  <c r="D509" i="3"/>
  <c r="C509" i="3"/>
  <c r="J508" i="3"/>
  <c r="P505" i="3"/>
  <c r="Q505" i="3"/>
  <c r="B507" i="6"/>
  <c r="A508" i="6"/>
  <c r="A508" i="11"/>
  <c r="B507" i="11"/>
  <c r="P508" i="6"/>
  <c r="Q508" i="6"/>
  <c r="J509" i="6"/>
  <c r="B507" i="4"/>
  <c r="A508" i="4"/>
  <c r="Y509" i="3" l="1"/>
  <c r="E509" i="3"/>
  <c r="A511" i="3"/>
  <c r="B510" i="3"/>
  <c r="D510" i="3"/>
  <c r="C510" i="3"/>
  <c r="J509" i="3"/>
  <c r="Q506" i="3"/>
  <c r="P506" i="3"/>
  <c r="A509" i="6"/>
  <c r="B508" i="6"/>
  <c r="A509" i="11"/>
  <c r="B508" i="11"/>
  <c r="J510" i="6"/>
  <c r="P509" i="6"/>
  <c r="Q509" i="6"/>
  <c r="A509" i="4"/>
  <c r="B508" i="4"/>
  <c r="Y510" i="3" l="1"/>
  <c r="E510" i="3"/>
  <c r="A512" i="3"/>
  <c r="B511" i="3"/>
  <c r="C511" i="3"/>
  <c r="D511" i="3"/>
  <c r="J510" i="3"/>
  <c r="Q507" i="3"/>
  <c r="P507" i="3"/>
  <c r="A510" i="6"/>
  <c r="B509" i="6"/>
  <c r="B509" i="11"/>
  <c r="A510" i="11"/>
  <c r="P510" i="6"/>
  <c r="Q510" i="6"/>
  <c r="J511" i="6"/>
  <c r="A510" i="4"/>
  <c r="B509" i="4"/>
  <c r="Y511" i="3" l="1"/>
  <c r="E511" i="3"/>
  <c r="A513" i="3"/>
  <c r="B512" i="3"/>
  <c r="D512" i="3"/>
  <c r="C512" i="3"/>
  <c r="J511" i="3"/>
  <c r="P508" i="3"/>
  <c r="Q508" i="3"/>
  <c r="B510" i="6"/>
  <c r="A511" i="6"/>
  <c r="A511" i="11"/>
  <c r="B510" i="11"/>
  <c r="J512" i="6"/>
  <c r="P511" i="6"/>
  <c r="Q511" i="6"/>
  <c r="B510" i="4"/>
  <c r="A511" i="4"/>
  <c r="Y512" i="3" l="1"/>
  <c r="E512" i="3"/>
  <c r="A514" i="3"/>
  <c r="B513" i="3"/>
  <c r="C513" i="3"/>
  <c r="D513" i="3"/>
  <c r="J512" i="3"/>
  <c r="P509" i="3"/>
  <c r="Q509" i="3"/>
  <c r="A512" i="6"/>
  <c r="B511" i="6"/>
  <c r="A512" i="11"/>
  <c r="B511" i="11"/>
  <c r="P512" i="6"/>
  <c r="Q512" i="6"/>
  <c r="J513" i="6"/>
  <c r="B511" i="4"/>
  <c r="A512" i="4"/>
  <c r="Y513" i="3" l="1"/>
  <c r="E513" i="3"/>
  <c r="A515" i="3"/>
  <c r="B514" i="3"/>
  <c r="C514" i="3"/>
  <c r="D514" i="3"/>
  <c r="J513" i="3"/>
  <c r="P510" i="3"/>
  <c r="Q510" i="3"/>
  <c r="B512" i="6"/>
  <c r="A513" i="6"/>
  <c r="A513" i="11"/>
  <c r="B512" i="11"/>
  <c r="P513" i="6"/>
  <c r="Q513" i="6"/>
  <c r="J514" i="6"/>
  <c r="B512" i="4"/>
  <c r="A513" i="4"/>
  <c r="Y514" i="3" l="1"/>
  <c r="E514" i="3"/>
  <c r="A516" i="3"/>
  <c r="B515" i="3"/>
  <c r="C515" i="3"/>
  <c r="D515" i="3"/>
  <c r="J514" i="3"/>
  <c r="P511" i="3"/>
  <c r="Q511" i="3"/>
  <c r="B513" i="6"/>
  <c r="A514" i="6"/>
  <c r="B513" i="11"/>
  <c r="A514" i="11"/>
  <c r="P514" i="6"/>
  <c r="J515" i="6"/>
  <c r="Q514" i="6"/>
  <c r="A514" i="4"/>
  <c r="B513" i="4"/>
  <c r="Y515" i="3" l="1"/>
  <c r="E515" i="3"/>
  <c r="A517" i="3"/>
  <c r="B516" i="3"/>
  <c r="D516" i="3"/>
  <c r="C516" i="3"/>
  <c r="J515" i="3"/>
  <c r="Q512" i="3"/>
  <c r="P512" i="3"/>
  <c r="A515" i="6"/>
  <c r="B514" i="6"/>
  <c r="B514" i="11"/>
  <c r="A515" i="11"/>
  <c r="P515" i="6"/>
  <c r="Q515" i="6"/>
  <c r="J516" i="6"/>
  <c r="A515" i="4"/>
  <c r="B514" i="4"/>
  <c r="Y516" i="3" l="1"/>
  <c r="E516" i="3"/>
  <c r="A518" i="3"/>
  <c r="B517" i="3"/>
  <c r="D517" i="3"/>
  <c r="C517" i="3"/>
  <c r="J516" i="3"/>
  <c r="P513" i="3"/>
  <c r="Q513" i="3"/>
  <c r="A516" i="6"/>
  <c r="B515" i="6"/>
  <c r="A516" i="11"/>
  <c r="B515" i="11"/>
  <c r="J517" i="6"/>
  <c r="P516" i="6"/>
  <c r="Q516" i="6"/>
  <c r="B515" i="4"/>
  <c r="A516" i="4"/>
  <c r="Y517" i="3" l="1"/>
  <c r="E517" i="3"/>
  <c r="A519" i="3"/>
  <c r="B518" i="3"/>
  <c r="D518" i="3"/>
  <c r="C518" i="3"/>
  <c r="J517" i="3"/>
  <c r="Q514" i="3"/>
  <c r="P514" i="3"/>
  <c r="B516" i="6"/>
  <c r="A517" i="6"/>
  <c r="A517" i="11"/>
  <c r="B516" i="11"/>
  <c r="P517" i="6"/>
  <c r="Q517" i="6"/>
  <c r="J518" i="6"/>
  <c r="A517" i="4"/>
  <c r="B516" i="4"/>
  <c r="Y518" i="3" l="1"/>
  <c r="E518" i="3"/>
  <c r="A520" i="3"/>
  <c r="B519" i="3"/>
  <c r="D519" i="3"/>
  <c r="C519" i="3"/>
  <c r="J518" i="3"/>
  <c r="P515" i="3"/>
  <c r="Q515" i="3"/>
  <c r="A518" i="6"/>
  <c r="B517" i="6"/>
  <c r="A518" i="11"/>
  <c r="B517" i="11"/>
  <c r="J519" i="6"/>
  <c r="P518" i="6"/>
  <c r="Q518" i="6"/>
  <c r="A518" i="4"/>
  <c r="B517" i="4"/>
  <c r="Y519" i="3" l="1"/>
  <c r="E519" i="3"/>
  <c r="A521" i="3"/>
  <c r="B520" i="3"/>
  <c r="D520" i="3"/>
  <c r="C520" i="3"/>
  <c r="J519" i="3"/>
  <c r="Q516" i="3"/>
  <c r="P516" i="3"/>
  <c r="B518" i="6"/>
  <c r="A519" i="6"/>
  <c r="A519" i="11"/>
  <c r="B518" i="11"/>
  <c r="Q519" i="6"/>
  <c r="P519" i="6"/>
  <c r="J520" i="6"/>
  <c r="A519" i="4"/>
  <c r="B518" i="4"/>
  <c r="Y520" i="3" l="1"/>
  <c r="E520" i="3"/>
  <c r="A522" i="3"/>
  <c r="B521" i="3"/>
  <c r="D521" i="3"/>
  <c r="C521" i="3"/>
  <c r="J520" i="3"/>
  <c r="Q517" i="3"/>
  <c r="P517" i="3"/>
  <c r="A520" i="6"/>
  <c r="B519" i="6"/>
  <c r="A520" i="11"/>
  <c r="B519" i="11"/>
  <c r="J521" i="6"/>
  <c r="P520" i="6"/>
  <c r="Q520" i="6"/>
  <c r="B519" i="4"/>
  <c r="A520" i="4"/>
  <c r="Y521" i="3" l="1"/>
  <c r="E521" i="3"/>
  <c r="A523" i="3"/>
  <c r="B522" i="3"/>
  <c r="D522" i="3"/>
  <c r="C522" i="3"/>
  <c r="J521" i="3"/>
  <c r="P518" i="3"/>
  <c r="Q518" i="3"/>
  <c r="A521" i="6"/>
  <c r="B520" i="6"/>
  <c r="B520" i="11"/>
  <c r="A521" i="11"/>
  <c r="P521" i="6"/>
  <c r="Q521" i="6"/>
  <c r="J522" i="6"/>
  <c r="B520" i="4"/>
  <c r="A521" i="4"/>
  <c r="Y522" i="3" l="1"/>
  <c r="E522" i="3"/>
  <c r="A524" i="3"/>
  <c r="B523" i="3"/>
  <c r="C523" i="3"/>
  <c r="D523" i="3"/>
  <c r="J522" i="3"/>
  <c r="Q519" i="3"/>
  <c r="P519" i="3"/>
  <c r="A522" i="6"/>
  <c r="B521" i="6"/>
  <c r="B521" i="11"/>
  <c r="A522" i="11"/>
  <c r="Q522" i="6"/>
  <c r="J523" i="6"/>
  <c r="P522" i="6"/>
  <c r="B521" i="4"/>
  <c r="A522" i="4"/>
  <c r="Y523" i="3" l="1"/>
  <c r="E523" i="3"/>
  <c r="A525" i="3"/>
  <c r="B524" i="3"/>
  <c r="C524" i="3"/>
  <c r="D524" i="3"/>
  <c r="J523" i="3"/>
  <c r="Q520" i="3"/>
  <c r="P520" i="3"/>
  <c r="B522" i="6"/>
  <c r="A523" i="6"/>
  <c r="A523" i="11"/>
  <c r="B522" i="11"/>
  <c r="J524" i="6"/>
  <c r="P523" i="6"/>
  <c r="Q523" i="6"/>
  <c r="A523" i="4"/>
  <c r="B522" i="4"/>
  <c r="Y524" i="3" l="1"/>
  <c r="E524" i="3"/>
  <c r="A526" i="3"/>
  <c r="B525" i="3"/>
  <c r="D525" i="3"/>
  <c r="C525" i="3"/>
  <c r="J524" i="3"/>
  <c r="P521" i="3"/>
  <c r="Q521" i="3"/>
  <c r="B523" i="6"/>
  <c r="A524" i="6"/>
  <c r="A524" i="11"/>
  <c r="B523" i="11"/>
  <c r="J525" i="6"/>
  <c r="P524" i="6"/>
  <c r="Q524" i="6"/>
  <c r="A524" i="4"/>
  <c r="B523" i="4"/>
  <c r="Y525" i="3" l="1"/>
  <c r="E525" i="3"/>
  <c r="A527" i="3"/>
  <c r="B526" i="3"/>
  <c r="D526" i="3"/>
  <c r="C526" i="3"/>
  <c r="J525" i="3"/>
  <c r="Q522" i="3"/>
  <c r="P522" i="3"/>
  <c r="A525" i="6"/>
  <c r="B524" i="6"/>
  <c r="A525" i="11"/>
  <c r="B524" i="11"/>
  <c r="P525" i="6"/>
  <c r="Q525" i="6"/>
  <c r="J526" i="6"/>
  <c r="B524" i="4"/>
  <c r="A525" i="4"/>
  <c r="Y526" i="3" l="1"/>
  <c r="E526" i="3"/>
  <c r="A528" i="3"/>
  <c r="B527" i="3"/>
  <c r="C527" i="3"/>
  <c r="D527" i="3"/>
  <c r="J526" i="3"/>
  <c r="P523" i="3"/>
  <c r="Q523" i="3"/>
  <c r="A526" i="6"/>
  <c r="B525" i="6"/>
  <c r="B525" i="11"/>
  <c r="A526" i="11"/>
  <c r="J527" i="6"/>
  <c r="P526" i="6"/>
  <c r="Q526" i="6"/>
  <c r="B525" i="4"/>
  <c r="A526" i="4"/>
  <c r="Y527" i="3" l="1"/>
  <c r="E527" i="3"/>
  <c r="A529" i="3"/>
  <c r="B528" i="3"/>
  <c r="C528" i="3"/>
  <c r="D528" i="3"/>
  <c r="J527" i="3"/>
  <c r="Q524" i="3"/>
  <c r="P524" i="3"/>
  <c r="A527" i="6"/>
  <c r="B526" i="6"/>
  <c r="B526" i="11"/>
  <c r="A527" i="11"/>
  <c r="P527" i="6"/>
  <c r="Q527" i="6"/>
  <c r="J528" i="6"/>
  <c r="B526" i="4"/>
  <c r="A527" i="4"/>
  <c r="Y528" i="3" l="1"/>
  <c r="E528" i="3"/>
  <c r="A530" i="3"/>
  <c r="B529" i="3"/>
  <c r="C529" i="3"/>
  <c r="D529" i="3"/>
  <c r="J528" i="3"/>
  <c r="P525" i="3"/>
  <c r="Q525" i="3"/>
  <c r="B527" i="6"/>
  <c r="A528" i="6"/>
  <c r="B527" i="11"/>
  <c r="A528" i="11"/>
  <c r="P528" i="6"/>
  <c r="J529" i="6"/>
  <c r="Q528" i="6"/>
  <c r="A528" i="4"/>
  <c r="B527" i="4"/>
  <c r="Y529" i="3" l="1"/>
  <c r="E529" i="3"/>
  <c r="A531" i="3"/>
  <c r="B530" i="3"/>
  <c r="D530" i="3"/>
  <c r="C530" i="3"/>
  <c r="J529" i="3"/>
  <c r="P526" i="3"/>
  <c r="Q526" i="3"/>
  <c r="A529" i="6"/>
  <c r="B528" i="6"/>
  <c r="A529" i="11"/>
  <c r="B528" i="11"/>
  <c r="P529" i="6"/>
  <c r="Q529" i="6"/>
  <c r="J530" i="6"/>
  <c r="B528" i="4"/>
  <c r="A529" i="4"/>
  <c r="Y530" i="3" l="1"/>
  <c r="E530" i="3"/>
  <c r="A532" i="3"/>
  <c r="B531" i="3"/>
  <c r="D531" i="3"/>
  <c r="C531" i="3"/>
  <c r="J530" i="3"/>
  <c r="P527" i="3"/>
  <c r="Q527" i="3"/>
  <c r="A530" i="6"/>
  <c r="B529" i="6"/>
  <c r="B529" i="11"/>
  <c r="A530" i="11"/>
  <c r="J531" i="6"/>
  <c r="P530" i="6"/>
  <c r="Q530" i="6"/>
  <c r="A530" i="4"/>
  <c r="B529" i="4"/>
  <c r="Y531" i="3" l="1"/>
  <c r="E531" i="3"/>
  <c r="A533" i="3"/>
  <c r="B532" i="3"/>
  <c r="D532" i="3"/>
  <c r="C532" i="3"/>
  <c r="J531" i="3"/>
  <c r="Q528" i="3"/>
  <c r="P528" i="3"/>
  <c r="B530" i="6"/>
  <c r="A531" i="6"/>
  <c r="B530" i="11"/>
  <c r="A531" i="11"/>
  <c r="P531" i="6"/>
  <c r="Q531" i="6"/>
  <c r="J532" i="6"/>
  <c r="B530" i="4"/>
  <c r="A531" i="4"/>
  <c r="Y532" i="3" l="1"/>
  <c r="E532" i="3"/>
  <c r="A534" i="3"/>
  <c r="B533" i="3"/>
  <c r="D533" i="3"/>
  <c r="C533" i="3"/>
  <c r="J532" i="3"/>
  <c r="P529" i="3"/>
  <c r="Q529" i="3"/>
  <c r="A532" i="6"/>
  <c r="B531" i="6"/>
  <c r="A532" i="11"/>
  <c r="B531" i="11"/>
  <c r="J533" i="6"/>
  <c r="P532" i="6"/>
  <c r="Q532" i="6"/>
  <c r="A532" i="4"/>
  <c r="B531" i="4"/>
  <c r="Y533" i="3" l="1"/>
  <c r="E533" i="3"/>
  <c r="A535" i="3"/>
  <c r="B534" i="3"/>
  <c r="C534" i="3"/>
  <c r="D534" i="3"/>
  <c r="J533" i="3"/>
  <c r="Q530" i="3"/>
  <c r="P530" i="3"/>
  <c r="B532" i="6"/>
  <c r="A533" i="6"/>
  <c r="A533" i="11"/>
  <c r="B532" i="11"/>
  <c r="P533" i="6"/>
  <c r="Q533" i="6"/>
  <c r="J534" i="6"/>
  <c r="A533" i="4"/>
  <c r="B532" i="4"/>
  <c r="Y534" i="3" l="1"/>
  <c r="E534" i="3"/>
  <c r="A536" i="3"/>
  <c r="B535" i="3"/>
  <c r="D535" i="3"/>
  <c r="C535" i="3"/>
  <c r="J534" i="3"/>
  <c r="Q531" i="3"/>
  <c r="P531" i="3"/>
  <c r="B533" i="6"/>
  <c r="A534" i="6"/>
  <c r="A534" i="11"/>
  <c r="B533" i="11"/>
  <c r="J535" i="6"/>
  <c r="P534" i="6"/>
  <c r="Q534" i="6"/>
  <c r="A534" i="4"/>
  <c r="B533" i="4"/>
  <c r="Y535" i="3" l="1"/>
  <c r="E535" i="3"/>
  <c r="A537" i="3"/>
  <c r="B536" i="3"/>
  <c r="D536" i="3"/>
  <c r="C536" i="3"/>
  <c r="J535" i="3"/>
  <c r="P532" i="3"/>
  <c r="Q532" i="3"/>
  <c r="B534" i="6"/>
  <c r="A535" i="6"/>
  <c r="A535" i="11"/>
  <c r="B534" i="11"/>
  <c r="Q535" i="6"/>
  <c r="P535" i="6"/>
  <c r="J536" i="6"/>
  <c r="B534" i="4"/>
  <c r="A535" i="4"/>
  <c r="Y536" i="3" l="1"/>
  <c r="E536" i="3"/>
  <c r="A538" i="3"/>
  <c r="B537" i="3"/>
  <c r="D537" i="3"/>
  <c r="C537" i="3"/>
  <c r="J536" i="3"/>
  <c r="Q533" i="3"/>
  <c r="P533" i="3"/>
  <c r="A536" i="6"/>
  <c r="B535" i="6"/>
  <c r="A536" i="11"/>
  <c r="B535" i="11"/>
  <c r="J537" i="6"/>
  <c r="P536" i="6"/>
  <c r="Q536" i="6"/>
  <c r="A536" i="4"/>
  <c r="B535" i="4"/>
  <c r="Y537" i="3" l="1"/>
  <c r="E537" i="3"/>
  <c r="A539" i="3"/>
  <c r="B538" i="3"/>
  <c r="C538" i="3"/>
  <c r="D538" i="3"/>
  <c r="J537" i="3"/>
  <c r="P534" i="3"/>
  <c r="Q534" i="3"/>
  <c r="B536" i="6"/>
  <c r="A537" i="6"/>
  <c r="B536" i="11"/>
  <c r="A537" i="11"/>
  <c r="P537" i="6"/>
  <c r="Q537" i="6"/>
  <c r="J538" i="6"/>
  <c r="A537" i="4"/>
  <c r="B536" i="4"/>
  <c r="Y538" i="3" l="1"/>
  <c r="E538" i="3"/>
  <c r="A540" i="3"/>
  <c r="B539" i="3"/>
  <c r="C539" i="3"/>
  <c r="D539" i="3"/>
  <c r="J538" i="3"/>
  <c r="Q535" i="3"/>
  <c r="P535" i="3"/>
  <c r="A538" i="6"/>
  <c r="B537" i="6"/>
  <c r="B537" i="11"/>
  <c r="A538" i="11"/>
  <c r="Q538" i="6"/>
  <c r="J539" i="6"/>
  <c r="P538" i="6"/>
  <c r="B537" i="4"/>
  <c r="A538" i="4"/>
  <c r="Y539" i="3" l="1"/>
  <c r="E539" i="3"/>
  <c r="A541" i="3"/>
  <c r="B540" i="3"/>
  <c r="C540" i="3"/>
  <c r="D540" i="3"/>
  <c r="J539" i="3"/>
  <c r="P536" i="3"/>
  <c r="Q536" i="3"/>
  <c r="B538" i="6"/>
  <c r="A539" i="6"/>
  <c r="A539" i="11"/>
  <c r="B538" i="11"/>
  <c r="J540" i="6"/>
  <c r="P539" i="6"/>
  <c r="Q539" i="6"/>
  <c r="A539" i="4"/>
  <c r="B538" i="4"/>
  <c r="Y540" i="3" l="1"/>
  <c r="E540" i="3"/>
  <c r="A542" i="3"/>
  <c r="B541" i="3"/>
  <c r="D541" i="3"/>
  <c r="C541" i="3"/>
  <c r="J540" i="3"/>
  <c r="Q537" i="3"/>
  <c r="P537" i="3"/>
  <c r="B539" i="6"/>
  <c r="A540" i="6"/>
  <c r="B539" i="11"/>
  <c r="A540" i="11"/>
  <c r="J541" i="6"/>
  <c r="P540" i="6"/>
  <c r="Q540" i="6"/>
  <c r="A540" i="4"/>
  <c r="B539" i="4"/>
  <c r="Y541" i="3" l="1"/>
  <c r="E541" i="3"/>
  <c r="B542" i="3"/>
  <c r="C542" i="3"/>
  <c r="D542" i="3"/>
  <c r="J541" i="3"/>
  <c r="P538" i="3"/>
  <c r="Q538" i="3"/>
  <c r="A541" i="6"/>
  <c r="B540" i="6"/>
  <c r="A541" i="11"/>
  <c r="B540" i="11"/>
  <c r="P541" i="6"/>
  <c r="Q541" i="6"/>
  <c r="J542" i="6"/>
  <c r="A541" i="4"/>
  <c r="B540" i="4"/>
  <c r="Y542" i="3" l="1"/>
  <c r="E542" i="3"/>
  <c r="J542" i="3"/>
  <c r="Q539" i="3"/>
  <c r="P539" i="3"/>
  <c r="B541" i="6"/>
  <c r="A542" i="6"/>
  <c r="A542" i="11"/>
  <c r="B542" i="11" s="1"/>
  <c r="B541" i="11"/>
  <c r="P542" i="6"/>
  <c r="Q542" i="6"/>
  <c r="A542" i="4"/>
  <c r="B542" i="4" s="1"/>
  <c r="B541" i="4"/>
  <c r="P540" i="3" l="1"/>
  <c r="Q540" i="3"/>
  <c r="F81" i="5"/>
  <c r="F97" i="5"/>
  <c r="F96" i="5"/>
  <c r="E92" i="5"/>
  <c r="B542" i="6"/>
  <c r="E91" i="5"/>
  <c r="D93" i="5"/>
  <c r="D94" i="5"/>
  <c r="L2" i="10"/>
  <c r="Q541" i="3" l="1"/>
  <c r="P541" i="3"/>
  <c r="E94" i="5"/>
  <c r="E93" i="5"/>
  <c r="D91" i="5"/>
  <c r="N2" i="10"/>
  <c r="P542" i="3" l="1"/>
  <c r="Q542" i="3"/>
  <c r="D92" i="5" s="1"/>
  <c r="O21" i="1"/>
  <c r="M21" i="1" l="1"/>
  <c r="N21" i="1"/>
  <c r="F2" i="11"/>
  <c r="D71" i="6"/>
  <c r="Y71" i="6" s="1"/>
  <c r="D451" i="6"/>
  <c r="Y451" i="6" s="1"/>
  <c r="D118" i="6"/>
  <c r="Y118" i="6" s="1"/>
  <c r="D509" i="6"/>
  <c r="Y509" i="6" s="1"/>
  <c r="D384" i="6"/>
  <c r="Y384" i="6" s="1"/>
  <c r="D364" i="6"/>
  <c r="Y364" i="6" s="1"/>
  <c r="D242" i="6"/>
  <c r="Y242" i="6" s="1"/>
  <c r="D254" i="6"/>
  <c r="Y254" i="6" s="1"/>
  <c r="D181" i="6"/>
  <c r="Y181" i="6" s="1"/>
  <c r="D365" i="6"/>
  <c r="Y365" i="6" s="1"/>
  <c r="D67" i="6"/>
  <c r="Y67" i="6" s="1"/>
  <c r="D359" i="6"/>
  <c r="Y359" i="6" s="1"/>
  <c r="D199" i="6"/>
  <c r="Y199" i="6" s="1"/>
  <c r="D158" i="6"/>
  <c r="Y158" i="6" s="1"/>
  <c r="D239" i="6"/>
  <c r="Y239" i="6" s="1"/>
  <c r="D394" i="6"/>
  <c r="Y394" i="6" s="1"/>
  <c r="D424" i="6"/>
  <c r="Y424" i="6" s="1"/>
  <c r="D104" i="6"/>
  <c r="Y104" i="6" s="1"/>
  <c r="D472" i="6"/>
  <c r="Y472" i="6" s="1"/>
  <c r="D248" i="6"/>
  <c r="Y248" i="6" s="1"/>
  <c r="D172" i="6"/>
  <c r="Y172" i="6" s="1"/>
  <c r="D194" i="6"/>
  <c r="Y194" i="6" s="1"/>
  <c r="D349" i="6"/>
  <c r="Y349" i="6" s="1"/>
  <c r="D79" i="6"/>
  <c r="Y79" i="6" s="1"/>
  <c r="D443" i="6"/>
  <c r="Y443" i="6" s="1"/>
  <c r="D527" i="6"/>
  <c r="Y527" i="6" s="1"/>
  <c r="D124" i="6"/>
  <c r="Y124" i="6" s="1"/>
  <c r="D486" i="6"/>
  <c r="Y486" i="6" s="1"/>
  <c r="C25" i="6"/>
  <c r="D267" i="6"/>
  <c r="Y267" i="6" s="1"/>
  <c r="D35" i="6"/>
  <c r="Y35" i="6" s="1"/>
  <c r="D353" i="6"/>
  <c r="Y353" i="6" s="1"/>
  <c r="D352" i="6"/>
  <c r="Y352" i="6" s="1"/>
  <c r="C50" i="6"/>
  <c r="D347" i="6"/>
  <c r="Y347" i="6" s="1"/>
  <c r="D332" i="6"/>
  <c r="Y332" i="6" s="1"/>
  <c r="C136" i="6"/>
  <c r="D61" i="6"/>
  <c r="Y61" i="6" s="1"/>
  <c r="D260" i="6"/>
  <c r="Y260" i="6" s="1"/>
  <c r="D18" i="6"/>
  <c r="Y18" i="6" s="1"/>
  <c r="D224" i="6"/>
  <c r="Y224" i="6" s="1"/>
  <c r="D526" i="6"/>
  <c r="Y526" i="6" s="1"/>
  <c r="D230" i="6"/>
  <c r="Y230" i="6" s="1"/>
  <c r="D115" i="6"/>
  <c r="Y115" i="6" s="1"/>
  <c r="D319" i="6"/>
  <c r="Y319" i="6" s="1"/>
  <c r="D446" i="6"/>
  <c r="Y446" i="6" s="1"/>
  <c r="D25" i="2"/>
  <c r="E25" i="2" s="1"/>
  <c r="D266" i="6"/>
  <c r="Y266" i="6" s="1"/>
  <c r="D500" i="6"/>
  <c r="Y500" i="6" s="1"/>
  <c r="D234" i="6"/>
  <c r="Y234" i="6" s="1"/>
  <c r="D452" i="6"/>
  <c r="Y452" i="6" s="1"/>
  <c r="D170" i="6"/>
  <c r="Y170" i="6" s="1"/>
  <c r="D272" i="6"/>
  <c r="Y272" i="6" s="1"/>
  <c r="C19" i="6"/>
  <c r="D429" i="6"/>
  <c r="Y429" i="6" s="1"/>
  <c r="D81" i="6"/>
  <c r="Y81" i="6" s="1"/>
  <c r="D133" i="6"/>
  <c r="Y133" i="6" s="1"/>
  <c r="D117" i="6"/>
  <c r="Y117" i="6" s="1"/>
  <c r="D449" i="6"/>
  <c r="Y449" i="6" s="1"/>
  <c r="D425" i="6"/>
  <c r="Y425" i="6" s="1"/>
  <c r="D290" i="6"/>
  <c r="Y290" i="6" s="1"/>
  <c r="D205" i="6"/>
  <c r="Y205" i="6" s="1"/>
  <c r="D148" i="6"/>
  <c r="Y148" i="6" s="1"/>
  <c r="D176" i="6"/>
  <c r="Y176" i="6" s="1"/>
  <c r="D232" i="6"/>
  <c r="Y232" i="6" s="1"/>
  <c r="D87" i="6"/>
  <c r="Y87" i="6" s="1"/>
  <c r="D246" i="6"/>
  <c r="Y246" i="6" s="1"/>
  <c r="D185" i="6"/>
  <c r="Y185" i="6" s="1"/>
  <c r="D423" i="6"/>
  <c r="Y423" i="6" s="1"/>
  <c r="D126" i="6"/>
  <c r="Y126" i="6" s="1"/>
  <c r="D333" i="6"/>
  <c r="Y333" i="6" s="1"/>
  <c r="C45" i="6"/>
  <c r="D285" i="6"/>
  <c r="Y285" i="6" s="1"/>
  <c r="D357" i="6"/>
  <c r="Y357" i="6" s="1"/>
  <c r="D437" i="6"/>
  <c r="Y437" i="6" s="1"/>
  <c r="D179" i="6"/>
  <c r="Y179" i="6" s="1"/>
  <c r="D143" i="6"/>
  <c r="Y143" i="6" s="1"/>
  <c r="D389" i="6"/>
  <c r="Y389" i="6" s="1"/>
  <c r="D241" i="6"/>
  <c r="Y241" i="6" s="1"/>
  <c r="D302" i="6"/>
  <c r="Y302" i="6" s="1"/>
  <c r="D182" i="6"/>
  <c r="Y182" i="6" s="1"/>
  <c r="D477" i="6"/>
  <c r="Y477" i="6" s="1"/>
  <c r="D507" i="6"/>
  <c r="Y507" i="6" s="1"/>
  <c r="D398" i="6"/>
  <c r="Y398" i="6" s="1"/>
  <c r="D271" i="6"/>
  <c r="Y271" i="6" s="1"/>
  <c r="D78" i="6"/>
  <c r="Y78" i="6" s="1"/>
  <c r="D346" i="6"/>
  <c r="Y346" i="6" s="1"/>
  <c r="D489" i="6"/>
  <c r="Y489" i="6" s="1"/>
  <c r="D479" i="6"/>
  <c r="Y479" i="6" s="1"/>
  <c r="C6" i="6"/>
  <c r="D361" i="6"/>
  <c r="Y361" i="6" s="1"/>
  <c r="D88" i="6"/>
  <c r="Y88" i="6" s="1"/>
  <c r="C49" i="6"/>
  <c r="D282" i="6"/>
  <c r="Y282" i="6" s="1"/>
  <c r="D297" i="6"/>
  <c r="Y297" i="6" s="1"/>
  <c r="D193" i="6"/>
  <c r="Y193" i="6" s="1"/>
  <c r="D200" i="6"/>
  <c r="Y200" i="6" s="1"/>
  <c r="D222" i="6"/>
  <c r="Y222" i="6" s="1"/>
  <c r="D62" i="6"/>
  <c r="Y62" i="6" s="1"/>
  <c r="D112" i="6"/>
  <c r="Y112" i="6" s="1"/>
  <c r="D464" i="6"/>
  <c r="Y464" i="6" s="1"/>
  <c r="D293" i="6"/>
  <c r="Y293" i="6" s="1"/>
  <c r="D501" i="6"/>
  <c r="Y501" i="6" s="1"/>
  <c r="D259" i="6"/>
  <c r="Y259" i="6" s="1"/>
  <c r="C14" i="6"/>
  <c r="D470" i="6"/>
  <c r="Y470" i="6" s="1"/>
  <c r="D186" i="6"/>
  <c r="Y186" i="6" s="1"/>
  <c r="D459" i="6"/>
  <c r="Y459" i="6" s="1"/>
  <c r="D276" i="6"/>
  <c r="Y276" i="6" s="1"/>
  <c r="D326" i="6"/>
  <c r="Y326" i="6" s="1"/>
  <c r="D522" i="6"/>
  <c r="Y522" i="6" s="1"/>
  <c r="D211" i="6"/>
  <c r="Y211" i="6" s="1"/>
  <c r="C26" i="6"/>
  <c r="D435" i="6"/>
  <c r="Y435" i="6" s="1"/>
  <c r="D216" i="6"/>
  <c r="Y216" i="6" s="1"/>
  <c r="C30" i="6"/>
  <c r="D283" i="6"/>
  <c r="Y283" i="6" s="1"/>
  <c r="C27" i="6"/>
  <c r="E19" i="2"/>
  <c r="D491" i="6"/>
  <c r="Y491" i="6" s="1"/>
  <c r="D69" i="6"/>
  <c r="Y69" i="6" s="1"/>
  <c r="D354" i="6"/>
  <c r="Y354" i="6" s="1"/>
  <c r="D149" i="6"/>
  <c r="Y149" i="6" s="1"/>
  <c r="D387" i="6"/>
  <c r="Y387" i="6" s="1"/>
  <c r="C89" i="6"/>
  <c r="C18" i="6"/>
  <c r="D93" i="6"/>
  <c r="Y93" i="6" s="1"/>
  <c r="D178" i="6"/>
  <c r="Y178" i="6" s="1"/>
  <c r="D455" i="6"/>
  <c r="Y455" i="6" s="1"/>
  <c r="D372" i="6"/>
  <c r="Y372" i="6" s="1"/>
  <c r="C13" i="6"/>
  <c r="D256" i="6"/>
  <c r="Y256" i="6" s="1"/>
  <c r="D180" i="6"/>
  <c r="Y180" i="6" s="1"/>
  <c r="D409" i="6"/>
  <c r="Y409" i="6" s="1"/>
  <c r="D146" i="6"/>
  <c r="Y146" i="6" s="1"/>
  <c r="D513" i="6"/>
  <c r="Y513" i="6" s="1"/>
  <c r="D381" i="6"/>
  <c r="Y381" i="6" s="1"/>
  <c r="D257" i="6"/>
  <c r="Y257" i="6" s="1"/>
  <c r="D47" i="6"/>
  <c r="Y47" i="6" s="1"/>
  <c r="D298" i="6"/>
  <c r="Y298" i="6" s="1"/>
  <c r="D99" i="6"/>
  <c r="Y99" i="6" s="1"/>
  <c r="D269" i="6"/>
  <c r="Y269" i="6" s="1"/>
  <c r="D277" i="6"/>
  <c r="Y277" i="6" s="1"/>
  <c r="D70" i="6"/>
  <c r="Y70" i="6" s="1"/>
  <c r="D164" i="6"/>
  <c r="Y164" i="6" s="1"/>
  <c r="C43" i="6"/>
  <c r="D226" i="6"/>
  <c r="Y226" i="6" s="1"/>
  <c r="D371" i="6"/>
  <c r="Y371" i="6" s="1"/>
  <c r="D77" i="6"/>
  <c r="Y77" i="6" s="1"/>
  <c r="D97" i="6"/>
  <c r="Y97" i="6" s="1"/>
  <c r="D294" i="6"/>
  <c r="Y294" i="6" s="1"/>
  <c r="D466" i="6"/>
  <c r="Y466" i="6" s="1"/>
  <c r="D379" i="6"/>
  <c r="Y379" i="6" s="1"/>
  <c r="D517" i="6"/>
  <c r="Y517" i="6" s="1"/>
  <c r="D203" i="6"/>
  <c r="Y203" i="6" s="1"/>
  <c r="D432" i="6"/>
  <c r="Y432" i="6" s="1"/>
  <c r="D510" i="6"/>
  <c r="Y510" i="6" s="1"/>
  <c r="D523" i="6"/>
  <c r="Y523" i="6" s="1"/>
  <c r="D20" i="6"/>
  <c r="Y20" i="6" s="1"/>
  <c r="D516" i="6"/>
  <c r="Y516" i="6" s="1"/>
  <c r="D251" i="6"/>
  <c r="Y251" i="6" s="1"/>
  <c r="D114" i="6"/>
  <c r="Y114" i="6" s="1"/>
  <c r="D94" i="6"/>
  <c r="Y94" i="6" s="1"/>
  <c r="D280" i="6"/>
  <c r="Y280" i="6" s="1"/>
  <c r="D66" i="6"/>
  <c r="Y66" i="6" s="1"/>
  <c r="D530" i="6"/>
  <c r="Y530" i="6" s="1"/>
  <c r="D494" i="6"/>
  <c r="Y494" i="6" s="1"/>
  <c r="D475" i="6"/>
  <c r="Y475" i="6" s="1"/>
  <c r="D15" i="6"/>
  <c r="Y15" i="6" s="1"/>
  <c r="D458" i="6"/>
  <c r="Y458" i="6" s="1"/>
  <c r="D281" i="6"/>
  <c r="Y281" i="6" s="1"/>
  <c r="D402" i="6"/>
  <c r="Y402" i="6" s="1"/>
  <c r="D512" i="6"/>
  <c r="Y512" i="6" s="1"/>
  <c r="D404" i="6"/>
  <c r="Y404" i="6" s="1"/>
  <c r="D51" i="6"/>
  <c r="Y51" i="6" s="1"/>
  <c r="D218" i="6"/>
  <c r="Y218" i="6" s="1"/>
  <c r="D537" i="6"/>
  <c r="Y537" i="6" s="1"/>
  <c r="D274" i="6"/>
  <c r="Y274" i="6" s="1"/>
  <c r="D313" i="6"/>
  <c r="Y313" i="6" s="1"/>
  <c r="D91" i="6"/>
  <c r="Y91" i="6" s="1"/>
  <c r="D213" i="6"/>
  <c r="Y213" i="6" s="1"/>
  <c r="D235" i="6"/>
  <c r="Y235" i="6" s="1"/>
  <c r="D393" i="6"/>
  <c r="Y393" i="6" s="1"/>
  <c r="D175" i="6"/>
  <c r="Y175" i="6" s="1"/>
  <c r="D110" i="6"/>
  <c r="Y110" i="6" s="1"/>
  <c r="D161" i="6"/>
  <c r="Y161" i="6" s="1"/>
  <c r="D125" i="6"/>
  <c r="Y125" i="6" s="1"/>
  <c r="D249" i="6"/>
  <c r="Y249" i="6" s="1"/>
  <c r="D541" i="6"/>
  <c r="Y541" i="6" s="1"/>
  <c r="D341" i="6"/>
  <c r="Y341" i="6" s="1"/>
  <c r="D462" i="6"/>
  <c r="Y462" i="6" s="1"/>
  <c r="D481" i="6"/>
  <c r="Y481" i="6" s="1"/>
  <c r="C22" i="6"/>
  <c r="D163" i="6"/>
  <c r="Y163" i="6" s="1"/>
  <c r="D473" i="6"/>
  <c r="Y473" i="6" s="1"/>
  <c r="D503" i="6"/>
  <c r="Y503" i="6" s="1"/>
  <c r="D492" i="6"/>
  <c r="Y492" i="6" s="1"/>
  <c r="D460" i="6"/>
  <c r="Y460" i="6" s="1"/>
  <c r="D447" i="6"/>
  <c r="Y447" i="6" s="1"/>
  <c r="D410" i="6"/>
  <c r="Y410" i="6" s="1"/>
  <c r="D121" i="6"/>
  <c r="Y121" i="6" s="1"/>
  <c r="D40" i="6"/>
  <c r="Y40" i="6" s="1"/>
  <c r="D502" i="6"/>
  <c r="Y502" i="6" s="1"/>
  <c r="D368" i="6"/>
  <c r="Y368" i="6" s="1"/>
  <c r="C7" i="6"/>
  <c r="D421" i="6"/>
  <c r="Y421" i="6" s="1"/>
  <c r="D529" i="6"/>
  <c r="Y529" i="6" s="1"/>
  <c r="D183" i="6"/>
  <c r="Y183" i="6" s="1"/>
  <c r="D496" i="6"/>
  <c r="Y496" i="6" s="1"/>
  <c r="D80" i="6"/>
  <c r="Y80" i="6" s="1"/>
  <c r="D50" i="6"/>
  <c r="Y50" i="6" s="1"/>
  <c r="D108" i="6"/>
  <c r="Y108" i="6" s="1"/>
  <c r="D208" i="6"/>
  <c r="Y208" i="6" s="1"/>
  <c r="D184" i="6"/>
  <c r="Y184" i="6" s="1"/>
  <c r="D46" i="6"/>
  <c r="Y46" i="6" s="1"/>
  <c r="D26" i="6"/>
  <c r="D434" i="6"/>
  <c r="Y434" i="6" s="1"/>
  <c r="D478" i="6"/>
  <c r="Y478" i="6" s="1"/>
  <c r="D141" i="6"/>
  <c r="Y141" i="6" s="1"/>
  <c r="D469" i="6"/>
  <c r="Y469" i="6" s="1"/>
  <c r="D147" i="6"/>
  <c r="Y147" i="6" s="1"/>
  <c r="D13" i="6"/>
  <c r="Y13" i="6" s="1"/>
  <c r="D417" i="6"/>
  <c r="Y417" i="6" s="1"/>
  <c r="D385" i="6"/>
  <c r="Y385" i="6" s="1"/>
  <c r="D217" i="6"/>
  <c r="Y217" i="6" s="1"/>
  <c r="D358" i="6"/>
  <c r="Y358" i="6" s="1"/>
  <c r="D539" i="6"/>
  <c r="Y539" i="6" s="1"/>
  <c r="D43" i="6"/>
  <c r="Y43" i="6" s="1"/>
  <c r="D411" i="6"/>
  <c r="Y411" i="6" s="1"/>
  <c r="D4" i="6"/>
  <c r="Y4" i="6" s="1"/>
  <c r="D461" i="6"/>
  <c r="Y461" i="6" s="1"/>
  <c r="D468" i="6"/>
  <c r="Y468" i="6" s="1"/>
  <c r="D476" i="6"/>
  <c r="Y476" i="6" s="1"/>
  <c r="D174" i="6"/>
  <c r="Y174" i="6" s="1"/>
  <c r="D145" i="6"/>
  <c r="Y145" i="6" s="1"/>
  <c r="C37" i="6"/>
  <c r="C34" i="6"/>
  <c r="D296" i="6"/>
  <c r="Y296" i="6" s="1"/>
  <c r="D177" i="6"/>
  <c r="Y177" i="6" s="1"/>
  <c r="D395" i="6"/>
  <c r="Y395" i="6" s="1"/>
  <c r="D8" i="6"/>
  <c r="Y8" i="6" s="1"/>
  <c r="D440" i="6"/>
  <c r="Y440" i="6" s="1"/>
  <c r="D441" i="6"/>
  <c r="Y441" i="6" s="1"/>
  <c r="D422" i="6"/>
  <c r="Y422" i="6" s="1"/>
  <c r="D456" i="6"/>
  <c r="Y456" i="6" s="1"/>
  <c r="D223" i="6"/>
  <c r="Y223" i="6" s="1"/>
  <c r="D454" i="6"/>
  <c r="Y454" i="6" s="1"/>
  <c r="D111" i="6"/>
  <c r="Y111" i="6" s="1"/>
  <c r="C54" i="6"/>
  <c r="D54" i="6"/>
  <c r="Y54" i="6" s="1"/>
  <c r="D53" i="6"/>
  <c r="Y53" i="6" s="1"/>
  <c r="D499" i="6"/>
  <c r="Y499" i="6" s="1"/>
  <c r="D140" i="6"/>
  <c r="Y140" i="6" s="1"/>
  <c r="D17" i="6"/>
  <c r="Y17" i="6" s="1"/>
  <c r="D428" i="6"/>
  <c r="Y428" i="6" s="1"/>
  <c r="D196" i="6"/>
  <c r="Y196" i="6" s="1"/>
  <c r="D238" i="6"/>
  <c r="Y238" i="6" s="1"/>
  <c r="D262" i="6"/>
  <c r="Y262" i="6" s="1"/>
  <c r="C21" i="6"/>
  <c r="D419" i="6"/>
  <c r="Y419" i="6" s="1"/>
  <c r="D377" i="6"/>
  <c r="Y377" i="6" s="1"/>
  <c r="D390" i="6"/>
  <c r="Y390" i="6" s="1"/>
  <c r="D444" i="6"/>
  <c r="Y444" i="6" s="1"/>
  <c r="D348" i="6"/>
  <c r="Y348" i="6" s="1"/>
  <c r="D166" i="6"/>
  <c r="Y166" i="6" s="1"/>
  <c r="D367" i="6"/>
  <c r="Y367" i="6" s="1"/>
  <c r="D312" i="6"/>
  <c r="Y312" i="6" s="1"/>
  <c r="D436" i="6"/>
  <c r="Y436" i="6" s="1"/>
  <c r="D538" i="6"/>
  <c r="Y538" i="6" s="1"/>
  <c r="C46" i="6"/>
  <c r="D355" i="6"/>
  <c r="Y355" i="6" s="1"/>
  <c r="D25" i="6"/>
  <c r="Y25" i="6" s="1"/>
  <c r="D65" i="6"/>
  <c r="Y65" i="6" s="1"/>
  <c r="D101" i="6"/>
  <c r="Y101" i="6" s="1"/>
  <c r="D38" i="6"/>
  <c r="Y38" i="6" s="1"/>
  <c r="D336" i="6"/>
  <c r="Y336" i="6" s="1"/>
  <c r="D52" i="6"/>
  <c r="Y52" i="6" s="1"/>
  <c r="D284" i="6"/>
  <c r="Y284" i="6" s="1"/>
  <c r="D386" i="6"/>
  <c r="Y386" i="6" s="1"/>
  <c r="D493" i="6"/>
  <c r="Y493" i="6" s="1"/>
  <c r="D309" i="6"/>
  <c r="Y309" i="6" s="1"/>
  <c r="D156" i="6"/>
  <c r="Y156" i="6" s="1"/>
  <c r="D60" i="6"/>
  <c r="Y60" i="6" s="1"/>
  <c r="D173" i="6"/>
  <c r="Y173" i="6" s="1"/>
  <c r="C32" i="6"/>
  <c r="D528" i="6"/>
  <c r="Y528" i="6" s="1"/>
  <c r="D525" i="6"/>
  <c r="Y525" i="6" s="1"/>
  <c r="C42" i="6"/>
  <c r="D14" i="6"/>
  <c r="Y14" i="6" s="1"/>
  <c r="C4" i="6"/>
  <c r="E4" i="6" s="1"/>
  <c r="D201" i="6"/>
  <c r="Y201" i="6" s="1"/>
  <c r="D59" i="6"/>
  <c r="Y59" i="6" s="1"/>
  <c r="D261" i="6"/>
  <c r="Y261" i="6" s="1"/>
  <c r="D160" i="6"/>
  <c r="Y160" i="6" s="1"/>
  <c r="D159" i="6"/>
  <c r="Y159" i="6" s="1"/>
  <c r="D219" i="6"/>
  <c r="Y219" i="6" s="1"/>
  <c r="D195" i="6"/>
  <c r="Y195" i="6" s="1"/>
  <c r="D273" i="6"/>
  <c r="Y273" i="6" s="1"/>
  <c r="C38" i="6"/>
  <c r="D37" i="6"/>
  <c r="Y37" i="6" s="1"/>
  <c r="D490" i="6"/>
  <c r="Y490" i="6" s="1"/>
  <c r="D362" i="6"/>
  <c r="Y362" i="6" s="1"/>
  <c r="D157" i="6"/>
  <c r="Y157" i="6" s="1"/>
  <c r="D331" i="6"/>
  <c r="Y331" i="6" s="1"/>
  <c r="D127" i="6"/>
  <c r="Y127" i="6" s="1"/>
  <c r="D129" i="6"/>
  <c r="Y129" i="6" s="1"/>
  <c r="D536" i="6"/>
  <c r="Y536" i="6" s="1"/>
  <c r="D73" i="6"/>
  <c r="Y73" i="6" s="1"/>
  <c r="D286" i="6"/>
  <c r="Y286" i="6" s="1"/>
  <c r="D252" i="6"/>
  <c r="Y252" i="6" s="1"/>
  <c r="D360" i="6"/>
  <c r="Y360" i="6" s="1"/>
  <c r="D188" i="6"/>
  <c r="Y188" i="6" s="1"/>
  <c r="D55" i="6"/>
  <c r="Y55" i="6" s="1"/>
  <c r="C28" i="6"/>
  <c r="D49" i="6"/>
  <c r="D363" i="6"/>
  <c r="Y363" i="6" s="1"/>
  <c r="D95" i="6"/>
  <c r="Y95" i="6" s="1"/>
  <c r="D322" i="6"/>
  <c r="Y322" i="6" s="1"/>
  <c r="D465" i="6"/>
  <c r="Y465" i="6" s="1"/>
  <c r="C29" i="6"/>
  <c r="D142" i="6"/>
  <c r="Y142" i="6" s="1"/>
  <c r="D83" i="6"/>
  <c r="Y83" i="6" s="1"/>
  <c r="D24" i="6"/>
  <c r="Y24" i="6" s="1"/>
  <c r="D416" i="6"/>
  <c r="Y416" i="6" s="1"/>
  <c r="D265" i="6"/>
  <c r="Y265" i="6" s="1"/>
  <c r="D418" i="6"/>
  <c r="Y418" i="6" s="1"/>
  <c r="D72" i="6"/>
  <c r="Y72" i="6" s="1"/>
  <c r="D21" i="6"/>
  <c r="Y21" i="6" s="1"/>
  <c r="D32" i="6"/>
  <c r="Y32" i="6" s="1"/>
  <c r="D519" i="6"/>
  <c r="Y519" i="6" s="1"/>
  <c r="D521" i="6"/>
  <c r="Y521" i="6" s="1"/>
  <c r="D106" i="6"/>
  <c r="Y106" i="6" s="1"/>
  <c r="D202" i="6"/>
  <c r="Y202" i="6" s="1"/>
  <c r="D430" i="6"/>
  <c r="Y430" i="6" s="1"/>
  <c r="D36" i="6"/>
  <c r="Y36" i="6" s="1"/>
  <c r="D209" i="6"/>
  <c r="Y209" i="6" s="1"/>
  <c r="D383" i="6"/>
  <c r="Y383" i="6" s="1"/>
  <c r="D292" i="6"/>
  <c r="Y292" i="6" s="1"/>
  <c r="D484" i="6"/>
  <c r="Y484" i="6" s="1"/>
  <c r="D150" i="6"/>
  <c r="Y150" i="6" s="1"/>
  <c r="D339" i="6"/>
  <c r="Y339" i="6" s="1"/>
  <c r="D474" i="6"/>
  <c r="Y474" i="6" s="1"/>
  <c r="D396" i="6"/>
  <c r="Y396" i="6" s="1"/>
  <c r="D109" i="6"/>
  <c r="Y109" i="6" s="1"/>
  <c r="D448" i="6"/>
  <c r="Y448" i="6" s="1"/>
  <c r="D316" i="6"/>
  <c r="Y316" i="6" s="1"/>
  <c r="C56" i="6"/>
  <c r="C5" i="6"/>
  <c r="D453" i="6"/>
  <c r="Y453" i="6" s="1"/>
  <c r="D197" i="6"/>
  <c r="Y197" i="6" s="1"/>
  <c r="D113" i="6"/>
  <c r="Y113" i="6" s="1"/>
  <c r="D100" i="6"/>
  <c r="Y100" i="6" s="1"/>
  <c r="D508" i="6"/>
  <c r="Y508" i="6" s="1"/>
  <c r="D28" i="6"/>
  <c r="Y28" i="6" s="1"/>
  <c r="D427" i="6"/>
  <c r="Y427" i="6" s="1"/>
  <c r="D373" i="6"/>
  <c r="Y373" i="6" s="1"/>
  <c r="D253" i="6"/>
  <c r="Y253" i="6" s="1"/>
  <c r="D320" i="6"/>
  <c r="Y320" i="6" s="1"/>
  <c r="D134" i="6"/>
  <c r="Y134" i="6" s="1"/>
  <c r="D270" i="6"/>
  <c r="Y270" i="6" s="1"/>
  <c r="D370" i="6"/>
  <c r="Y370" i="6" s="1"/>
  <c r="D96" i="6"/>
  <c r="Y96" i="6" s="1"/>
  <c r="D351" i="6"/>
  <c r="Y351" i="6" s="1"/>
  <c r="D63" i="6"/>
  <c r="Y63" i="6" s="1"/>
  <c r="C20" i="6"/>
  <c r="E20" i="6" s="1"/>
  <c r="D120" i="6"/>
  <c r="Y120" i="6" s="1"/>
  <c r="D23" i="6"/>
  <c r="Y23" i="6" s="1"/>
  <c r="D122" i="6"/>
  <c r="Y122" i="6" s="1"/>
  <c r="D514" i="6"/>
  <c r="Y514" i="6" s="1"/>
  <c r="D540" i="6"/>
  <c r="Y540" i="6" s="1"/>
  <c r="C65" i="6"/>
  <c r="E65" i="6" s="1"/>
  <c r="D324" i="6"/>
  <c r="Y324" i="6" s="1"/>
  <c r="D335" i="6"/>
  <c r="Y335" i="6" s="1"/>
  <c r="D48" i="6"/>
  <c r="Y48" i="6" s="1"/>
  <c r="D323" i="6"/>
  <c r="Y323" i="6" s="1"/>
  <c r="D401" i="6"/>
  <c r="Y401" i="6" s="1"/>
  <c r="D245" i="6"/>
  <c r="Y245" i="6" s="1"/>
  <c r="D483" i="6"/>
  <c r="Y483" i="6" s="1"/>
  <c r="D295" i="6"/>
  <c r="Y295" i="6" s="1"/>
  <c r="D116" i="6"/>
  <c r="Y116" i="6" s="1"/>
  <c r="D518" i="6"/>
  <c r="Y518" i="6" s="1"/>
  <c r="D128" i="6"/>
  <c r="Y128" i="6" s="1"/>
  <c r="D325" i="6"/>
  <c r="Y325" i="6" s="1"/>
  <c r="D366" i="6"/>
  <c r="Y366" i="6" s="1"/>
  <c r="D420" i="6"/>
  <c r="Y420" i="6" s="1"/>
  <c r="D375" i="6"/>
  <c r="Y375" i="6" s="1"/>
  <c r="C75" i="6"/>
  <c r="C83" i="6"/>
  <c r="D471" i="6"/>
  <c r="Y471" i="6" s="1"/>
  <c r="D210" i="6"/>
  <c r="Y210" i="6" s="1"/>
  <c r="D442" i="6"/>
  <c r="Y442" i="6" s="1"/>
  <c r="C111" i="6"/>
  <c r="D39" i="6"/>
  <c r="Y39" i="6" s="1"/>
  <c r="D29" i="6"/>
  <c r="D408" i="6"/>
  <c r="Y408" i="6" s="1"/>
  <c r="D488" i="6"/>
  <c r="Y488" i="6" s="1"/>
  <c r="D407" i="6"/>
  <c r="Y407" i="6" s="1"/>
  <c r="D506" i="6"/>
  <c r="Y506" i="6" s="1"/>
  <c r="D169" i="6"/>
  <c r="Y169" i="6" s="1"/>
  <c r="D227" i="6"/>
  <c r="Y227" i="6" s="1"/>
  <c r="C106" i="6"/>
  <c r="D403" i="6"/>
  <c r="Y403" i="6" s="1"/>
  <c r="D135" i="6"/>
  <c r="Y135" i="6" s="1"/>
  <c r="D406" i="6"/>
  <c r="Y406" i="6" s="1"/>
  <c r="D397" i="6"/>
  <c r="Y397" i="6" s="1"/>
  <c r="D11" i="6"/>
  <c r="Y11" i="6" s="1"/>
  <c r="C77" i="6"/>
  <c r="E77" i="6" s="1"/>
  <c r="C92" i="6"/>
  <c r="D9" i="6"/>
  <c r="Y9" i="6" s="1"/>
  <c r="D56" i="6"/>
  <c r="Y56" i="6" s="1"/>
  <c r="D7" i="6"/>
  <c r="Y7" i="6" s="1"/>
  <c r="D305" i="6"/>
  <c r="Y305" i="6" s="1"/>
  <c r="D152" i="6"/>
  <c r="Y152" i="6" s="1"/>
  <c r="D343" i="6"/>
  <c r="Y343" i="6" s="1"/>
  <c r="D155" i="6"/>
  <c r="Y155" i="6" s="1"/>
  <c r="C97" i="6"/>
  <c r="E97" i="6" s="1"/>
  <c r="D258" i="6"/>
  <c r="Y258" i="6" s="1"/>
  <c r="D228" i="6"/>
  <c r="Y228" i="6" s="1"/>
  <c r="D463" i="6"/>
  <c r="Y463" i="6" s="1"/>
  <c r="D144" i="6"/>
  <c r="Y144" i="6" s="1"/>
  <c r="D5" i="6"/>
  <c r="Y5" i="6" s="1"/>
  <c r="D153" i="6"/>
  <c r="Y153" i="6" s="1"/>
  <c r="D524" i="6"/>
  <c r="Y524" i="6" s="1"/>
  <c r="D105" i="6"/>
  <c r="Y105" i="6" s="1"/>
  <c r="D12" i="6"/>
  <c r="Y12" i="6" s="1"/>
  <c r="D487" i="6"/>
  <c r="Y487" i="6" s="1"/>
  <c r="C17" i="6"/>
  <c r="C84" i="6"/>
  <c r="C82" i="6"/>
  <c r="D247" i="6"/>
  <c r="Y247" i="6" s="1"/>
  <c r="D255" i="6"/>
  <c r="Y255" i="6" s="1"/>
  <c r="D103" i="6"/>
  <c r="Y103" i="6" s="1"/>
  <c r="D485" i="6"/>
  <c r="Y485" i="6" s="1"/>
  <c r="D198" i="6"/>
  <c r="Y198" i="6" s="1"/>
  <c r="D306" i="6"/>
  <c r="Y306" i="6" s="1"/>
  <c r="D392" i="6"/>
  <c r="Y392" i="6" s="1"/>
  <c r="D98" i="6"/>
  <c r="Y98" i="6" s="1"/>
  <c r="C107" i="6"/>
  <c r="D44" i="6"/>
  <c r="Y44" i="6" s="1"/>
  <c r="D240" i="6"/>
  <c r="Y240" i="6" s="1"/>
  <c r="D76" i="6"/>
  <c r="Y76" i="6" s="1"/>
  <c r="D413" i="6"/>
  <c r="Y413" i="6" s="1"/>
  <c r="D220" i="6"/>
  <c r="Y220" i="6" s="1"/>
  <c r="D382" i="6"/>
  <c r="Y382" i="6" s="1"/>
  <c r="D412" i="6"/>
  <c r="Y412" i="6" s="1"/>
  <c r="C80" i="6"/>
  <c r="E80" i="6" s="1"/>
  <c r="D497" i="6"/>
  <c r="Y497" i="6" s="1"/>
  <c r="D275" i="6"/>
  <c r="Y275" i="6" s="1"/>
  <c r="D190" i="6"/>
  <c r="Y190" i="6" s="1"/>
  <c r="D207" i="6"/>
  <c r="Y207" i="6" s="1"/>
  <c r="C12" i="6"/>
  <c r="D136" i="6"/>
  <c r="Y136" i="6" s="1"/>
  <c r="D165" i="6"/>
  <c r="Y165" i="6" s="1"/>
  <c r="D68" i="6"/>
  <c r="Y68" i="6" s="1"/>
  <c r="C61" i="6"/>
  <c r="E61" i="6" s="1"/>
  <c r="D495" i="6"/>
  <c r="Y495" i="6" s="1"/>
  <c r="D369" i="6"/>
  <c r="Y369" i="6" s="1"/>
  <c r="D107" i="6"/>
  <c r="Y107" i="6" s="1"/>
  <c r="D498" i="6"/>
  <c r="Y498" i="6" s="1"/>
  <c r="C39" i="6"/>
  <c r="D505" i="6"/>
  <c r="Y505" i="6" s="1"/>
  <c r="D301" i="6"/>
  <c r="Y301" i="6" s="1"/>
  <c r="D534" i="6"/>
  <c r="Y534" i="6" s="1"/>
  <c r="D307" i="6"/>
  <c r="Y307" i="6" s="1"/>
  <c r="D204" i="6"/>
  <c r="Y204" i="6" s="1"/>
  <c r="D171" i="6"/>
  <c r="Y171" i="6" s="1"/>
  <c r="D533" i="6"/>
  <c r="Y533" i="6" s="1"/>
  <c r="D482" i="6"/>
  <c r="Y482" i="6" s="1"/>
  <c r="D520" i="6"/>
  <c r="Y520" i="6" s="1"/>
  <c r="D31" i="6"/>
  <c r="Y31" i="6" s="1"/>
  <c r="C53" i="6"/>
  <c r="C24" i="6"/>
  <c r="D318" i="6"/>
  <c r="Y318" i="6" s="1"/>
  <c r="D338" i="6"/>
  <c r="Y338" i="6" s="1"/>
  <c r="D45" i="6"/>
  <c r="Y45" i="6" s="1"/>
  <c r="D233" i="6"/>
  <c r="Y233" i="6" s="1"/>
  <c r="D16" i="6"/>
  <c r="Y16" i="6" s="1"/>
  <c r="C86" i="6"/>
  <c r="D289" i="6"/>
  <c r="Y289" i="6" s="1"/>
  <c r="D215" i="6"/>
  <c r="Y215" i="6" s="1"/>
  <c r="D64" i="6"/>
  <c r="Y64" i="6" s="1"/>
  <c r="D10" i="6"/>
  <c r="Y10" i="6" s="1"/>
  <c r="D84" i="6"/>
  <c r="Y84" i="6" s="1"/>
  <c r="C78" i="6"/>
  <c r="E78" i="6" s="1"/>
  <c r="D399" i="6"/>
  <c r="Y399" i="6" s="1"/>
  <c r="C72" i="6"/>
  <c r="E72" i="6" s="1"/>
  <c r="D263" i="6"/>
  <c r="Y263" i="6" s="1"/>
  <c r="D515" i="6"/>
  <c r="Y515" i="6" s="1"/>
  <c r="D85" i="6"/>
  <c r="Y85" i="6" s="1"/>
  <c r="D438" i="6"/>
  <c r="Y438" i="6" s="1"/>
  <c r="D119" i="6"/>
  <c r="Y119" i="6" s="1"/>
  <c r="D33" i="6"/>
  <c r="Y33" i="6" s="1"/>
  <c r="D214" i="6"/>
  <c r="Y214" i="6" s="1"/>
  <c r="D376" i="6"/>
  <c r="Y376" i="6" s="1"/>
  <c r="D189" i="6"/>
  <c r="Y189" i="6" s="1"/>
  <c r="D431" i="6"/>
  <c r="Y431" i="6" s="1"/>
  <c r="D229" i="6"/>
  <c r="Y229" i="6" s="1"/>
  <c r="D433" i="6"/>
  <c r="Y433" i="6" s="1"/>
  <c r="D58" i="6"/>
  <c r="Y58" i="6" s="1"/>
  <c r="D330" i="6"/>
  <c r="Y330" i="6" s="1"/>
  <c r="D264" i="6"/>
  <c r="Y264" i="6" s="1"/>
  <c r="D345" i="6"/>
  <c r="Y345" i="6" s="1"/>
  <c r="D350" i="6"/>
  <c r="Y350" i="6" s="1"/>
  <c r="D57" i="6"/>
  <c r="Y57" i="6" s="1"/>
  <c r="D388" i="6"/>
  <c r="Y388" i="6" s="1"/>
  <c r="D287" i="6"/>
  <c r="Y287" i="6" s="1"/>
  <c r="D123" i="6"/>
  <c r="Y123" i="6" s="1"/>
  <c r="D450" i="6"/>
  <c r="Y450" i="6" s="1"/>
  <c r="D291" i="6"/>
  <c r="Y291" i="6" s="1"/>
  <c r="D328" i="6"/>
  <c r="Y328" i="6" s="1"/>
  <c r="D340" i="6"/>
  <c r="Y340" i="6" s="1"/>
  <c r="C10" i="6"/>
  <c r="D342" i="6"/>
  <c r="Y342" i="6" s="1"/>
  <c r="D311" i="6"/>
  <c r="Y311" i="6" s="1"/>
  <c r="C51" i="6"/>
  <c r="E51" i="6" s="1"/>
  <c r="D405" i="6"/>
  <c r="Y405" i="6" s="1"/>
  <c r="D237" i="6"/>
  <c r="Y237" i="6" s="1"/>
  <c r="D380" i="6"/>
  <c r="Y380" i="6" s="1"/>
  <c r="D82" i="6"/>
  <c r="D439" i="6"/>
  <c r="Y439" i="6" s="1"/>
  <c r="D243" i="6"/>
  <c r="Y243" i="6" s="1"/>
  <c r="D90" i="6"/>
  <c r="Y90" i="6" s="1"/>
  <c r="D511" i="6"/>
  <c r="Y511" i="6" s="1"/>
  <c r="C11" i="6"/>
  <c r="C35" i="6"/>
  <c r="E35" i="6" s="1"/>
  <c r="D531" i="6"/>
  <c r="Y531" i="6" s="1"/>
  <c r="D457" i="6"/>
  <c r="Y457" i="6" s="1"/>
  <c r="D445" i="6"/>
  <c r="Y445" i="6" s="1"/>
  <c r="D27" i="6"/>
  <c r="E27" i="6" s="1"/>
  <c r="D303" i="6"/>
  <c r="Y303" i="6" s="1"/>
  <c r="D414" i="6"/>
  <c r="Y414" i="6" s="1"/>
  <c r="C8" i="6"/>
  <c r="D299" i="6"/>
  <c r="Y299" i="6" s="1"/>
  <c r="D244" i="6"/>
  <c r="Y244" i="6" s="1"/>
  <c r="D532" i="6"/>
  <c r="Y532" i="6" s="1"/>
  <c r="D192" i="6"/>
  <c r="Y192" i="6" s="1"/>
  <c r="D278" i="6"/>
  <c r="Y278" i="6" s="1"/>
  <c r="D337" i="6"/>
  <c r="Y337" i="6" s="1"/>
  <c r="D327" i="6"/>
  <c r="Y327" i="6" s="1"/>
  <c r="D279" i="6"/>
  <c r="Y279" i="6" s="1"/>
  <c r="D304" i="6"/>
  <c r="Y304" i="6" s="1"/>
  <c r="D321" i="6"/>
  <c r="Y321" i="6" s="1"/>
  <c r="D191" i="6"/>
  <c r="Y191" i="6" s="1"/>
  <c r="C88" i="6"/>
  <c r="C9" i="6"/>
  <c r="D356" i="6"/>
  <c r="Y356" i="6" s="1"/>
  <c r="D102" i="6"/>
  <c r="Y102" i="6" s="1"/>
  <c r="D131" i="6"/>
  <c r="Y131" i="6" s="1"/>
  <c r="D344" i="6"/>
  <c r="Y344" i="6" s="1"/>
  <c r="D334" i="6"/>
  <c r="Y334" i="6" s="1"/>
  <c r="D288" i="6"/>
  <c r="Y288" i="6" s="1"/>
  <c r="D41" i="6"/>
  <c r="Y41" i="6" s="1"/>
  <c r="C33" i="6"/>
  <c r="C64" i="6"/>
  <c r="C112" i="6"/>
  <c r="E112" i="6" s="1"/>
  <c r="C99" i="6"/>
  <c r="D130" i="6"/>
  <c r="Y130" i="6" s="1"/>
  <c r="D308" i="6"/>
  <c r="Y308" i="6" s="1"/>
  <c r="C118" i="6"/>
  <c r="E118" i="6" s="1"/>
  <c r="D154" i="6"/>
  <c r="Y154" i="6" s="1"/>
  <c r="C120" i="6"/>
  <c r="D22" i="6"/>
  <c r="Y22" i="6" s="1"/>
  <c r="C44" i="6"/>
  <c r="E44" i="6" s="1"/>
  <c r="D374" i="6"/>
  <c r="Y374" i="6" s="1"/>
  <c r="D168" i="6"/>
  <c r="Y168" i="6" s="1"/>
  <c r="D151" i="6"/>
  <c r="Y151" i="6" s="1"/>
  <c r="D30" i="6"/>
  <c r="D391" i="6"/>
  <c r="Y391" i="6" s="1"/>
  <c r="C68" i="6"/>
  <c r="E68" i="6" s="1"/>
  <c r="C67" i="6"/>
  <c r="E67" i="6" s="1"/>
  <c r="C103" i="6"/>
  <c r="D535" i="6"/>
  <c r="Y535" i="6" s="1"/>
  <c r="D415" i="6"/>
  <c r="Y415" i="6" s="1"/>
  <c r="D250" i="6"/>
  <c r="Y250" i="6" s="1"/>
  <c r="D6" i="6"/>
  <c r="Y6" i="6" s="1"/>
  <c r="C98" i="6"/>
  <c r="E98" i="6" s="1"/>
  <c r="D139" i="6"/>
  <c r="Y139" i="6" s="1"/>
  <c r="D231" i="6"/>
  <c r="Y231" i="6" s="1"/>
  <c r="D42" i="6"/>
  <c r="D300" i="6"/>
  <c r="Y300" i="6" s="1"/>
  <c r="C23" i="6"/>
  <c r="C41" i="6"/>
  <c r="D225" i="6"/>
  <c r="Y225" i="6" s="1"/>
  <c r="C62" i="6"/>
  <c r="E62" i="6" s="1"/>
  <c r="D3" i="6"/>
  <c r="Y3" i="6" s="1"/>
  <c r="D92" i="6"/>
  <c r="Y92" i="6" s="1"/>
  <c r="D162" i="6"/>
  <c r="Y162" i="6" s="1"/>
  <c r="D236" i="6"/>
  <c r="Y236" i="6" s="1"/>
  <c r="D34" i="6"/>
  <c r="Y34" i="6" s="1"/>
  <c r="D167" i="6"/>
  <c r="Y167" i="6" s="1"/>
  <c r="D221" i="6"/>
  <c r="Y221" i="6" s="1"/>
  <c r="D400" i="6"/>
  <c r="Y400" i="6" s="1"/>
  <c r="D74" i="6"/>
  <c r="Y74" i="6" s="1"/>
  <c r="C76" i="6"/>
  <c r="C60" i="6"/>
  <c r="E60" i="6" s="1"/>
  <c r="D378" i="6"/>
  <c r="Y378" i="6" s="1"/>
  <c r="D138" i="6"/>
  <c r="Y138" i="6" s="1"/>
  <c r="D317" i="6"/>
  <c r="Y317" i="6" s="1"/>
  <c r="C105" i="6"/>
  <c r="E105" i="6" s="1"/>
  <c r="D19" i="6"/>
  <c r="Y19" i="6" s="1"/>
  <c r="D480" i="6"/>
  <c r="Y480" i="6" s="1"/>
  <c r="C108" i="6"/>
  <c r="C48" i="6"/>
  <c r="D315" i="6"/>
  <c r="Y315" i="6" s="1"/>
  <c r="D206" i="6"/>
  <c r="Y206" i="6" s="1"/>
  <c r="C52" i="6"/>
  <c r="C36" i="6"/>
  <c r="C59" i="6"/>
  <c r="C85" i="6"/>
  <c r="D329" i="6"/>
  <c r="Y329" i="6" s="1"/>
  <c r="C16" i="6"/>
  <c r="C63" i="6"/>
  <c r="D86" i="6"/>
  <c r="Y86" i="6" s="1"/>
  <c r="D212" i="6"/>
  <c r="Y212" i="6" s="1"/>
  <c r="D426" i="6"/>
  <c r="Y426" i="6" s="1"/>
  <c r="C40" i="6"/>
  <c r="D89" i="6"/>
  <c r="Y89" i="6" s="1"/>
  <c r="C47" i="6"/>
  <c r="D310" i="6"/>
  <c r="Y310" i="6" s="1"/>
  <c r="D132" i="6"/>
  <c r="Y132" i="6" s="1"/>
  <c r="C31" i="6"/>
  <c r="C73" i="6"/>
  <c r="C70" i="6"/>
  <c r="E70" i="6" s="1"/>
  <c r="D314" i="6"/>
  <c r="Y314" i="6" s="1"/>
  <c r="C156" i="6"/>
  <c r="C79" i="6"/>
  <c r="E79" i="6" s="1"/>
  <c r="C90" i="6"/>
  <c r="C81" i="6"/>
  <c r="E81" i="6" s="1"/>
  <c r="C146" i="6"/>
  <c r="E146" i="6" s="1"/>
  <c r="C142" i="6"/>
  <c r="C113" i="6"/>
  <c r="C57" i="6"/>
  <c r="E57" i="6" s="1"/>
  <c r="D75" i="6"/>
  <c r="Y75" i="6" s="1"/>
  <c r="D187" i="6"/>
  <c r="Y187" i="6" s="1"/>
  <c r="C110" i="6"/>
  <c r="E110" i="6" s="1"/>
  <c r="C121" i="6"/>
  <c r="C117" i="6"/>
  <c r="E117" i="6" s="1"/>
  <c r="C96" i="6"/>
  <c r="C66" i="6"/>
  <c r="E66" i="6" s="1"/>
  <c r="C95" i="6"/>
  <c r="C55" i="6"/>
  <c r="E55" i="6" s="1"/>
  <c r="C93" i="6"/>
  <c r="E93" i="6" s="1"/>
  <c r="C124" i="6"/>
  <c r="E124" i="6" s="1"/>
  <c r="C15" i="6"/>
  <c r="E15" i="6" s="1"/>
  <c r="D504" i="6"/>
  <c r="Y504" i="6" s="1"/>
  <c r="C178" i="6"/>
  <c r="E178" i="6" s="1"/>
  <c r="C119" i="6"/>
  <c r="C102" i="6"/>
  <c r="C186" i="6"/>
  <c r="C101" i="6"/>
  <c r="E101" i="6" s="1"/>
  <c r="C109" i="6"/>
  <c r="E109" i="6" s="1"/>
  <c r="C126" i="6"/>
  <c r="E126" i="6" s="1"/>
  <c r="C174" i="6"/>
  <c r="C87" i="6"/>
  <c r="E87" i="6" s="1"/>
  <c r="C139" i="6"/>
  <c r="C94" i="6"/>
  <c r="E94" i="6" s="1"/>
  <c r="C135" i="6"/>
  <c r="C123" i="6"/>
  <c r="C91" i="6"/>
  <c r="E91" i="6" s="1"/>
  <c r="C74" i="6"/>
  <c r="C114" i="6"/>
  <c r="E114" i="6" s="1"/>
  <c r="C166" i="6"/>
  <c r="C162" i="6"/>
  <c r="C172" i="6"/>
  <c r="E172" i="6" s="1"/>
  <c r="D467" i="6"/>
  <c r="Y467" i="6" s="1"/>
  <c r="D268" i="6"/>
  <c r="Y268" i="6" s="1"/>
  <c r="C100" i="6"/>
  <c r="E100" i="6" s="1"/>
  <c r="C133" i="6"/>
  <c r="E133" i="6" s="1"/>
  <c r="C145" i="6"/>
  <c r="C58" i="6"/>
  <c r="C159" i="6"/>
  <c r="E159" i="6" s="1"/>
  <c r="C147" i="6"/>
  <c r="C138" i="6"/>
  <c r="C128" i="6"/>
  <c r="C182" i="6"/>
  <c r="E182" i="6" s="1"/>
  <c r="C169" i="6"/>
  <c r="C129" i="6"/>
  <c r="E129" i="6" s="1"/>
  <c r="C122" i="6"/>
  <c r="E122" i="6" s="1"/>
  <c r="C177" i="6"/>
  <c r="E177" i="6" s="1"/>
  <c r="C168" i="6"/>
  <c r="C127" i="6"/>
  <c r="C71" i="6"/>
  <c r="E71" i="6" s="1"/>
  <c r="C143" i="6"/>
  <c r="C115" i="6"/>
  <c r="C160" i="6"/>
  <c r="E160" i="6" s="1"/>
  <c r="C151" i="6"/>
  <c r="C158" i="6"/>
  <c r="E158" i="6" s="1"/>
  <c r="C144" i="6"/>
  <c r="C153" i="6"/>
  <c r="C163" i="6"/>
  <c r="E163" i="6" s="1"/>
  <c r="C154" i="6"/>
  <c r="E154" i="6" s="1"/>
  <c r="C116" i="6"/>
  <c r="C125" i="6"/>
  <c r="C134" i="6"/>
  <c r="C164" i="6"/>
  <c r="E164" i="6" s="1"/>
  <c r="C150" i="6"/>
  <c r="C152" i="6"/>
  <c r="C141" i="6"/>
  <c r="C140" i="6"/>
  <c r="C148" i="6"/>
  <c r="E148" i="6" s="1"/>
  <c r="C171" i="6"/>
  <c r="E171" i="6" s="1"/>
  <c r="C137" i="6"/>
  <c r="D137" i="6"/>
  <c r="Y137" i="6" s="1"/>
  <c r="C132" i="6"/>
  <c r="C165" i="6"/>
  <c r="C104" i="6"/>
  <c r="E104" i="6" s="1"/>
  <c r="C167" i="6"/>
  <c r="C155" i="6"/>
  <c r="C187" i="6"/>
  <c r="C161" i="6"/>
  <c r="C130" i="6"/>
  <c r="C149" i="6"/>
  <c r="C69" i="6"/>
  <c r="E69" i="6" s="1"/>
  <c r="C191" i="6"/>
  <c r="C170" i="6"/>
  <c r="E170" i="6" s="1"/>
  <c r="C180" i="6"/>
  <c r="E180" i="6" s="1"/>
  <c r="C131" i="6"/>
  <c r="C157" i="6"/>
  <c r="C193" i="6"/>
  <c r="E193" i="6" s="1"/>
  <c r="C189" i="6"/>
  <c r="C235" i="6"/>
  <c r="E235" i="6" s="1"/>
  <c r="C216" i="6"/>
  <c r="E216" i="6" s="1"/>
  <c r="C184" i="6"/>
  <c r="E184" i="6" s="1"/>
  <c r="C215" i="6"/>
  <c r="E215" i="6" s="1"/>
  <c r="C236" i="6"/>
  <c r="C176" i="6"/>
  <c r="E176" i="6" s="1"/>
  <c r="C175" i="6"/>
  <c r="E175" i="6" s="1"/>
  <c r="C185" i="6"/>
  <c r="E185" i="6" s="1"/>
  <c r="C214" i="6"/>
  <c r="C212" i="6"/>
  <c r="C258" i="6"/>
  <c r="C221" i="6"/>
  <c r="E221" i="6" s="1"/>
  <c r="C200" i="6"/>
  <c r="E200" i="6" s="1"/>
  <c r="C198" i="6"/>
  <c r="E198" i="6" s="1"/>
  <c r="C228" i="6"/>
  <c r="C204" i="6"/>
  <c r="C225" i="6"/>
  <c r="E225" i="6" s="1"/>
  <c r="C196" i="6"/>
  <c r="E196" i="6" s="1"/>
  <c r="C218" i="6"/>
  <c r="E218" i="6" s="1"/>
  <c r="C220" i="6"/>
  <c r="C231" i="6"/>
  <c r="C229" i="6"/>
  <c r="C203" i="6"/>
  <c r="C201" i="6"/>
  <c r="C194" i="6"/>
  <c r="E194" i="6" s="1"/>
  <c r="C211" i="6"/>
  <c r="E211" i="6" s="1"/>
  <c r="C234" i="6"/>
  <c r="E234" i="6" s="1"/>
  <c r="C173" i="6"/>
  <c r="E173" i="6" s="1"/>
  <c r="C246" i="6"/>
  <c r="E246" i="6" s="1"/>
  <c r="C240" i="6"/>
  <c r="E240" i="6" s="1"/>
  <c r="C210" i="6"/>
  <c r="E210" i="6" s="1"/>
  <c r="C238" i="6"/>
  <c r="E238" i="6" s="1"/>
  <c r="C254" i="6"/>
  <c r="E254" i="6" s="1"/>
  <c r="C299" i="6"/>
  <c r="E299" i="6" s="1"/>
  <c r="C273" i="6"/>
  <c r="C296" i="6"/>
  <c r="C259" i="6"/>
  <c r="E259" i="6" s="1"/>
  <c r="C293" i="6"/>
  <c r="E293" i="6" s="1"/>
  <c r="C247" i="6"/>
  <c r="C262" i="6"/>
  <c r="E262" i="6" s="1"/>
  <c r="C208" i="6"/>
  <c r="E208" i="6" s="1"/>
  <c r="C219" i="6"/>
  <c r="C245" i="6"/>
  <c r="E245" i="6" s="1"/>
  <c r="C206" i="6"/>
  <c r="C195" i="6"/>
  <c r="E195" i="6" s="1"/>
  <c r="C192" i="6"/>
  <c r="C256" i="6"/>
  <c r="E256" i="6" s="1"/>
  <c r="C190" i="6"/>
  <c r="E190" i="6" s="1"/>
  <c r="C217" i="6"/>
  <c r="E217" i="6" s="1"/>
  <c r="C183" i="6"/>
  <c r="E183" i="6" s="1"/>
  <c r="C199" i="6"/>
  <c r="C237" i="6"/>
  <c r="E237" i="6" s="1"/>
  <c r="C255" i="6"/>
  <c r="C241" i="6"/>
  <c r="E241" i="6" s="1"/>
  <c r="C227" i="6"/>
  <c r="E227" i="6" s="1"/>
  <c r="C226" i="6"/>
  <c r="E226" i="6" s="1"/>
  <c r="C271" i="6"/>
  <c r="E271" i="6" s="1"/>
  <c r="C248" i="6"/>
  <c r="E248" i="6" s="1"/>
  <c r="C260" i="6"/>
  <c r="E260" i="6" s="1"/>
  <c r="C261" i="6"/>
  <c r="C252" i="6"/>
  <c r="E252" i="6" s="1"/>
  <c r="C179" i="6"/>
  <c r="C233" i="6"/>
  <c r="C232" i="6"/>
  <c r="E232" i="6" s="1"/>
  <c r="C188" i="6"/>
  <c r="E188" i="6" s="1"/>
  <c r="C209" i="6"/>
  <c r="C243" i="6"/>
  <c r="E243" i="6" s="1"/>
  <c r="C249" i="6"/>
  <c r="C205" i="6"/>
  <c r="E205" i="6" s="1"/>
  <c r="C207" i="6"/>
  <c r="E207" i="6" s="1"/>
  <c r="C197" i="6"/>
  <c r="C298" i="6"/>
  <c r="C279" i="6"/>
  <c r="C253" i="6"/>
  <c r="E253" i="6" s="1"/>
  <c r="C181" i="6"/>
  <c r="E181" i="6" s="1"/>
  <c r="C222" i="6"/>
  <c r="E222" i="6" s="1"/>
  <c r="C230" i="6"/>
  <c r="E230" i="6" s="1"/>
  <c r="C275" i="6"/>
  <c r="C285" i="6"/>
  <c r="E285" i="6" s="1"/>
  <c r="C244" i="6"/>
  <c r="E244" i="6" s="1"/>
  <c r="C276" i="6"/>
  <c r="C297" i="6"/>
  <c r="E297" i="6" s="1"/>
  <c r="C277" i="6"/>
  <c r="E277" i="6" s="1"/>
  <c r="C270" i="6"/>
  <c r="C278" i="6"/>
  <c r="C223" i="6"/>
  <c r="E223" i="6" s="1"/>
  <c r="C284" i="6"/>
  <c r="C213" i="6"/>
  <c r="E213" i="6" s="1"/>
  <c r="C251" i="6"/>
  <c r="E251" i="6" s="1"/>
  <c r="C274" i="6"/>
  <c r="E274" i="6" s="1"/>
  <c r="C281" i="6"/>
  <c r="C305" i="6"/>
  <c r="E305" i="6" s="1"/>
  <c r="C283" i="6"/>
  <c r="E283" i="6" s="1"/>
  <c r="C360" i="6"/>
  <c r="C265" i="6"/>
  <c r="E265" i="6" s="1"/>
  <c r="C239" i="6"/>
  <c r="E239" i="6" s="1"/>
  <c r="C280" i="6"/>
  <c r="E280" i="6" s="1"/>
  <c r="C334" i="6"/>
  <c r="C311" i="6"/>
  <c r="E311" i="6" s="1"/>
  <c r="C263" i="6"/>
  <c r="E263" i="6" s="1"/>
  <c r="C292" i="6"/>
  <c r="E292" i="6" s="1"/>
  <c r="C325" i="6"/>
  <c r="C318" i="6"/>
  <c r="C309" i="6"/>
  <c r="C331" i="6"/>
  <c r="E331" i="6" s="1"/>
  <c r="C306" i="6"/>
  <c r="E306" i="6" s="1"/>
  <c r="C320" i="6"/>
  <c r="E320" i="6" s="1"/>
  <c r="C269" i="6"/>
  <c r="E269" i="6" s="1"/>
  <c r="C272" i="6"/>
  <c r="E272" i="6" s="1"/>
  <c r="C324" i="6"/>
  <c r="C326" i="6"/>
  <c r="E326" i="6" s="1"/>
  <c r="C310" i="6"/>
  <c r="C338" i="6"/>
  <c r="C295" i="6"/>
  <c r="C323" i="6"/>
  <c r="C257" i="6"/>
  <c r="C286" i="6"/>
  <c r="E286" i="6" s="1"/>
  <c r="C301" i="6"/>
  <c r="C308" i="6"/>
  <c r="C267" i="6"/>
  <c r="E267" i="6" s="1"/>
  <c r="C224" i="6"/>
  <c r="E224" i="6" s="1"/>
  <c r="C282" i="6"/>
  <c r="E282" i="6" s="1"/>
  <c r="C250" i="6"/>
  <c r="C345" i="6"/>
  <c r="E345" i="6" s="1"/>
  <c r="C202" i="6"/>
  <c r="E202" i="6" s="1"/>
  <c r="C327" i="6"/>
  <c r="C319" i="6"/>
  <c r="C290" i="6"/>
  <c r="C303" i="6"/>
  <c r="C300" i="6"/>
  <c r="C302" i="6"/>
  <c r="E302" i="6" s="1"/>
  <c r="C287" i="6"/>
  <c r="C335" i="6"/>
  <c r="E335" i="6" s="1"/>
  <c r="C344" i="6"/>
  <c r="C407" i="6"/>
  <c r="C315" i="6"/>
  <c r="C291" i="6"/>
  <c r="C349" i="6"/>
  <c r="E349" i="6" s="1"/>
  <c r="C429" i="6"/>
  <c r="E429" i="6" s="1"/>
  <c r="C329" i="6"/>
  <c r="E329" i="6" s="1"/>
  <c r="C342" i="6"/>
  <c r="E342" i="6" s="1"/>
  <c r="C388" i="6"/>
  <c r="E388" i="6" s="1"/>
  <c r="C396" i="6"/>
  <c r="E396" i="6" s="1"/>
  <c r="C322" i="6"/>
  <c r="C354" i="6"/>
  <c r="C264" i="6"/>
  <c r="C268" i="6"/>
  <c r="C289" i="6"/>
  <c r="C400" i="6"/>
  <c r="C333" i="6"/>
  <c r="E333" i="6" s="1"/>
  <c r="C336" i="6"/>
  <c r="E336" i="6" s="1"/>
  <c r="C361" i="6"/>
  <c r="C242" i="6"/>
  <c r="E242" i="6" s="1"/>
  <c r="C266" i="6"/>
  <c r="E266" i="6" s="1"/>
  <c r="C428" i="6"/>
  <c r="E428" i="6" s="1"/>
  <c r="C317" i="6"/>
  <c r="C288" i="6"/>
  <c r="C307" i="6"/>
  <c r="E307" i="6" s="1"/>
  <c r="C364" i="6"/>
  <c r="E364" i="6" s="1"/>
  <c r="C395" i="6"/>
  <c r="E395" i="6" s="1"/>
  <c r="C372" i="6"/>
  <c r="E372" i="6" s="1"/>
  <c r="C313" i="6"/>
  <c r="E313" i="6" s="1"/>
  <c r="C367" i="6"/>
  <c r="C353" i="6"/>
  <c r="E353" i="6" s="1"/>
  <c r="C362" i="6"/>
  <c r="C312" i="6"/>
  <c r="E312" i="6" s="1"/>
  <c r="C423" i="6"/>
  <c r="E423" i="6" s="1"/>
  <c r="C355" i="6"/>
  <c r="E355" i="6" s="1"/>
  <c r="C304" i="6"/>
  <c r="C328" i="6"/>
  <c r="C410" i="6"/>
  <c r="E410" i="6" s="1"/>
  <c r="C375" i="6"/>
  <c r="E375" i="6" s="1"/>
  <c r="C332" i="6"/>
  <c r="E332" i="6" s="1"/>
  <c r="C358" i="6"/>
  <c r="E358" i="6" s="1"/>
  <c r="C351" i="6"/>
  <c r="C403" i="6"/>
  <c r="C357" i="6"/>
  <c r="C359" i="6"/>
  <c r="C387" i="6"/>
  <c r="C385" i="6"/>
  <c r="E385" i="6" s="1"/>
  <c r="C417" i="6"/>
  <c r="E417" i="6" s="1"/>
  <c r="C341" i="6"/>
  <c r="C343" i="6"/>
  <c r="C390" i="6"/>
  <c r="C377" i="6"/>
  <c r="E377" i="6" s="1"/>
  <c r="C404" i="6"/>
  <c r="C386" i="6"/>
  <c r="C464" i="6"/>
  <c r="E464" i="6" s="1"/>
  <c r="C371" i="6"/>
  <c r="E371" i="6" s="1"/>
  <c r="C463" i="6"/>
  <c r="E463" i="6" s="1"/>
  <c r="C340" i="6"/>
  <c r="E340" i="6" s="1"/>
  <c r="C401" i="6"/>
  <c r="E401" i="6" s="1"/>
  <c r="C369" i="6"/>
  <c r="E369" i="6" s="1"/>
  <c r="C337" i="6"/>
  <c r="C383" i="6"/>
  <c r="E383" i="6" s="1"/>
  <c r="C366" i="6"/>
  <c r="E366" i="6" s="1"/>
  <c r="C406" i="6"/>
  <c r="E406" i="6" s="1"/>
  <c r="C363" i="6"/>
  <c r="C444" i="6"/>
  <c r="C488" i="6"/>
  <c r="C381" i="6"/>
  <c r="E381" i="6" s="1"/>
  <c r="C314" i="6"/>
  <c r="C321" i="6"/>
  <c r="C374" i="6"/>
  <c r="E374" i="6" s="1"/>
  <c r="C405" i="6"/>
  <c r="C394" i="6"/>
  <c r="E394" i="6" s="1"/>
  <c r="C348" i="6"/>
  <c r="C350" i="6"/>
  <c r="E350" i="6" s="1"/>
  <c r="C519" i="6"/>
  <c r="C461" i="6"/>
  <c r="C352" i="6"/>
  <c r="E352" i="6" s="1"/>
  <c r="C356" i="6"/>
  <c r="E356" i="6" s="1"/>
  <c r="C294" i="6"/>
  <c r="E294" i="6" s="1"/>
  <c r="C330" i="6"/>
  <c r="C413" i="6"/>
  <c r="C502" i="6"/>
  <c r="C370" i="6"/>
  <c r="E370" i="6" s="1"/>
  <c r="C409" i="6"/>
  <c r="E409" i="6" s="1"/>
  <c r="C433" i="6"/>
  <c r="E433" i="6" s="1"/>
  <c r="C441" i="6"/>
  <c r="E441" i="6" s="1"/>
  <c r="C490" i="6"/>
  <c r="E490" i="6" s="1"/>
  <c r="C430" i="6"/>
  <c r="C368" i="6"/>
  <c r="C380" i="6"/>
  <c r="C419" i="6"/>
  <c r="E419" i="6" s="1"/>
  <c r="C432" i="6"/>
  <c r="C472" i="6"/>
  <c r="E472" i="6" s="1"/>
  <c r="C476" i="6"/>
  <c r="C402" i="6"/>
  <c r="C316" i="6"/>
  <c r="C389" i="6"/>
  <c r="E389" i="6" s="1"/>
  <c r="C475" i="6"/>
  <c r="E475" i="6" s="1"/>
  <c r="C379" i="6"/>
  <c r="E379" i="6" s="1"/>
  <c r="C489" i="6"/>
  <c r="E489" i="6" s="1"/>
  <c r="C454" i="6"/>
  <c r="C455" i="6"/>
  <c r="E455" i="6" s="1"/>
  <c r="C382" i="6"/>
  <c r="C427" i="6"/>
  <c r="E427" i="6" s="1"/>
  <c r="C384" i="6"/>
  <c r="E384" i="6" s="1"/>
  <c r="C435" i="6"/>
  <c r="E435" i="6" s="1"/>
  <c r="C520" i="6"/>
  <c r="E520" i="6" s="1"/>
  <c r="C420" i="6"/>
  <c r="C347" i="6"/>
  <c r="E347" i="6" s="1"/>
  <c r="C393" i="6"/>
  <c r="E393" i="6" s="1"/>
  <c r="C346" i="6"/>
  <c r="E346" i="6" s="1"/>
  <c r="C416" i="6"/>
  <c r="E416" i="6" s="1"/>
  <c r="C339" i="6"/>
  <c r="C439" i="6"/>
  <c r="E439" i="6" s="1"/>
  <c r="C424" i="6"/>
  <c r="E424" i="6" s="1"/>
  <c r="C462" i="6"/>
  <c r="E462" i="6" s="1"/>
  <c r="C391" i="6"/>
  <c r="E391" i="6" s="1"/>
  <c r="C500" i="6"/>
  <c r="E500" i="6" s="1"/>
  <c r="C509" i="6"/>
  <c r="E509" i="6" s="1"/>
  <c r="C365" i="6"/>
  <c r="C399" i="6"/>
  <c r="C437" i="6"/>
  <c r="C469" i="6"/>
  <c r="C450" i="6"/>
  <c r="C482" i="6"/>
  <c r="C418" i="6"/>
  <c r="C535" i="6"/>
  <c r="C448" i="6"/>
  <c r="E448" i="6" s="1"/>
  <c r="C505" i="6"/>
  <c r="C491" i="6"/>
  <c r="E491" i="6" s="1"/>
  <c r="C447" i="6"/>
  <c r="E447" i="6" s="1"/>
  <c r="C457" i="6"/>
  <c r="E457" i="6" s="1"/>
  <c r="C484" i="6"/>
  <c r="E484" i="6" s="1"/>
  <c r="C434" i="6"/>
  <c r="C533" i="6"/>
  <c r="E533" i="6" s="1"/>
  <c r="C436" i="6"/>
  <c r="C398" i="6"/>
  <c r="E398" i="6" s="1"/>
  <c r="C529" i="6"/>
  <c r="E529" i="6" s="1"/>
  <c r="C478" i="6"/>
  <c r="C459" i="6"/>
  <c r="C452" i="6"/>
  <c r="E452" i="6" s="1"/>
  <c r="C468" i="6"/>
  <c r="C536" i="6"/>
  <c r="C495" i="6"/>
  <c r="E495" i="6" s="1"/>
  <c r="C392" i="6"/>
  <c r="C483" i="6"/>
  <c r="C443" i="6"/>
  <c r="E443" i="6" s="1"/>
  <c r="C414" i="6"/>
  <c r="C421" i="6"/>
  <c r="C503" i="6"/>
  <c r="E503" i="6" s="1"/>
  <c r="C442" i="6"/>
  <c r="C453" i="6"/>
  <c r="C440" i="6"/>
  <c r="E440" i="6" s="1"/>
  <c r="C438" i="6"/>
  <c r="C467" i="6"/>
  <c r="E467" i="6" s="1"/>
  <c r="C415" i="6"/>
  <c r="C506" i="6"/>
  <c r="C501" i="6"/>
  <c r="E501" i="6" s="1"/>
  <c r="C474" i="6"/>
  <c r="E474" i="6" s="1"/>
  <c r="C458" i="6"/>
  <c r="C425" i="6"/>
  <c r="C397" i="6"/>
  <c r="C496" i="6"/>
  <c r="E496" i="6" s="1"/>
  <c r="C493" i="6"/>
  <c r="E493" i="6" s="1"/>
  <c r="C530" i="6"/>
  <c r="E530" i="6" s="1"/>
  <c r="C466" i="6"/>
  <c r="E466" i="6" s="1"/>
  <c r="C524" i="6"/>
  <c r="E524" i="6" s="1"/>
  <c r="C507" i="6"/>
  <c r="E507" i="6" s="1"/>
  <c r="C523" i="6"/>
  <c r="E523" i="6" s="1"/>
  <c r="C378" i="6"/>
  <c r="C408" i="6"/>
  <c r="E408" i="6" s="1"/>
  <c r="C508" i="6"/>
  <c r="E508" i="6" s="1"/>
  <c r="C473" i="6"/>
  <c r="E473" i="6" s="1"/>
  <c r="C431" i="6"/>
  <c r="E431" i="6" s="1"/>
  <c r="C531" i="6"/>
  <c r="C515" i="6"/>
  <c r="E515" i="6" s="1"/>
  <c r="C486" i="6"/>
  <c r="C534" i="6"/>
  <c r="C422" i="6"/>
  <c r="E422" i="6" s="1"/>
  <c r="C498" i="6"/>
  <c r="E498" i="6" s="1"/>
  <c r="C412" i="6"/>
  <c r="C494" i="6"/>
  <c r="E494" i="6" s="1"/>
  <c r="C460" i="6"/>
  <c r="E460" i="6" s="1"/>
  <c r="C373" i="6"/>
  <c r="E373" i="6" s="1"/>
  <c r="C426" i="6"/>
  <c r="C376" i="6"/>
  <c r="C456" i="6"/>
  <c r="E456" i="6" s="1"/>
  <c r="C514" i="6"/>
  <c r="E514" i="6" s="1"/>
  <c r="C445" i="6"/>
  <c r="E445" i="6" s="1"/>
  <c r="C513" i="6"/>
  <c r="E513" i="6" s="1"/>
  <c r="C465" i="6"/>
  <c r="C525" i="6"/>
  <c r="E525" i="6" s="1"/>
  <c r="C532" i="6"/>
  <c r="E532" i="6" s="1"/>
  <c r="C497" i="6"/>
  <c r="C411" i="6"/>
  <c r="E411" i="6" s="1"/>
  <c r="C516" i="6"/>
  <c r="E516" i="6" s="1"/>
  <c r="C512" i="6"/>
  <c r="C479" i="6"/>
  <c r="E479" i="6" s="1"/>
  <c r="C510" i="6"/>
  <c r="E510" i="6" s="1"/>
  <c r="C537" i="6"/>
  <c r="E537" i="6" s="1"/>
  <c r="C541" i="6"/>
  <c r="C477" i="6"/>
  <c r="E477" i="6" s="1"/>
  <c r="C540" i="6"/>
  <c r="D542" i="6"/>
  <c r="Y542" i="6" s="1"/>
  <c r="C528" i="6"/>
  <c r="C451" i="6"/>
  <c r="E451" i="6" s="1"/>
  <c r="C538" i="6"/>
  <c r="C526" i="6"/>
  <c r="C471" i="6"/>
  <c r="C492" i="6"/>
  <c r="E492" i="6" s="1"/>
  <c r="C511" i="6"/>
  <c r="E511" i="6" s="1"/>
  <c r="C487" i="6"/>
  <c r="E487" i="6" s="1"/>
  <c r="C480" i="6"/>
  <c r="C527" i="6"/>
  <c r="E527" i="6" s="1"/>
  <c r="C470" i="6"/>
  <c r="C485" i="6"/>
  <c r="E485" i="6" s="1"/>
  <c r="C446" i="6"/>
  <c r="E446" i="6" s="1"/>
  <c r="C539" i="6"/>
  <c r="E539" i="6" s="1"/>
  <c r="C481" i="6"/>
  <c r="E481" i="6" s="1"/>
  <c r="C521" i="6"/>
  <c r="E521" i="6" s="1"/>
  <c r="C2" i="6"/>
  <c r="H2" i="6" s="1"/>
  <c r="C522" i="6"/>
  <c r="E522" i="6" s="1"/>
  <c r="C504" i="6"/>
  <c r="E504" i="6" s="1"/>
  <c r="C449" i="6"/>
  <c r="E449" i="6" s="1"/>
  <c r="C518" i="6"/>
  <c r="C499" i="6"/>
  <c r="C542" i="6"/>
  <c r="C517" i="6"/>
  <c r="L3" i="3"/>
  <c r="M3" i="3" s="1"/>
  <c r="N3" i="3" s="1"/>
  <c r="C3" i="6"/>
  <c r="E3" i="6" s="1"/>
  <c r="E18" i="2"/>
  <c r="C6" i="13" s="1"/>
  <c r="Y2" i="3"/>
  <c r="Z2" i="3" s="1"/>
  <c r="AC2" i="3" s="1"/>
  <c r="AF2" i="3" s="1"/>
  <c r="D19" i="2" l="1"/>
  <c r="G6" i="13"/>
  <c r="E39" i="6"/>
  <c r="E76" i="6"/>
  <c r="E9" i="6"/>
  <c r="E421" i="6"/>
  <c r="E321" i="6"/>
  <c r="E17" i="6"/>
  <c r="E404" i="6"/>
  <c r="E328" i="6"/>
  <c r="E197" i="6"/>
  <c r="E362" i="6"/>
  <c r="E341" i="6"/>
  <c r="E296" i="6"/>
  <c r="E528" i="6"/>
  <c r="E506" i="6"/>
  <c r="E167" i="6"/>
  <c r="E128" i="6"/>
  <c r="E120" i="6"/>
  <c r="E376" i="6"/>
  <c r="E322" i="6"/>
  <c r="E382" i="6"/>
  <c r="E405" i="6"/>
  <c r="E108" i="6"/>
  <c r="E150" i="6"/>
  <c r="E330" i="6"/>
  <c r="E482" i="6"/>
  <c r="E378" i="6"/>
  <c r="E59" i="6"/>
  <c r="E324" i="6"/>
  <c r="E131" i="6"/>
  <c r="E102" i="6"/>
  <c r="E24" i="6"/>
  <c r="E327" i="6"/>
  <c r="E512" i="6"/>
  <c r="E412" i="6"/>
  <c r="E140" i="6"/>
  <c r="E49" i="6"/>
  <c r="E304" i="6"/>
  <c r="E291" i="6"/>
  <c r="E279" i="6"/>
  <c r="E214" i="6"/>
  <c r="E152" i="6"/>
  <c r="E206" i="6"/>
  <c r="E499" i="6"/>
  <c r="E534" i="6"/>
  <c r="E483" i="6"/>
  <c r="E488" i="6"/>
  <c r="E315" i="6"/>
  <c r="E518" i="6"/>
  <c r="E413" i="6"/>
  <c r="E407" i="6"/>
  <c r="E113" i="6"/>
  <c r="E99" i="6"/>
  <c r="E526" i="6"/>
  <c r="E458" i="6"/>
  <c r="E316" i="6"/>
  <c r="E363" i="6"/>
  <c r="E325" i="6"/>
  <c r="E538" i="6"/>
  <c r="E535" i="6"/>
  <c r="E255" i="6"/>
  <c r="E23" i="6"/>
  <c r="E289" i="6"/>
  <c r="E155" i="6"/>
  <c r="E116" i="6"/>
  <c r="E63" i="6"/>
  <c r="E268" i="6"/>
  <c r="E273" i="6"/>
  <c r="E90" i="6"/>
  <c r="E415" i="6"/>
  <c r="E450" i="6"/>
  <c r="E519" i="6"/>
  <c r="E357" i="6"/>
  <c r="E338" i="6"/>
  <c r="E276" i="6"/>
  <c r="E156" i="6"/>
  <c r="E189" i="6"/>
  <c r="E147" i="6"/>
  <c r="E95" i="6"/>
  <c r="E541" i="6"/>
  <c r="E453" i="6"/>
  <c r="E436" i="6"/>
  <c r="E365" i="6"/>
  <c r="E157" i="6"/>
  <c r="E505" i="6"/>
  <c r="E339" i="6"/>
  <c r="E169" i="6"/>
  <c r="E139" i="6"/>
  <c r="E53" i="6"/>
  <c r="E418" i="6"/>
  <c r="E309" i="6"/>
  <c r="E318" i="6"/>
  <c r="E219" i="6"/>
  <c r="E426" i="6"/>
  <c r="E58" i="6"/>
  <c r="E360" i="6"/>
  <c r="E145" i="6"/>
  <c r="E540" i="6"/>
  <c r="E469" i="6"/>
  <c r="E367" i="6"/>
  <c r="E420" i="6"/>
  <c r="E343" i="6"/>
  <c r="E38" i="6"/>
  <c r="E319" i="6"/>
  <c r="E247" i="6"/>
  <c r="E18" i="6"/>
  <c r="E106" i="6"/>
  <c r="E231" i="6"/>
  <c r="E212" i="6"/>
  <c r="E74" i="6"/>
  <c r="E397" i="6"/>
  <c r="E478" i="6"/>
  <c r="E392" i="6"/>
  <c r="E386" i="6"/>
  <c r="E476" i="6"/>
  <c r="E96" i="6"/>
  <c r="E209" i="6"/>
  <c r="E442" i="6"/>
  <c r="E536" i="6"/>
  <c r="E502" i="6"/>
  <c r="E281" i="6"/>
  <c r="E348" i="6"/>
  <c r="E344" i="6"/>
  <c r="E459" i="6"/>
  <c r="E264" i="6"/>
  <c r="E402" i="6"/>
  <c r="E11" i="6"/>
  <c r="E337" i="6"/>
  <c r="E236" i="6"/>
  <c r="E432" i="6"/>
  <c r="E165" i="6"/>
  <c r="E151" i="6"/>
  <c r="E531" i="6"/>
  <c r="E288" i="6"/>
  <c r="E368" i="6"/>
  <c r="E295" i="6"/>
  <c r="E153" i="6"/>
  <c r="E351" i="6"/>
  <c r="E16" i="6"/>
  <c r="E387" i="6"/>
  <c r="E119" i="6"/>
  <c r="E41" i="6"/>
  <c r="E249" i="6"/>
  <c r="E261" i="6"/>
  <c r="E278" i="6"/>
  <c r="E204" i="6"/>
  <c r="E174" i="6"/>
  <c r="E88" i="6"/>
  <c r="E317" i="6"/>
  <c r="E141" i="6"/>
  <c r="E166" i="6"/>
  <c r="E438" i="6"/>
  <c r="E298" i="6"/>
  <c r="E168" i="6"/>
  <c r="E73" i="6"/>
  <c r="E310" i="6"/>
  <c r="E143" i="6"/>
  <c r="E83" i="6"/>
  <c r="E144" i="6"/>
  <c r="E250" i="6"/>
  <c r="E8" i="6"/>
  <c r="E334" i="6"/>
  <c r="E233" i="6"/>
  <c r="E64" i="6"/>
  <c r="E220" i="6"/>
  <c r="E31" i="6"/>
  <c r="E142" i="6"/>
  <c r="E85" i="6"/>
  <c r="E10" i="6"/>
  <c r="E437" i="6"/>
  <c r="E461" i="6"/>
  <c r="E390" i="6"/>
  <c r="E179" i="6"/>
  <c r="E134" i="6"/>
  <c r="E470" i="6"/>
  <c r="E465" i="6"/>
  <c r="E414" i="6"/>
  <c r="E399" i="6"/>
  <c r="E400" i="6"/>
  <c r="E203" i="6"/>
  <c r="E125" i="6"/>
  <c r="E135" i="6"/>
  <c r="E444" i="6"/>
  <c r="E199" i="6"/>
  <c r="E229" i="6"/>
  <c r="E517" i="6"/>
  <c r="E480" i="6"/>
  <c r="E471" i="6"/>
  <c r="E430" i="6"/>
  <c r="E284" i="6"/>
  <c r="E434" i="6"/>
  <c r="E300" i="6"/>
  <c r="E257" i="6"/>
  <c r="E258" i="6"/>
  <c r="E121" i="6"/>
  <c r="E33" i="6"/>
  <c r="E123" i="6"/>
  <c r="E303" i="6"/>
  <c r="E323" i="6"/>
  <c r="E127" i="6"/>
  <c r="E36" i="6"/>
  <c r="E270" i="6"/>
  <c r="E149" i="6"/>
  <c r="E47" i="6"/>
  <c r="E52" i="6"/>
  <c r="E454" i="6"/>
  <c r="E361" i="6"/>
  <c r="E290" i="6"/>
  <c r="E130" i="6"/>
  <c r="E46" i="6"/>
  <c r="E425" i="6"/>
  <c r="E359" i="6"/>
  <c r="E40" i="6"/>
  <c r="E29" i="6"/>
  <c r="E201" i="6"/>
  <c r="E486" i="6"/>
  <c r="E287" i="6"/>
  <c r="E161" i="6"/>
  <c r="E162" i="6"/>
  <c r="E187" i="6"/>
  <c r="E111" i="6"/>
  <c r="E403" i="6"/>
  <c r="E115" i="6"/>
  <c r="E186" i="6"/>
  <c r="E12" i="6"/>
  <c r="E468" i="6"/>
  <c r="E497" i="6"/>
  <c r="E308" i="6"/>
  <c r="E48" i="6"/>
  <c r="E380" i="6"/>
  <c r="E354" i="6"/>
  <c r="E301" i="6"/>
  <c r="E275" i="6"/>
  <c r="E228" i="6"/>
  <c r="E103" i="6"/>
  <c r="E132" i="6"/>
  <c r="E192" i="6"/>
  <c r="E191" i="6"/>
  <c r="E314" i="6"/>
  <c r="E107" i="6"/>
  <c r="O3" i="3"/>
  <c r="T3" i="3" s="1"/>
  <c r="U3" i="3" s="1"/>
  <c r="V3" i="3" s="1"/>
  <c r="E21" i="6"/>
  <c r="E13" i="6"/>
  <c r="E14" i="6"/>
  <c r="Y27" i="6"/>
  <c r="E54" i="6"/>
  <c r="Y29" i="6"/>
  <c r="E43" i="6"/>
  <c r="E37" i="6"/>
  <c r="E50" i="6"/>
  <c r="E542" i="6"/>
  <c r="E138" i="6"/>
  <c r="E25" i="6"/>
  <c r="E137" i="6"/>
  <c r="E32" i="6"/>
  <c r="D18" i="2"/>
  <c r="AG2" i="3"/>
  <c r="AA3" i="3" s="1"/>
  <c r="D89" i="5"/>
  <c r="L4" i="3"/>
  <c r="L3" i="6"/>
  <c r="I2" i="6"/>
  <c r="H3" i="6"/>
  <c r="E88" i="5"/>
  <c r="E2" i="6"/>
  <c r="G2" i="6" s="1"/>
  <c r="D88" i="5"/>
  <c r="H2" i="3"/>
  <c r="E42" i="6"/>
  <c r="Y42" i="6"/>
  <c r="E89" i="5"/>
  <c r="E30" i="6"/>
  <c r="Y30" i="6"/>
  <c r="Y82" i="6"/>
  <c r="E82" i="6"/>
  <c r="E86" i="6"/>
  <c r="E5" i="6"/>
  <c r="E92" i="6"/>
  <c r="E75" i="6"/>
  <c r="E56" i="6"/>
  <c r="E84" i="6"/>
  <c r="E7" i="6"/>
  <c r="E45" i="6"/>
  <c r="E6" i="6"/>
  <c r="E136" i="6"/>
  <c r="E26" i="6"/>
  <c r="Y26" i="6"/>
  <c r="Y49" i="6"/>
  <c r="E22" i="6"/>
  <c r="E89" i="6"/>
  <c r="E28" i="6"/>
  <c r="E19" i="6"/>
  <c r="E34" i="6"/>
  <c r="H3" i="3" l="1"/>
  <c r="H4" i="3" s="1"/>
  <c r="H5" i="3" s="1"/>
  <c r="H6" i="3" s="1"/>
  <c r="H7" i="3" s="1"/>
  <c r="H8" i="3" s="1"/>
  <c r="H9" i="3" s="1"/>
  <c r="H10" i="3" s="1"/>
  <c r="H11" i="3" s="1"/>
  <c r="H12" i="3" s="1"/>
  <c r="H13" i="3" s="1"/>
  <c r="H14" i="3" s="1"/>
  <c r="H15" i="3" s="1"/>
  <c r="H16" i="3" s="1"/>
  <c r="H17" i="3" s="1"/>
  <c r="H18" i="3" s="1"/>
  <c r="H19" i="3" s="1"/>
  <c r="H20" i="3" s="1"/>
  <c r="H21" i="3" s="1"/>
  <c r="H22" i="3" s="1"/>
  <c r="H23" i="3" s="1"/>
  <c r="H24" i="3" s="1"/>
  <c r="H25" i="3" s="1"/>
  <c r="H26" i="3" s="1"/>
  <c r="H27" i="3" s="1"/>
  <c r="H28" i="3" s="1"/>
  <c r="H29" i="3" s="1"/>
  <c r="H30" i="3" s="1"/>
  <c r="H31" i="3" s="1"/>
  <c r="H32" i="3" s="1"/>
  <c r="H33" i="3" s="1"/>
  <c r="H34" i="3" s="1"/>
  <c r="H35" i="3" s="1"/>
  <c r="H36" i="3" s="1"/>
  <c r="H37" i="3" s="1"/>
  <c r="H38" i="3" s="1"/>
  <c r="H39" i="3" s="1"/>
  <c r="H40" i="3" s="1"/>
  <c r="H41" i="3" s="1"/>
  <c r="H42" i="3" s="1"/>
  <c r="H43" i="3" s="1"/>
  <c r="H44" i="3" s="1"/>
  <c r="H45" i="3" s="1"/>
  <c r="H46" i="3" s="1"/>
  <c r="H47" i="3" s="1"/>
  <c r="H48" i="3" s="1"/>
  <c r="H49" i="3" s="1"/>
  <c r="H50" i="3" s="1"/>
  <c r="H51" i="3" s="1"/>
  <c r="H52" i="3" s="1"/>
  <c r="H53" i="3" s="1"/>
  <c r="H54" i="3" s="1"/>
  <c r="H55" i="3" s="1"/>
  <c r="H56" i="3" s="1"/>
  <c r="H57" i="3" s="1"/>
  <c r="H58" i="3" s="1"/>
  <c r="H59" i="3" s="1"/>
  <c r="H60" i="3" s="1"/>
  <c r="H61" i="3" s="1"/>
  <c r="H62" i="3" s="1"/>
  <c r="H63" i="3" s="1"/>
  <c r="H64" i="3" s="1"/>
  <c r="H65" i="3" s="1"/>
  <c r="H66" i="3" s="1"/>
  <c r="H67" i="3" s="1"/>
  <c r="H68" i="3" s="1"/>
  <c r="H69" i="3" s="1"/>
  <c r="H70" i="3" s="1"/>
  <c r="H71" i="3" s="1"/>
  <c r="H72" i="3" s="1"/>
  <c r="H73" i="3" s="1"/>
  <c r="H74" i="3" s="1"/>
  <c r="H75" i="3" s="1"/>
  <c r="H76" i="3" s="1"/>
  <c r="H77" i="3" s="1"/>
  <c r="H78" i="3" s="1"/>
  <c r="H79" i="3" s="1"/>
  <c r="H80" i="3" s="1"/>
  <c r="H81" i="3" s="1"/>
  <c r="H82" i="3" s="1"/>
  <c r="H83" i="3" s="1"/>
  <c r="H84" i="3" s="1"/>
  <c r="H85" i="3" s="1"/>
  <c r="H86" i="3" s="1"/>
  <c r="H87" i="3" s="1"/>
  <c r="H88" i="3" s="1"/>
  <c r="H89" i="3" s="1"/>
  <c r="H90" i="3" s="1"/>
  <c r="H91" i="3" s="1"/>
  <c r="H92" i="3" s="1"/>
  <c r="H93" i="3" s="1"/>
  <c r="H94" i="3" s="1"/>
  <c r="H95" i="3" s="1"/>
  <c r="H96" i="3" s="1"/>
  <c r="H97" i="3" s="1"/>
  <c r="H98" i="3" s="1"/>
  <c r="H99" i="3" s="1"/>
  <c r="H100" i="3" s="1"/>
  <c r="H101" i="3" s="1"/>
  <c r="H102" i="3" s="1"/>
  <c r="H103" i="3" s="1"/>
  <c r="H104" i="3" s="1"/>
  <c r="H105" i="3" s="1"/>
  <c r="H106" i="3" s="1"/>
  <c r="H107" i="3" s="1"/>
  <c r="H108" i="3" s="1"/>
  <c r="H109" i="3" s="1"/>
  <c r="H110" i="3" s="1"/>
  <c r="H111" i="3" s="1"/>
  <c r="H112" i="3" s="1"/>
  <c r="H113" i="3" s="1"/>
  <c r="H114" i="3" s="1"/>
  <c r="H115" i="3" s="1"/>
  <c r="H116" i="3" s="1"/>
  <c r="H117" i="3" s="1"/>
  <c r="H118" i="3" s="1"/>
  <c r="H119" i="3" s="1"/>
  <c r="H120" i="3" s="1"/>
  <c r="H121" i="3" s="1"/>
  <c r="H122" i="3" s="1"/>
  <c r="H123" i="3" s="1"/>
  <c r="H124" i="3" s="1"/>
  <c r="H125" i="3" s="1"/>
  <c r="H126" i="3" s="1"/>
  <c r="H127" i="3" s="1"/>
  <c r="H128" i="3" s="1"/>
  <c r="H129" i="3" s="1"/>
  <c r="H130" i="3" s="1"/>
  <c r="H131" i="3" s="1"/>
  <c r="H132" i="3" s="1"/>
  <c r="H133" i="3" s="1"/>
  <c r="H134" i="3" s="1"/>
  <c r="H135" i="3" s="1"/>
  <c r="H136" i="3" s="1"/>
  <c r="H137" i="3" s="1"/>
  <c r="H138" i="3" s="1"/>
  <c r="H139" i="3" s="1"/>
  <c r="H140" i="3" s="1"/>
  <c r="H141" i="3" s="1"/>
  <c r="H142" i="3" s="1"/>
  <c r="H143" i="3" s="1"/>
  <c r="H144" i="3" s="1"/>
  <c r="H145" i="3" s="1"/>
  <c r="H146" i="3" s="1"/>
  <c r="H147" i="3" s="1"/>
  <c r="H148" i="3" s="1"/>
  <c r="H149" i="3" s="1"/>
  <c r="H150" i="3" s="1"/>
  <c r="H151" i="3" s="1"/>
  <c r="H152" i="3" s="1"/>
  <c r="H153" i="3" s="1"/>
  <c r="H154" i="3" s="1"/>
  <c r="H155" i="3" s="1"/>
  <c r="H156" i="3" s="1"/>
  <c r="H157" i="3" s="1"/>
  <c r="H158" i="3" s="1"/>
  <c r="H159" i="3" s="1"/>
  <c r="H160" i="3" s="1"/>
  <c r="H161" i="3" s="1"/>
  <c r="H162" i="3" s="1"/>
  <c r="H163" i="3" s="1"/>
  <c r="H164" i="3" s="1"/>
  <c r="H165" i="3" s="1"/>
  <c r="H166" i="3" s="1"/>
  <c r="H167" i="3" s="1"/>
  <c r="H168" i="3" s="1"/>
  <c r="H169" i="3" s="1"/>
  <c r="H170" i="3" s="1"/>
  <c r="H171" i="3" s="1"/>
  <c r="H172" i="3" s="1"/>
  <c r="H173" i="3" s="1"/>
  <c r="H174" i="3" s="1"/>
  <c r="H175" i="3" s="1"/>
  <c r="H176" i="3" s="1"/>
  <c r="H177" i="3" s="1"/>
  <c r="H178" i="3" s="1"/>
  <c r="H179" i="3" s="1"/>
  <c r="H180" i="3" s="1"/>
  <c r="H181" i="3" s="1"/>
  <c r="H182" i="3" s="1"/>
  <c r="H183" i="3" s="1"/>
  <c r="H184" i="3" s="1"/>
  <c r="H185" i="3" s="1"/>
  <c r="H186" i="3" s="1"/>
  <c r="H187" i="3" s="1"/>
  <c r="H188" i="3" s="1"/>
  <c r="H189" i="3" s="1"/>
  <c r="H190" i="3" s="1"/>
  <c r="H191" i="3" s="1"/>
  <c r="H192" i="3" s="1"/>
  <c r="H193" i="3" s="1"/>
  <c r="H194" i="3" s="1"/>
  <c r="H195" i="3" s="1"/>
  <c r="H196" i="3" s="1"/>
  <c r="H197" i="3" s="1"/>
  <c r="H198" i="3" s="1"/>
  <c r="H199" i="3" s="1"/>
  <c r="H200" i="3" s="1"/>
  <c r="H201" i="3" s="1"/>
  <c r="H202" i="3" s="1"/>
  <c r="H203" i="3" s="1"/>
  <c r="H204" i="3" s="1"/>
  <c r="H205" i="3" s="1"/>
  <c r="H206" i="3" s="1"/>
  <c r="H207" i="3" s="1"/>
  <c r="H208" i="3" s="1"/>
  <c r="H209" i="3" s="1"/>
  <c r="H210" i="3" s="1"/>
  <c r="H211" i="3" s="1"/>
  <c r="H212" i="3" s="1"/>
  <c r="H213" i="3" s="1"/>
  <c r="H214" i="3" s="1"/>
  <c r="H215" i="3" s="1"/>
  <c r="H216" i="3" s="1"/>
  <c r="H217" i="3" s="1"/>
  <c r="H218" i="3" s="1"/>
  <c r="H219" i="3" s="1"/>
  <c r="H220" i="3" s="1"/>
  <c r="H221" i="3" s="1"/>
  <c r="H222" i="3" s="1"/>
  <c r="H223" i="3" s="1"/>
  <c r="H224" i="3" s="1"/>
  <c r="H225" i="3" s="1"/>
  <c r="H226" i="3" s="1"/>
  <c r="H227" i="3" s="1"/>
  <c r="H228" i="3" s="1"/>
  <c r="H229" i="3" s="1"/>
  <c r="H230" i="3" s="1"/>
  <c r="H231" i="3" s="1"/>
  <c r="H232" i="3" s="1"/>
  <c r="H233" i="3" s="1"/>
  <c r="H234" i="3" s="1"/>
  <c r="H235" i="3" s="1"/>
  <c r="H236" i="3" s="1"/>
  <c r="H237" i="3" s="1"/>
  <c r="H238" i="3" s="1"/>
  <c r="H239" i="3" s="1"/>
  <c r="H240" i="3" s="1"/>
  <c r="H241" i="3" s="1"/>
  <c r="H242" i="3" s="1"/>
  <c r="H243" i="3" s="1"/>
  <c r="H244" i="3" s="1"/>
  <c r="H245" i="3" s="1"/>
  <c r="H246" i="3" s="1"/>
  <c r="H247" i="3" s="1"/>
  <c r="H248" i="3" s="1"/>
  <c r="H249" i="3" s="1"/>
  <c r="H250" i="3" s="1"/>
  <c r="H251" i="3" s="1"/>
  <c r="H252" i="3" s="1"/>
  <c r="H253" i="3" s="1"/>
  <c r="H254" i="3" s="1"/>
  <c r="H255" i="3" s="1"/>
  <c r="H256" i="3" s="1"/>
  <c r="H257" i="3" s="1"/>
  <c r="H258" i="3" s="1"/>
  <c r="H259" i="3" s="1"/>
  <c r="H260" i="3" s="1"/>
  <c r="H261" i="3" s="1"/>
  <c r="H262" i="3" s="1"/>
  <c r="H263" i="3" s="1"/>
  <c r="H264" i="3" s="1"/>
  <c r="H265" i="3" s="1"/>
  <c r="H266" i="3" s="1"/>
  <c r="H267" i="3" s="1"/>
  <c r="H268" i="3" s="1"/>
  <c r="H269" i="3" s="1"/>
  <c r="H270" i="3" s="1"/>
  <c r="H271" i="3" s="1"/>
  <c r="H272" i="3" s="1"/>
  <c r="H273" i="3" s="1"/>
  <c r="H274" i="3" s="1"/>
  <c r="H275" i="3" s="1"/>
  <c r="H276" i="3" s="1"/>
  <c r="H277" i="3" s="1"/>
  <c r="H278" i="3" s="1"/>
  <c r="H279" i="3" s="1"/>
  <c r="H280" i="3" s="1"/>
  <c r="H281" i="3" s="1"/>
  <c r="H282" i="3" s="1"/>
  <c r="H283" i="3" s="1"/>
  <c r="H284" i="3" s="1"/>
  <c r="H285" i="3" s="1"/>
  <c r="H286" i="3" s="1"/>
  <c r="H287" i="3" s="1"/>
  <c r="H288" i="3" s="1"/>
  <c r="H289" i="3" s="1"/>
  <c r="H290" i="3" s="1"/>
  <c r="H291" i="3" s="1"/>
  <c r="H292" i="3" s="1"/>
  <c r="H293" i="3" s="1"/>
  <c r="H294" i="3" s="1"/>
  <c r="H295" i="3" s="1"/>
  <c r="H296" i="3" s="1"/>
  <c r="H297" i="3" s="1"/>
  <c r="H298" i="3" s="1"/>
  <c r="H299" i="3" s="1"/>
  <c r="H300" i="3" s="1"/>
  <c r="H301" i="3" s="1"/>
  <c r="H302" i="3" s="1"/>
  <c r="H303" i="3" s="1"/>
  <c r="H304" i="3" s="1"/>
  <c r="H305" i="3" s="1"/>
  <c r="H306" i="3" s="1"/>
  <c r="H307" i="3" s="1"/>
  <c r="H308" i="3" s="1"/>
  <c r="H309" i="3" s="1"/>
  <c r="H310" i="3" s="1"/>
  <c r="H311" i="3" s="1"/>
  <c r="H312" i="3" s="1"/>
  <c r="H313" i="3" s="1"/>
  <c r="H314" i="3" s="1"/>
  <c r="H315" i="3" s="1"/>
  <c r="H316" i="3" s="1"/>
  <c r="H317" i="3" s="1"/>
  <c r="H318" i="3" s="1"/>
  <c r="H319" i="3" s="1"/>
  <c r="H320" i="3" s="1"/>
  <c r="H321" i="3" s="1"/>
  <c r="H322" i="3" s="1"/>
  <c r="H323" i="3" s="1"/>
  <c r="H324" i="3" s="1"/>
  <c r="H325" i="3" s="1"/>
  <c r="H326" i="3" s="1"/>
  <c r="H327" i="3" s="1"/>
  <c r="H328" i="3" s="1"/>
  <c r="H329" i="3" s="1"/>
  <c r="H330" i="3" s="1"/>
  <c r="H331" i="3" s="1"/>
  <c r="H332" i="3" s="1"/>
  <c r="H333" i="3" s="1"/>
  <c r="H334" i="3" s="1"/>
  <c r="H335" i="3" s="1"/>
  <c r="H336" i="3" s="1"/>
  <c r="H337" i="3" s="1"/>
  <c r="H338" i="3" s="1"/>
  <c r="H339" i="3" s="1"/>
  <c r="H340" i="3" s="1"/>
  <c r="H341" i="3" s="1"/>
  <c r="H342" i="3" s="1"/>
  <c r="H343" i="3" s="1"/>
  <c r="H344" i="3" s="1"/>
  <c r="H345" i="3" s="1"/>
  <c r="H346" i="3" s="1"/>
  <c r="H347" i="3" s="1"/>
  <c r="H348" i="3" s="1"/>
  <c r="H349" i="3" s="1"/>
  <c r="H350" i="3" s="1"/>
  <c r="H351" i="3" s="1"/>
  <c r="H352" i="3" s="1"/>
  <c r="H353" i="3" s="1"/>
  <c r="H354" i="3" s="1"/>
  <c r="H355" i="3" s="1"/>
  <c r="H356" i="3" s="1"/>
  <c r="H357" i="3" s="1"/>
  <c r="H358" i="3" s="1"/>
  <c r="H359" i="3" s="1"/>
  <c r="H360" i="3" s="1"/>
  <c r="H361" i="3" s="1"/>
  <c r="H362" i="3" s="1"/>
  <c r="H363" i="3" s="1"/>
  <c r="H364" i="3" s="1"/>
  <c r="H365" i="3" s="1"/>
  <c r="H366" i="3" s="1"/>
  <c r="H367" i="3" s="1"/>
  <c r="H368" i="3" s="1"/>
  <c r="H369" i="3" s="1"/>
  <c r="H370" i="3" s="1"/>
  <c r="H371" i="3" s="1"/>
  <c r="H372" i="3" s="1"/>
  <c r="H373" i="3" s="1"/>
  <c r="H374" i="3" s="1"/>
  <c r="H375" i="3" s="1"/>
  <c r="H376" i="3" s="1"/>
  <c r="H377" i="3" s="1"/>
  <c r="H378" i="3" s="1"/>
  <c r="H379" i="3" s="1"/>
  <c r="H380" i="3" s="1"/>
  <c r="H381" i="3" s="1"/>
  <c r="H382" i="3" s="1"/>
  <c r="H383" i="3" s="1"/>
  <c r="H384" i="3" s="1"/>
  <c r="H385" i="3" s="1"/>
  <c r="H386" i="3" s="1"/>
  <c r="H387" i="3" s="1"/>
  <c r="H388" i="3" s="1"/>
  <c r="H389" i="3" s="1"/>
  <c r="H390" i="3" s="1"/>
  <c r="H391" i="3" s="1"/>
  <c r="H392" i="3" s="1"/>
  <c r="H393" i="3" s="1"/>
  <c r="H394" i="3" s="1"/>
  <c r="H395" i="3" s="1"/>
  <c r="H396" i="3" s="1"/>
  <c r="H397" i="3" s="1"/>
  <c r="H398" i="3" s="1"/>
  <c r="H399" i="3" s="1"/>
  <c r="H400" i="3" s="1"/>
  <c r="H401" i="3" s="1"/>
  <c r="H402" i="3" s="1"/>
  <c r="H403" i="3" s="1"/>
  <c r="H404" i="3" s="1"/>
  <c r="H405" i="3" s="1"/>
  <c r="H406" i="3" s="1"/>
  <c r="H407" i="3" s="1"/>
  <c r="H408" i="3" s="1"/>
  <c r="H409" i="3" s="1"/>
  <c r="H410" i="3" s="1"/>
  <c r="H411" i="3" s="1"/>
  <c r="H412" i="3" s="1"/>
  <c r="H413" i="3" s="1"/>
  <c r="H414" i="3" s="1"/>
  <c r="H415" i="3" s="1"/>
  <c r="H416" i="3" s="1"/>
  <c r="H417" i="3" s="1"/>
  <c r="H418" i="3" s="1"/>
  <c r="H419" i="3" s="1"/>
  <c r="H420" i="3" s="1"/>
  <c r="H421" i="3" s="1"/>
  <c r="H422" i="3" s="1"/>
  <c r="H423" i="3" s="1"/>
  <c r="H424" i="3" s="1"/>
  <c r="H425" i="3" s="1"/>
  <c r="H426" i="3" s="1"/>
  <c r="H427" i="3" s="1"/>
  <c r="H428" i="3" s="1"/>
  <c r="H429" i="3" s="1"/>
  <c r="H430" i="3" s="1"/>
  <c r="H431" i="3" s="1"/>
  <c r="H432" i="3" s="1"/>
  <c r="H433" i="3" s="1"/>
  <c r="H434" i="3" s="1"/>
  <c r="H435" i="3" s="1"/>
  <c r="H436" i="3" s="1"/>
  <c r="H437" i="3" s="1"/>
  <c r="H438" i="3" s="1"/>
  <c r="H439" i="3" s="1"/>
  <c r="H440" i="3" s="1"/>
  <c r="H441" i="3" s="1"/>
  <c r="H442" i="3" s="1"/>
  <c r="H443" i="3" s="1"/>
  <c r="H444" i="3" s="1"/>
  <c r="H445" i="3" s="1"/>
  <c r="H446" i="3" s="1"/>
  <c r="H447" i="3" s="1"/>
  <c r="H448" i="3" s="1"/>
  <c r="H449" i="3" s="1"/>
  <c r="H450" i="3" s="1"/>
  <c r="H451" i="3" s="1"/>
  <c r="H452" i="3" s="1"/>
  <c r="H453" i="3" s="1"/>
  <c r="H454" i="3" s="1"/>
  <c r="H455" i="3" s="1"/>
  <c r="H456" i="3" s="1"/>
  <c r="H457" i="3" s="1"/>
  <c r="H458" i="3" s="1"/>
  <c r="H459" i="3" s="1"/>
  <c r="H460" i="3" s="1"/>
  <c r="H461" i="3" s="1"/>
  <c r="H462" i="3" s="1"/>
  <c r="H463" i="3" s="1"/>
  <c r="H464" i="3" s="1"/>
  <c r="H465" i="3" s="1"/>
  <c r="H466" i="3" s="1"/>
  <c r="H467" i="3" s="1"/>
  <c r="H468" i="3" s="1"/>
  <c r="H469" i="3" s="1"/>
  <c r="H470" i="3" s="1"/>
  <c r="H471" i="3" s="1"/>
  <c r="H472" i="3" s="1"/>
  <c r="H473" i="3" s="1"/>
  <c r="H474" i="3" s="1"/>
  <c r="H475" i="3" s="1"/>
  <c r="H476" i="3" s="1"/>
  <c r="H477" i="3" s="1"/>
  <c r="H478" i="3" s="1"/>
  <c r="H479" i="3" s="1"/>
  <c r="H480" i="3" s="1"/>
  <c r="H481" i="3" s="1"/>
  <c r="H482" i="3" s="1"/>
  <c r="H483" i="3" s="1"/>
  <c r="H484" i="3" s="1"/>
  <c r="H485" i="3" s="1"/>
  <c r="H486" i="3" s="1"/>
  <c r="H487" i="3" s="1"/>
  <c r="H488" i="3" s="1"/>
  <c r="H489" i="3" s="1"/>
  <c r="H490" i="3" s="1"/>
  <c r="H491" i="3" s="1"/>
  <c r="H492" i="3" s="1"/>
  <c r="H493" i="3" s="1"/>
  <c r="H494" i="3" s="1"/>
  <c r="H495" i="3" s="1"/>
  <c r="H496" i="3" s="1"/>
  <c r="H497" i="3" s="1"/>
  <c r="H498" i="3" s="1"/>
  <c r="H499" i="3" s="1"/>
  <c r="H500" i="3" s="1"/>
  <c r="H501" i="3" s="1"/>
  <c r="H502" i="3" s="1"/>
  <c r="H503" i="3" s="1"/>
  <c r="H504" i="3" s="1"/>
  <c r="H505" i="3" s="1"/>
  <c r="H506" i="3" s="1"/>
  <c r="H507" i="3" s="1"/>
  <c r="H508" i="3" s="1"/>
  <c r="H509" i="3" s="1"/>
  <c r="H510" i="3" s="1"/>
  <c r="H511" i="3" s="1"/>
  <c r="H512" i="3" s="1"/>
  <c r="H513" i="3" s="1"/>
  <c r="H514" i="3" s="1"/>
  <c r="H515" i="3" s="1"/>
  <c r="H516" i="3" s="1"/>
  <c r="H517" i="3" s="1"/>
  <c r="H518" i="3" s="1"/>
  <c r="H519" i="3" s="1"/>
  <c r="H520" i="3" s="1"/>
  <c r="H521" i="3" s="1"/>
  <c r="H522" i="3" s="1"/>
  <c r="H523" i="3" s="1"/>
  <c r="H524" i="3" s="1"/>
  <c r="H525" i="3" s="1"/>
  <c r="H526" i="3" s="1"/>
  <c r="H527" i="3" s="1"/>
  <c r="H528" i="3" s="1"/>
  <c r="H529" i="3" s="1"/>
  <c r="H530" i="3" s="1"/>
  <c r="H531" i="3" s="1"/>
  <c r="H532" i="3" s="1"/>
  <c r="H533" i="3" s="1"/>
  <c r="H534" i="3" s="1"/>
  <c r="H535" i="3" s="1"/>
  <c r="H536" i="3" s="1"/>
  <c r="H537" i="3" s="1"/>
  <c r="H538" i="3" s="1"/>
  <c r="H539" i="3" s="1"/>
  <c r="H540" i="3" s="1"/>
  <c r="H541" i="3" s="1"/>
  <c r="H542" i="3" s="1"/>
  <c r="I2" i="3"/>
  <c r="I3" i="3"/>
  <c r="K3" i="3" s="1"/>
  <c r="I3" i="6"/>
  <c r="H4" i="6"/>
  <c r="F3" i="6"/>
  <c r="K2" i="6"/>
  <c r="X3" i="3"/>
  <c r="M4" i="3"/>
  <c r="N4" i="3" s="1"/>
  <c r="O4" i="3" s="1"/>
  <c r="L5" i="3"/>
  <c r="M3" i="6"/>
  <c r="N3" i="6" s="1"/>
  <c r="O3" i="6" s="1"/>
  <c r="L4" i="6"/>
  <c r="K2" i="3" l="1"/>
  <c r="F3" i="3"/>
  <c r="M5" i="3"/>
  <c r="N5" i="3" s="1"/>
  <c r="O5" i="3" s="1"/>
  <c r="T5" i="3" s="1"/>
  <c r="L6" i="3"/>
  <c r="I4" i="6"/>
  <c r="H5" i="6"/>
  <c r="F4" i="6"/>
  <c r="K3" i="6"/>
  <c r="C3" i="11"/>
  <c r="T4" i="3"/>
  <c r="D2" i="9"/>
  <c r="AJ2" i="6"/>
  <c r="G2" i="10" s="1"/>
  <c r="M4" i="6"/>
  <c r="N4" i="6" s="1"/>
  <c r="O4" i="6" s="1"/>
  <c r="T4" i="6" s="1"/>
  <c r="L5" i="6"/>
  <c r="W3" i="6"/>
  <c r="G3" i="6"/>
  <c r="T3" i="6"/>
  <c r="U3" i="6" s="1"/>
  <c r="I4" i="3"/>
  <c r="K4" i="3" s="1"/>
  <c r="G3" i="3" l="1"/>
  <c r="W3" i="3"/>
  <c r="U4" i="6"/>
  <c r="H2" i="10"/>
  <c r="I2" i="10" s="1"/>
  <c r="U4" i="3"/>
  <c r="I5" i="3"/>
  <c r="K5" i="3" s="1"/>
  <c r="W4" i="6"/>
  <c r="G4" i="6"/>
  <c r="I5" i="6"/>
  <c r="H6" i="6"/>
  <c r="F4" i="3"/>
  <c r="G4" i="3" s="1"/>
  <c r="F5" i="6"/>
  <c r="K4" i="6"/>
  <c r="C2" i="9"/>
  <c r="B2" i="10"/>
  <c r="M6" i="3"/>
  <c r="N6" i="3" s="1"/>
  <c r="O6" i="3" s="1"/>
  <c r="L7" i="3"/>
  <c r="M5" i="6"/>
  <c r="N5" i="6" s="1"/>
  <c r="O5" i="6" s="1"/>
  <c r="T5" i="6" s="1"/>
  <c r="L6" i="6"/>
  <c r="Z3" i="3"/>
  <c r="AH3" i="6" s="1"/>
  <c r="U5" i="3"/>
  <c r="AH3" i="3" l="1"/>
  <c r="AJ3" i="3" s="1"/>
  <c r="X5" i="3"/>
  <c r="V5" i="3"/>
  <c r="X4" i="3"/>
  <c r="V4" i="3"/>
  <c r="X3" i="6"/>
  <c r="V3" i="6"/>
  <c r="I6" i="3"/>
  <c r="K6" i="3" s="1"/>
  <c r="F5" i="3"/>
  <c r="G5" i="3" s="1"/>
  <c r="I6" i="6"/>
  <c r="H7" i="6"/>
  <c r="T6" i="3"/>
  <c r="K5" i="6"/>
  <c r="F6" i="6"/>
  <c r="AC3" i="3"/>
  <c r="M6" i="6"/>
  <c r="N6" i="6" s="1"/>
  <c r="O6" i="6" s="1"/>
  <c r="L7" i="6"/>
  <c r="U5" i="6"/>
  <c r="M7" i="3"/>
  <c r="N7" i="3" s="1"/>
  <c r="O7" i="3" s="1"/>
  <c r="T7" i="3" s="1"/>
  <c r="L8" i="3"/>
  <c r="X4" i="6"/>
  <c r="V4" i="6"/>
  <c r="C2" i="10"/>
  <c r="D2" i="10" s="1"/>
  <c r="W5" i="6"/>
  <c r="G5" i="6"/>
  <c r="W4" i="3"/>
  <c r="X5" i="6" l="1"/>
  <c r="V5" i="6"/>
  <c r="C5" i="4" s="1"/>
  <c r="F7" i="6"/>
  <c r="K6" i="6"/>
  <c r="I7" i="6"/>
  <c r="H8" i="6"/>
  <c r="W5" i="3"/>
  <c r="Z5" i="3" s="1"/>
  <c r="AH5" i="6" s="1"/>
  <c r="U7" i="3"/>
  <c r="M8" i="3"/>
  <c r="N8" i="3" s="1"/>
  <c r="O8" i="3" s="1"/>
  <c r="T8" i="3" s="1"/>
  <c r="L9" i="3"/>
  <c r="F6" i="3"/>
  <c r="G6" i="3" s="1"/>
  <c r="I7" i="3"/>
  <c r="K7" i="3" s="1"/>
  <c r="M7" i="6"/>
  <c r="N7" i="6" s="1"/>
  <c r="O7" i="6" s="1"/>
  <c r="T7" i="6" s="1"/>
  <c r="L8" i="6"/>
  <c r="D3" i="11"/>
  <c r="Z3" i="6"/>
  <c r="C3" i="4"/>
  <c r="F3" i="4" s="1"/>
  <c r="P3" i="4" s="1"/>
  <c r="T6" i="6"/>
  <c r="AF3" i="3"/>
  <c r="AD3" i="3"/>
  <c r="AE3" i="3" s="1"/>
  <c r="Z4" i="3"/>
  <c r="C4" i="11"/>
  <c r="C4" i="4"/>
  <c r="W6" i="6"/>
  <c r="G6" i="6"/>
  <c r="C5" i="11"/>
  <c r="D4" i="11"/>
  <c r="Z4" i="6"/>
  <c r="U6" i="3"/>
  <c r="AH4" i="6" l="1"/>
  <c r="AJ4" i="6" s="1"/>
  <c r="AH4" i="3"/>
  <c r="AJ4" i="3" s="1"/>
  <c r="AH5" i="3"/>
  <c r="AJ5" i="3" s="1"/>
  <c r="AG3" i="3"/>
  <c r="AA4" i="3" s="1"/>
  <c r="AC4" i="3" s="1"/>
  <c r="E5" i="11"/>
  <c r="F5" i="4"/>
  <c r="P5" i="4" s="1"/>
  <c r="U8" i="3"/>
  <c r="X7" i="3"/>
  <c r="V7" i="3"/>
  <c r="K7" i="6"/>
  <c r="F8" i="6"/>
  <c r="X6" i="3"/>
  <c r="V6" i="3"/>
  <c r="I8" i="6"/>
  <c r="H9" i="6"/>
  <c r="W6" i="3"/>
  <c r="M9" i="3"/>
  <c r="N9" i="3" s="1"/>
  <c r="O9" i="3" s="1"/>
  <c r="T9" i="3" s="1"/>
  <c r="L10" i="3"/>
  <c r="E3" i="11"/>
  <c r="F3" i="11" s="1"/>
  <c r="AC3" i="6"/>
  <c r="AJ3" i="6"/>
  <c r="M8" i="6"/>
  <c r="N8" i="6" s="1"/>
  <c r="O8" i="6" s="1"/>
  <c r="L9" i="6"/>
  <c r="W7" i="6"/>
  <c r="G7" i="6"/>
  <c r="U6" i="6"/>
  <c r="D5" i="11"/>
  <c r="Z5" i="6"/>
  <c r="AJ5" i="6" s="1"/>
  <c r="U7" i="6"/>
  <c r="I8" i="3"/>
  <c r="K8" i="3" s="1"/>
  <c r="F4" i="4"/>
  <c r="P4" i="4" s="1"/>
  <c r="E4" i="11"/>
  <c r="F4" i="11" s="1"/>
  <c r="F7" i="3"/>
  <c r="G7" i="3" s="1"/>
  <c r="F5" i="11" l="1"/>
  <c r="C3" i="9"/>
  <c r="H4" i="4"/>
  <c r="U9" i="3"/>
  <c r="X8" i="3"/>
  <c r="V8" i="3"/>
  <c r="X7" i="6"/>
  <c r="V7" i="6"/>
  <c r="I9" i="3"/>
  <c r="K9" i="3" s="1"/>
  <c r="F8" i="3"/>
  <c r="G8" i="3" s="1"/>
  <c r="W8" i="6"/>
  <c r="G8" i="6"/>
  <c r="X6" i="6"/>
  <c r="V6" i="6"/>
  <c r="C6" i="4" s="1"/>
  <c r="I9" i="6"/>
  <c r="H10" i="6"/>
  <c r="M9" i="6"/>
  <c r="N9" i="6" s="1"/>
  <c r="O9" i="6" s="1"/>
  <c r="T9" i="6" s="1"/>
  <c r="L10" i="6"/>
  <c r="K8" i="6"/>
  <c r="F9" i="6"/>
  <c r="H5" i="4"/>
  <c r="M10" i="3"/>
  <c r="N10" i="3" s="1"/>
  <c r="O10" i="3" s="1"/>
  <c r="T10" i="3" s="1"/>
  <c r="L11" i="3"/>
  <c r="C7" i="11"/>
  <c r="T8" i="6"/>
  <c r="H3" i="4"/>
  <c r="J3" i="4" s="1"/>
  <c r="W7" i="3"/>
  <c r="Z7" i="3" s="1"/>
  <c r="C6" i="11"/>
  <c r="Z6" i="3"/>
  <c r="AD3" i="6"/>
  <c r="AE3" i="6" s="1"/>
  <c r="AF3" i="6"/>
  <c r="AD4" i="3"/>
  <c r="AE4" i="3" s="1"/>
  <c r="AF4" i="3"/>
  <c r="AH6" i="3" l="1"/>
  <c r="AJ6" i="3" s="1"/>
  <c r="AH6" i="6"/>
  <c r="AH7" i="3"/>
  <c r="AJ7" i="3" s="1"/>
  <c r="AH7" i="6"/>
  <c r="M3" i="4"/>
  <c r="AG4" i="3"/>
  <c r="AA5" i="3" s="1"/>
  <c r="AC5" i="3" s="1"/>
  <c r="X9" i="3"/>
  <c r="V9" i="3"/>
  <c r="M11" i="3"/>
  <c r="N11" i="3" s="1"/>
  <c r="O11" i="3" s="1"/>
  <c r="T11" i="3" s="1"/>
  <c r="L12" i="3"/>
  <c r="W9" i="6"/>
  <c r="G9" i="6"/>
  <c r="I10" i="3"/>
  <c r="K10" i="3" s="1"/>
  <c r="C8" i="11"/>
  <c r="D7" i="11"/>
  <c r="Z7" i="6"/>
  <c r="W8" i="3"/>
  <c r="Z8" i="3" s="1"/>
  <c r="AH8" i="3" s="1"/>
  <c r="F9" i="3"/>
  <c r="G9" i="3" s="1"/>
  <c r="M10" i="6"/>
  <c r="N10" i="6" s="1"/>
  <c r="O10" i="6" s="1"/>
  <c r="T10" i="6" s="1"/>
  <c r="L11" i="6"/>
  <c r="U9" i="6"/>
  <c r="I10" i="6"/>
  <c r="H11" i="6"/>
  <c r="E6" i="11"/>
  <c r="F6" i="4"/>
  <c r="P6" i="4" s="1"/>
  <c r="F10" i="6"/>
  <c r="K9" i="6"/>
  <c r="Z6" i="6"/>
  <c r="D6" i="11"/>
  <c r="U8" i="6"/>
  <c r="C7" i="4"/>
  <c r="U10" i="3"/>
  <c r="AG3" i="6"/>
  <c r="K3" i="4" l="1"/>
  <c r="L3" i="4" s="1"/>
  <c r="N3" i="4" s="1"/>
  <c r="E3" i="9" s="1"/>
  <c r="AJ7" i="6"/>
  <c r="AJ8" i="3"/>
  <c r="AH8" i="6"/>
  <c r="C4" i="9"/>
  <c r="F6" i="11"/>
  <c r="X10" i="3"/>
  <c r="V10" i="3"/>
  <c r="I11" i="6"/>
  <c r="H12" i="6"/>
  <c r="I11" i="3"/>
  <c r="K11" i="3" s="1"/>
  <c r="AD5" i="3"/>
  <c r="AE5" i="3" s="1"/>
  <c r="AF5" i="3"/>
  <c r="F7" i="4"/>
  <c r="P7" i="4" s="1"/>
  <c r="E7" i="11"/>
  <c r="F7" i="11" s="1"/>
  <c r="X9" i="6"/>
  <c r="V9" i="6"/>
  <c r="C9" i="4" s="1"/>
  <c r="F10" i="3"/>
  <c r="G10" i="3" s="1"/>
  <c r="F11" i="6"/>
  <c r="K10" i="6"/>
  <c r="M11" i="6"/>
  <c r="N11" i="6" s="1"/>
  <c r="O11" i="6" s="1"/>
  <c r="T11" i="6" s="1"/>
  <c r="L12" i="6"/>
  <c r="U10" i="6"/>
  <c r="M12" i="3"/>
  <c r="N12" i="3" s="1"/>
  <c r="O12" i="3" s="1"/>
  <c r="T12" i="3" s="1"/>
  <c r="L13" i="3"/>
  <c r="X8" i="6"/>
  <c r="V8" i="6"/>
  <c r="AA4" i="6"/>
  <c r="AC4" i="6" s="1"/>
  <c r="D3" i="9"/>
  <c r="U11" i="3"/>
  <c r="C9" i="11"/>
  <c r="AJ6" i="6"/>
  <c r="W10" i="6"/>
  <c r="G10" i="6"/>
  <c r="W9" i="3"/>
  <c r="Z9" i="3" s="1"/>
  <c r="H6" i="4"/>
  <c r="G4" i="4" l="1"/>
  <c r="J4" i="4" s="1"/>
  <c r="AH9" i="3"/>
  <c r="AJ9" i="3" s="1"/>
  <c r="AH9" i="6"/>
  <c r="AG5" i="3"/>
  <c r="AA6" i="3" s="1"/>
  <c r="AC6" i="3" s="1"/>
  <c r="X10" i="6"/>
  <c r="V10" i="6"/>
  <c r="C10" i="4" s="1"/>
  <c r="X11" i="3"/>
  <c r="V11" i="3"/>
  <c r="D8" i="11"/>
  <c r="Z8" i="6"/>
  <c r="C8" i="4"/>
  <c r="H7" i="4"/>
  <c r="M13" i="3"/>
  <c r="N13" i="3" s="1"/>
  <c r="O13" i="3" s="1"/>
  <c r="T13" i="3" s="1"/>
  <c r="L14" i="3"/>
  <c r="M12" i="6"/>
  <c r="N12" i="6" s="1"/>
  <c r="O12" i="6" s="1"/>
  <c r="T12" i="6" s="1"/>
  <c r="L13" i="6"/>
  <c r="I12" i="3"/>
  <c r="K12" i="3" s="1"/>
  <c r="U12" i="3"/>
  <c r="F9" i="4"/>
  <c r="P9" i="4" s="1"/>
  <c r="E9" i="11"/>
  <c r="U11" i="6"/>
  <c r="F11" i="3"/>
  <c r="G11" i="3" s="1"/>
  <c r="W11" i="6"/>
  <c r="G11" i="6"/>
  <c r="I12" i="6"/>
  <c r="H13" i="6"/>
  <c r="F12" i="6"/>
  <c r="K11" i="6"/>
  <c r="W10" i="3"/>
  <c r="Z10" i="3" s="1"/>
  <c r="AH10" i="6" s="1"/>
  <c r="C10" i="11"/>
  <c r="D9" i="11"/>
  <c r="Z9" i="6"/>
  <c r="AD4" i="6"/>
  <c r="AE4" i="6" s="1"/>
  <c r="AF4" i="6"/>
  <c r="K4" i="4" l="1"/>
  <c r="L4" i="4" s="1"/>
  <c r="M4" i="4"/>
  <c r="AJ9" i="6"/>
  <c r="AH10" i="3"/>
  <c r="AJ10" i="3" s="1"/>
  <c r="C5" i="9"/>
  <c r="AG4" i="6"/>
  <c r="AA5" i="6" s="1"/>
  <c r="AC5" i="6" s="1"/>
  <c r="F9" i="11"/>
  <c r="M14" i="3"/>
  <c r="N14" i="3" s="1"/>
  <c r="O14" i="3" s="1"/>
  <c r="T14" i="3" s="1"/>
  <c r="L15" i="3"/>
  <c r="U13" i="3"/>
  <c r="F8" i="4"/>
  <c r="P8" i="4" s="1"/>
  <c r="E8" i="11"/>
  <c r="F8" i="11" s="1"/>
  <c r="W11" i="3"/>
  <c r="Z11" i="3" s="1"/>
  <c r="AJ8" i="6"/>
  <c r="E10" i="11"/>
  <c r="F10" i="4"/>
  <c r="P10" i="4" s="1"/>
  <c r="H9" i="4"/>
  <c r="X11" i="6"/>
  <c r="V11" i="6"/>
  <c r="C11" i="4" s="1"/>
  <c r="W12" i="6"/>
  <c r="G12" i="6"/>
  <c r="C11" i="11"/>
  <c r="X12" i="3"/>
  <c r="V12" i="3"/>
  <c r="I13" i="3"/>
  <c r="K13" i="3" s="1"/>
  <c r="I13" i="6"/>
  <c r="H14" i="6"/>
  <c r="F12" i="3"/>
  <c r="G12" i="3" s="1"/>
  <c r="AD6" i="3"/>
  <c r="AE6" i="3" s="1"/>
  <c r="AF6" i="3"/>
  <c r="F13" i="6"/>
  <c r="K12" i="6"/>
  <c r="Z10" i="6"/>
  <c r="AJ10" i="6" s="1"/>
  <c r="D10" i="11"/>
  <c r="M13" i="6"/>
  <c r="N13" i="6" s="1"/>
  <c r="O13" i="6" s="1"/>
  <c r="T13" i="6" s="1"/>
  <c r="L14" i="6"/>
  <c r="U12" i="6"/>
  <c r="N4" i="4" l="1"/>
  <c r="E4" i="9" s="1"/>
  <c r="D4" i="9"/>
  <c r="AG6" i="3"/>
  <c r="AA7" i="3" s="1"/>
  <c r="AC7" i="3" s="1"/>
  <c r="AH11" i="3"/>
  <c r="AJ11" i="3" s="1"/>
  <c r="AH11" i="6"/>
  <c r="F10" i="11"/>
  <c r="H10" i="4"/>
  <c r="H8" i="4"/>
  <c r="W12" i="3"/>
  <c r="Z12" i="3" s="1"/>
  <c r="I14" i="6"/>
  <c r="H15" i="6"/>
  <c r="F14" i="6"/>
  <c r="K13" i="6"/>
  <c r="D11" i="11"/>
  <c r="Z11" i="6"/>
  <c r="X13" i="3"/>
  <c r="V13" i="3"/>
  <c r="E11" i="11"/>
  <c r="F11" i="4"/>
  <c r="P11" i="4" s="1"/>
  <c r="AD5" i="6"/>
  <c r="AE5" i="6" s="1"/>
  <c r="AF5" i="6"/>
  <c r="X12" i="6"/>
  <c r="V12" i="6"/>
  <c r="C12" i="4" s="1"/>
  <c r="I14" i="3"/>
  <c r="K14" i="3" s="1"/>
  <c r="M14" i="6"/>
  <c r="N14" i="6" s="1"/>
  <c r="O14" i="6" s="1"/>
  <c r="T14" i="6" s="1"/>
  <c r="L15" i="6"/>
  <c r="F13" i="3"/>
  <c r="G13" i="3" s="1"/>
  <c r="L16" i="3"/>
  <c r="M15" i="3"/>
  <c r="N15" i="3" s="1"/>
  <c r="O15" i="3" s="1"/>
  <c r="T15" i="3" s="1"/>
  <c r="W13" i="6"/>
  <c r="G13" i="6"/>
  <c r="U13" i="6"/>
  <c r="U14" i="3"/>
  <c r="C12" i="11"/>
  <c r="G5" i="4" l="1"/>
  <c r="J5" i="4" s="1"/>
  <c r="K5" i="4" s="1"/>
  <c r="L5" i="4" s="1"/>
  <c r="C6" i="9"/>
  <c r="AH12" i="3"/>
  <c r="AJ12" i="3" s="1"/>
  <c r="AH12" i="6"/>
  <c r="F11" i="11"/>
  <c r="X14" i="3"/>
  <c r="V14" i="3"/>
  <c r="E12" i="11"/>
  <c r="F12" i="4"/>
  <c r="P12" i="4" s="1"/>
  <c r="F14" i="3"/>
  <c r="G14" i="3" s="1"/>
  <c r="W14" i="6"/>
  <c r="G14" i="6"/>
  <c r="F15" i="6"/>
  <c r="K14" i="6"/>
  <c r="AG5" i="6"/>
  <c r="H11" i="4"/>
  <c r="I15" i="6"/>
  <c r="H16" i="6"/>
  <c r="U15" i="3"/>
  <c r="Z12" i="6"/>
  <c r="D12" i="11"/>
  <c r="X13" i="6"/>
  <c r="V13" i="6"/>
  <c r="M16" i="3"/>
  <c r="N16" i="3" s="1"/>
  <c r="O16" i="3" s="1"/>
  <c r="T16" i="3" s="1"/>
  <c r="L17" i="3"/>
  <c r="AF7" i="3"/>
  <c r="AD7" i="3"/>
  <c r="AE7" i="3" s="1"/>
  <c r="I15" i="3"/>
  <c r="K15" i="3" s="1"/>
  <c r="C13" i="11"/>
  <c r="W13" i="3"/>
  <c r="Z13" i="3" s="1"/>
  <c r="AH13" i="3" s="1"/>
  <c r="L16" i="6"/>
  <c r="M15" i="6"/>
  <c r="N15" i="6" s="1"/>
  <c r="O15" i="6" s="1"/>
  <c r="T15" i="6" s="1"/>
  <c r="U14" i="6"/>
  <c r="AJ11" i="6"/>
  <c r="M5" i="4" l="1"/>
  <c r="N5" i="4"/>
  <c r="E5" i="9" s="1"/>
  <c r="AJ12" i="6"/>
  <c r="AH13" i="6"/>
  <c r="AJ13" i="3"/>
  <c r="F12" i="11"/>
  <c r="AG7" i="3"/>
  <c r="AA8" i="3" s="1"/>
  <c r="AC8" i="3" s="1"/>
  <c r="X15" i="3"/>
  <c r="V15" i="3"/>
  <c r="X14" i="6"/>
  <c r="V14" i="6"/>
  <c r="C14" i="4" s="1"/>
  <c r="U16" i="3"/>
  <c r="W15" i="6"/>
  <c r="G15" i="6"/>
  <c r="Z13" i="6"/>
  <c r="D13" i="11"/>
  <c r="U15" i="6"/>
  <c r="W14" i="3"/>
  <c r="Z14" i="3" s="1"/>
  <c r="H12" i="4"/>
  <c r="C13" i="4"/>
  <c r="I16" i="6"/>
  <c r="H17" i="6"/>
  <c r="F16" i="6"/>
  <c r="K15" i="6"/>
  <c r="C14" i="11"/>
  <c r="M16" i="6"/>
  <c r="N16" i="6" s="1"/>
  <c r="O16" i="6" s="1"/>
  <c r="T16" i="6" s="1"/>
  <c r="L17" i="6"/>
  <c r="F15" i="3"/>
  <c r="G15" i="3" s="1"/>
  <c r="I16" i="3"/>
  <c r="K16" i="3" s="1"/>
  <c r="M17" i="3"/>
  <c r="N17" i="3" s="1"/>
  <c r="O17" i="3" s="1"/>
  <c r="T17" i="3" s="1"/>
  <c r="L18" i="3"/>
  <c r="AA6" i="6"/>
  <c r="AC6" i="6" s="1"/>
  <c r="D5" i="9"/>
  <c r="G6" i="4" l="1"/>
  <c r="J6" i="4" s="1"/>
  <c r="C7" i="9"/>
  <c r="AH14" i="6"/>
  <c r="AH14" i="3"/>
  <c r="AJ14" i="3" s="1"/>
  <c r="X15" i="6"/>
  <c r="V15" i="6"/>
  <c r="C15" i="4" s="1"/>
  <c r="X16" i="3"/>
  <c r="V16" i="3"/>
  <c r="AJ13" i="6"/>
  <c r="E14" i="11"/>
  <c r="F14" i="4"/>
  <c r="P14" i="4" s="1"/>
  <c r="M18" i="3"/>
  <c r="N18" i="3" s="1"/>
  <c r="O18" i="3" s="1"/>
  <c r="T18" i="3" s="1"/>
  <c r="L19" i="3"/>
  <c r="I17" i="6"/>
  <c r="H18" i="6"/>
  <c r="W16" i="6"/>
  <c r="G16" i="6"/>
  <c r="E13" i="11"/>
  <c r="F13" i="11" s="1"/>
  <c r="F13" i="4"/>
  <c r="P13" i="4" s="1"/>
  <c r="D14" i="11"/>
  <c r="Z14" i="6"/>
  <c r="F16" i="3"/>
  <c r="G16" i="3" s="1"/>
  <c r="C15" i="11"/>
  <c r="U17" i="3"/>
  <c r="W15" i="3"/>
  <c r="Z15" i="3" s="1"/>
  <c r="F17" i="6"/>
  <c r="K16" i="6"/>
  <c r="M17" i="6"/>
  <c r="N17" i="6" s="1"/>
  <c r="O17" i="6" s="1"/>
  <c r="T17" i="6" s="1"/>
  <c r="L18" i="6"/>
  <c r="AD6" i="6"/>
  <c r="AE6" i="6" s="1"/>
  <c r="AF6" i="6"/>
  <c r="I17" i="3"/>
  <c r="K17" i="3" s="1"/>
  <c r="U16" i="6"/>
  <c r="AD8" i="3"/>
  <c r="AE8" i="3" s="1"/>
  <c r="AF8" i="3"/>
  <c r="AJ14" i="6" l="1"/>
  <c r="K6" i="4"/>
  <c r="L6" i="4" s="1"/>
  <c r="M6" i="4"/>
  <c r="AH15" i="3"/>
  <c r="AJ15" i="3" s="1"/>
  <c r="AH15" i="6"/>
  <c r="F14" i="11"/>
  <c r="AG6" i="6"/>
  <c r="AA7" i="6" s="1"/>
  <c r="AC7" i="6" s="1"/>
  <c r="AG8" i="3"/>
  <c r="AA9" i="3" s="1"/>
  <c r="AC9" i="3" s="1"/>
  <c r="X16" i="6"/>
  <c r="V16" i="6"/>
  <c r="C16" i="4" s="1"/>
  <c r="U18" i="3"/>
  <c r="M19" i="3"/>
  <c r="N19" i="3" s="1"/>
  <c r="O19" i="3" s="1"/>
  <c r="T19" i="3" s="1"/>
  <c r="L20" i="3"/>
  <c r="C16" i="11"/>
  <c r="W16" i="3"/>
  <c r="Z16" i="3" s="1"/>
  <c r="AH16" i="6" s="1"/>
  <c r="X17" i="3"/>
  <c r="V17" i="3"/>
  <c r="D15" i="11"/>
  <c r="Z15" i="6"/>
  <c r="U17" i="6"/>
  <c r="W17" i="6"/>
  <c r="G17" i="6"/>
  <c r="I18" i="3"/>
  <c r="K18" i="3" s="1"/>
  <c r="F15" i="4"/>
  <c r="P15" i="4" s="1"/>
  <c r="E15" i="11"/>
  <c r="M18" i="6"/>
  <c r="N18" i="6" s="1"/>
  <c r="O18" i="6" s="1"/>
  <c r="T18" i="6" s="1"/>
  <c r="L19" i="6"/>
  <c r="H13" i="4"/>
  <c r="I18" i="6"/>
  <c r="H19" i="6"/>
  <c r="H14" i="4"/>
  <c r="F17" i="3"/>
  <c r="G17" i="3" s="1"/>
  <c r="K17" i="6"/>
  <c r="F18" i="6"/>
  <c r="N6" i="4" l="1"/>
  <c r="AJ15" i="6"/>
  <c r="C8" i="9"/>
  <c r="AH16" i="3"/>
  <c r="AJ16" i="3" s="1"/>
  <c r="D6" i="9"/>
  <c r="F15" i="11"/>
  <c r="X18" i="3"/>
  <c r="V18" i="3"/>
  <c r="I19" i="3"/>
  <c r="K19" i="3" s="1"/>
  <c r="X17" i="6"/>
  <c r="V17" i="6"/>
  <c r="E16" i="11"/>
  <c r="F16" i="4"/>
  <c r="P16" i="4" s="1"/>
  <c r="M20" i="3"/>
  <c r="N20" i="3" s="1"/>
  <c r="O20" i="3" s="1"/>
  <c r="T20" i="3" s="1"/>
  <c r="L21" i="3"/>
  <c r="U19" i="3"/>
  <c r="K18" i="6"/>
  <c r="F19" i="6"/>
  <c r="AD7" i="6"/>
  <c r="AE7" i="6" s="1"/>
  <c r="AF7" i="6"/>
  <c r="Z16" i="6"/>
  <c r="AJ16" i="6" s="1"/>
  <c r="D16" i="11"/>
  <c r="W17" i="3"/>
  <c r="Z17" i="3" s="1"/>
  <c r="I19" i="6"/>
  <c r="H20" i="6"/>
  <c r="M19" i="6"/>
  <c r="N19" i="6" s="1"/>
  <c r="O19" i="6" s="1"/>
  <c r="T19" i="6" s="1"/>
  <c r="L20" i="6"/>
  <c r="C17" i="11"/>
  <c r="F18" i="3"/>
  <c r="G18" i="3" s="1"/>
  <c r="U18" i="6"/>
  <c r="H15" i="4"/>
  <c r="W18" i="6"/>
  <c r="G18" i="6"/>
  <c r="AD9" i="3"/>
  <c r="AE9" i="3" s="1"/>
  <c r="AF9" i="3"/>
  <c r="E6" i="9" l="1"/>
  <c r="G7" i="4"/>
  <c r="J7" i="4" s="1"/>
  <c r="AH17" i="6"/>
  <c r="AH17" i="3"/>
  <c r="AJ17" i="3" s="1"/>
  <c r="F16" i="11"/>
  <c r="AG7" i="6"/>
  <c r="AA8" i="6" s="1"/>
  <c r="AC8" i="6" s="1"/>
  <c r="AG9" i="3"/>
  <c r="AA10" i="3" s="1"/>
  <c r="AC10" i="3" s="1"/>
  <c r="U20" i="3"/>
  <c r="I20" i="6"/>
  <c r="H21" i="6"/>
  <c r="H16" i="4"/>
  <c r="Z17" i="6"/>
  <c r="AJ17" i="6" s="1"/>
  <c r="D17" i="11"/>
  <c r="X18" i="6"/>
  <c r="V18" i="6"/>
  <c r="W18" i="3"/>
  <c r="Z18" i="3" s="1"/>
  <c r="AH18" i="3" s="1"/>
  <c r="I20" i="3"/>
  <c r="K20" i="3" s="1"/>
  <c r="U19" i="6"/>
  <c r="C17" i="4"/>
  <c r="C18" i="11"/>
  <c r="M21" i="3"/>
  <c r="N21" i="3" s="1"/>
  <c r="O21" i="3" s="1"/>
  <c r="T21" i="3" s="1"/>
  <c r="L22" i="3"/>
  <c r="X19" i="3"/>
  <c r="V19" i="3"/>
  <c r="F20" i="6"/>
  <c r="K19" i="6"/>
  <c r="F19" i="3"/>
  <c r="G19" i="3" s="1"/>
  <c r="W19" i="6"/>
  <c r="G19" i="6"/>
  <c r="M20" i="6"/>
  <c r="N20" i="6" s="1"/>
  <c r="O20" i="6" s="1"/>
  <c r="T20" i="6" s="1"/>
  <c r="L21" i="6"/>
  <c r="K7" i="4" l="1"/>
  <c r="L7" i="4" s="1"/>
  <c r="M7" i="4"/>
  <c r="AH18" i="6"/>
  <c r="D7" i="9"/>
  <c r="AJ18" i="3"/>
  <c r="C9" i="9"/>
  <c r="X19" i="6"/>
  <c r="V19" i="6"/>
  <c r="C19" i="4" s="1"/>
  <c r="X20" i="3"/>
  <c r="V20" i="3"/>
  <c r="M21" i="6"/>
  <c r="N21" i="6" s="1"/>
  <c r="O21" i="6" s="1"/>
  <c r="T21" i="6" s="1"/>
  <c r="L22" i="6"/>
  <c r="U21" i="3"/>
  <c r="AD8" i="6"/>
  <c r="AE8" i="6" s="1"/>
  <c r="AF8" i="6"/>
  <c r="M22" i="3"/>
  <c r="N22" i="3" s="1"/>
  <c r="O22" i="3" s="1"/>
  <c r="T22" i="3" s="1"/>
  <c r="L23" i="3"/>
  <c r="D18" i="11"/>
  <c r="Z18" i="6"/>
  <c r="C18" i="4"/>
  <c r="E17" i="11"/>
  <c r="F17" i="11" s="1"/>
  <c r="F17" i="4"/>
  <c r="P17" i="4" s="1"/>
  <c r="F21" i="6"/>
  <c r="K20" i="6"/>
  <c r="F20" i="3"/>
  <c r="G20" i="3" s="1"/>
  <c r="I21" i="3"/>
  <c r="K21" i="3" s="1"/>
  <c r="U20" i="6"/>
  <c r="W19" i="3"/>
  <c r="Z19" i="3" s="1"/>
  <c r="AH19" i="6" s="1"/>
  <c r="I21" i="6"/>
  <c r="H22" i="6"/>
  <c r="W20" i="6"/>
  <c r="G20" i="6"/>
  <c r="C19" i="11"/>
  <c r="AD10" i="3"/>
  <c r="AE10" i="3" s="1"/>
  <c r="AF10" i="3"/>
  <c r="N7" i="4" l="1"/>
  <c r="AJ18" i="6"/>
  <c r="AH19" i="3"/>
  <c r="AJ19" i="3" s="1"/>
  <c r="AG8" i="6"/>
  <c r="AA9" i="6" s="1"/>
  <c r="AC9" i="6" s="1"/>
  <c r="AG10" i="3"/>
  <c r="AA11" i="3" s="1"/>
  <c r="AC11" i="3" s="1"/>
  <c r="X20" i="6"/>
  <c r="V20" i="6"/>
  <c r="X21" i="3"/>
  <c r="V21" i="3"/>
  <c r="W20" i="3"/>
  <c r="Z20" i="3" s="1"/>
  <c r="AH20" i="6" s="1"/>
  <c r="H17" i="4"/>
  <c r="C20" i="11"/>
  <c r="W21" i="6"/>
  <c r="G21" i="6"/>
  <c r="E18" i="11"/>
  <c r="F18" i="11" s="1"/>
  <c r="F18" i="4"/>
  <c r="P18" i="4" s="1"/>
  <c r="E19" i="11"/>
  <c r="F19" i="4"/>
  <c r="P19" i="4" s="1"/>
  <c r="M22" i="6"/>
  <c r="N22" i="6" s="1"/>
  <c r="O22" i="6" s="1"/>
  <c r="T22" i="6" s="1"/>
  <c r="L23" i="6"/>
  <c r="I22" i="6"/>
  <c r="H23" i="6"/>
  <c r="F22" i="6"/>
  <c r="K21" i="6"/>
  <c r="Z19" i="6"/>
  <c r="AJ19" i="6" s="1"/>
  <c r="D19" i="11"/>
  <c r="M23" i="3"/>
  <c r="N23" i="3" s="1"/>
  <c r="O23" i="3" s="1"/>
  <c r="T23" i="3" s="1"/>
  <c r="L24" i="3"/>
  <c r="I22" i="3"/>
  <c r="K22" i="3" s="1"/>
  <c r="U21" i="6"/>
  <c r="F21" i="3"/>
  <c r="G21" i="3" s="1"/>
  <c r="U22" i="3"/>
  <c r="E7" i="9" l="1"/>
  <c r="G8" i="4"/>
  <c r="J8" i="4" s="1"/>
  <c r="D8" i="9"/>
  <c r="C10" i="9"/>
  <c r="F19" i="11"/>
  <c r="AH20" i="3"/>
  <c r="AJ20" i="3" s="1"/>
  <c r="X21" i="6"/>
  <c r="V21" i="6"/>
  <c r="M23" i="6"/>
  <c r="N23" i="6" s="1"/>
  <c r="O23" i="6" s="1"/>
  <c r="T23" i="6" s="1"/>
  <c r="L24" i="6"/>
  <c r="F23" i="6"/>
  <c r="K22" i="6"/>
  <c r="I23" i="6"/>
  <c r="H24" i="6"/>
  <c r="I23" i="3"/>
  <c r="K23" i="3" s="1"/>
  <c r="C21" i="11"/>
  <c r="Z20" i="6"/>
  <c r="AJ20" i="6" s="1"/>
  <c r="D20" i="11"/>
  <c r="W22" i="6"/>
  <c r="G22" i="6"/>
  <c r="H19" i="4"/>
  <c r="H18" i="4"/>
  <c r="F22" i="3"/>
  <c r="G22" i="3" s="1"/>
  <c r="U23" i="3"/>
  <c r="X22" i="3"/>
  <c r="V22" i="3"/>
  <c r="U22" i="6"/>
  <c r="AF11" i="3"/>
  <c r="AD11" i="3"/>
  <c r="AE11" i="3" s="1"/>
  <c r="M24" i="3"/>
  <c r="N24" i="3" s="1"/>
  <c r="O24" i="3" s="1"/>
  <c r="T24" i="3" s="1"/>
  <c r="L25" i="3"/>
  <c r="W21" i="3"/>
  <c r="Z21" i="3" s="1"/>
  <c r="C20" i="4"/>
  <c r="AF9" i="6"/>
  <c r="AD9" i="6"/>
  <c r="AE9" i="6" s="1"/>
  <c r="K8" i="4" l="1"/>
  <c r="L8" i="4" s="1"/>
  <c r="M8" i="4"/>
  <c r="AH21" i="6"/>
  <c r="AH21" i="3"/>
  <c r="AJ21" i="3" s="1"/>
  <c r="AG9" i="6"/>
  <c r="D9" i="9" s="1"/>
  <c r="AG11" i="3"/>
  <c r="AA12" i="3" s="1"/>
  <c r="AC12" i="3" s="1"/>
  <c r="X22" i="6"/>
  <c r="V22" i="6"/>
  <c r="C22" i="4" s="1"/>
  <c r="X23" i="3"/>
  <c r="V23" i="3"/>
  <c r="F23" i="3"/>
  <c r="G23" i="3" s="1"/>
  <c r="W22" i="3"/>
  <c r="Z22" i="3" s="1"/>
  <c r="AH22" i="6" s="1"/>
  <c r="I24" i="3"/>
  <c r="K24" i="3" s="1"/>
  <c r="U23" i="6"/>
  <c r="I24" i="6"/>
  <c r="H25" i="6"/>
  <c r="M25" i="3"/>
  <c r="N25" i="3" s="1"/>
  <c r="O25" i="3" s="1"/>
  <c r="T25" i="3" s="1"/>
  <c r="L26" i="3"/>
  <c r="M24" i="6"/>
  <c r="N24" i="6" s="1"/>
  <c r="O24" i="6" s="1"/>
  <c r="T24" i="6" s="1"/>
  <c r="L25" i="6"/>
  <c r="D21" i="11"/>
  <c r="Z21" i="6"/>
  <c r="AJ21" i="6" s="1"/>
  <c r="K23" i="6"/>
  <c r="F24" i="6"/>
  <c r="U24" i="3"/>
  <c r="C22" i="11"/>
  <c r="E20" i="11"/>
  <c r="F20" i="11" s="1"/>
  <c r="F20" i="4"/>
  <c r="P20" i="4" s="1"/>
  <c r="W23" i="6"/>
  <c r="G23" i="6"/>
  <c r="C21" i="4"/>
  <c r="N8" i="4" l="1"/>
  <c r="E8" i="9" s="1"/>
  <c r="C11" i="9"/>
  <c r="AH22" i="3"/>
  <c r="AJ22" i="3" s="1"/>
  <c r="AA10" i="6"/>
  <c r="AC10" i="6" s="1"/>
  <c r="AD10" i="6" s="1"/>
  <c r="AE10" i="6" s="1"/>
  <c r="W23" i="3"/>
  <c r="Z23" i="3" s="1"/>
  <c r="E21" i="11"/>
  <c r="F21" i="11" s="1"/>
  <c r="F21" i="4"/>
  <c r="P21" i="4" s="1"/>
  <c r="M25" i="6"/>
  <c r="N25" i="6" s="1"/>
  <c r="O25" i="6" s="1"/>
  <c r="T25" i="6" s="1"/>
  <c r="L26" i="6"/>
  <c r="U25" i="3"/>
  <c r="X23" i="6"/>
  <c r="V23" i="6"/>
  <c r="M26" i="3"/>
  <c r="N26" i="3" s="1"/>
  <c r="O26" i="3" s="1"/>
  <c r="T26" i="3" s="1"/>
  <c r="L27" i="3"/>
  <c r="C23" i="11"/>
  <c r="AF12" i="3"/>
  <c r="AD12" i="3"/>
  <c r="AE12" i="3" s="1"/>
  <c r="H20" i="4"/>
  <c r="I25" i="6"/>
  <c r="H26" i="6"/>
  <c r="F22" i="4"/>
  <c r="P22" i="4" s="1"/>
  <c r="E22" i="11"/>
  <c r="I25" i="3"/>
  <c r="K25" i="3" s="1"/>
  <c r="D22" i="11"/>
  <c r="Z22" i="6"/>
  <c r="AJ22" i="6" s="1"/>
  <c r="F25" i="6"/>
  <c r="K24" i="6"/>
  <c r="W24" i="6"/>
  <c r="G24" i="6"/>
  <c r="F24" i="3"/>
  <c r="G24" i="3" s="1"/>
  <c r="U24" i="6"/>
  <c r="X24" i="3"/>
  <c r="V24" i="3"/>
  <c r="G9" i="4" l="1"/>
  <c r="J9" i="4" s="1"/>
  <c r="AF10" i="6"/>
  <c r="M9" i="4"/>
  <c r="K9" i="4"/>
  <c r="L9" i="4" s="1"/>
  <c r="AH23" i="3"/>
  <c r="AJ23" i="3" s="1"/>
  <c r="AH23" i="6"/>
  <c r="F22" i="11"/>
  <c r="AG12" i="3"/>
  <c r="AA13" i="3" s="1"/>
  <c r="AC13" i="3" s="1"/>
  <c r="AG10" i="6"/>
  <c r="D10" i="9" s="1"/>
  <c r="X25" i="3"/>
  <c r="V25" i="3"/>
  <c r="C24" i="11"/>
  <c r="H21" i="4"/>
  <c r="X24" i="6"/>
  <c r="V24" i="6"/>
  <c r="C24" i="4" s="1"/>
  <c r="W25" i="6"/>
  <c r="G25" i="6"/>
  <c r="D23" i="11"/>
  <c r="Z23" i="6"/>
  <c r="W24" i="3"/>
  <c r="Z24" i="3" s="1"/>
  <c r="C23" i="4"/>
  <c r="M26" i="6"/>
  <c r="N26" i="6" s="1"/>
  <c r="O26" i="6" s="1"/>
  <c r="T26" i="6" s="1"/>
  <c r="L27" i="6"/>
  <c r="U26" i="3"/>
  <c r="U25" i="6"/>
  <c r="H22" i="4"/>
  <c r="I26" i="6"/>
  <c r="H27" i="6"/>
  <c r="F25" i="3"/>
  <c r="G25" i="3" s="1"/>
  <c r="F26" i="6"/>
  <c r="K25" i="6"/>
  <c r="M27" i="3"/>
  <c r="N27" i="3" s="1"/>
  <c r="O27" i="3" s="1"/>
  <c r="T27" i="3" s="1"/>
  <c r="L28" i="3"/>
  <c r="I26" i="3"/>
  <c r="K26" i="3" s="1"/>
  <c r="N9" i="4" l="1"/>
  <c r="E9" i="9"/>
  <c r="G10" i="4"/>
  <c r="J10" i="4" s="1"/>
  <c r="AJ23" i="6"/>
  <c r="C12" i="9"/>
  <c r="AH24" i="6"/>
  <c r="AH24" i="3"/>
  <c r="AJ24" i="3" s="1"/>
  <c r="AA11" i="6"/>
  <c r="AC11" i="6" s="1"/>
  <c r="AD11" i="6" s="1"/>
  <c r="AE11" i="6" s="1"/>
  <c r="F24" i="4"/>
  <c r="P24" i="4" s="1"/>
  <c r="E24" i="11"/>
  <c r="U27" i="3"/>
  <c r="M28" i="3"/>
  <c r="N28" i="3" s="1"/>
  <c r="O28" i="3" s="1"/>
  <c r="T28" i="3" s="1"/>
  <c r="L29" i="3"/>
  <c r="W26" i="6"/>
  <c r="G26" i="6"/>
  <c r="C25" i="11"/>
  <c r="X26" i="3"/>
  <c r="V26" i="3"/>
  <c r="M27" i="6"/>
  <c r="N27" i="6" s="1"/>
  <c r="O27" i="6" s="1"/>
  <c r="T27" i="6" s="1"/>
  <c r="L28" i="6"/>
  <c r="W25" i="3"/>
  <c r="Z25" i="3" s="1"/>
  <c r="D24" i="11"/>
  <c r="Z24" i="6"/>
  <c r="U26" i="6"/>
  <c r="F26" i="3"/>
  <c r="G26" i="3" s="1"/>
  <c r="I27" i="3"/>
  <c r="K27" i="3" s="1"/>
  <c r="X25" i="6"/>
  <c r="V25" i="6"/>
  <c r="C25" i="4" s="1"/>
  <c r="E23" i="11"/>
  <c r="F23" i="11" s="1"/>
  <c r="F23" i="4"/>
  <c r="P23" i="4" s="1"/>
  <c r="I27" i="6"/>
  <c r="H28" i="6"/>
  <c r="K26" i="6"/>
  <c r="F27" i="6"/>
  <c r="AD13" i="3"/>
  <c r="AE13" i="3" s="1"/>
  <c r="AF13" i="3"/>
  <c r="AJ24" i="6" l="1"/>
  <c r="M10" i="4"/>
  <c r="K10" i="4"/>
  <c r="L10" i="4" s="1"/>
  <c r="AF11" i="6"/>
  <c r="AG11" i="6" s="1"/>
  <c r="AA12" i="6" s="1"/>
  <c r="AC12" i="6" s="1"/>
  <c r="AH25" i="3"/>
  <c r="AJ25" i="3" s="1"/>
  <c r="AH25" i="6"/>
  <c r="F24" i="11"/>
  <c r="AG13" i="3"/>
  <c r="AA14" i="3" s="1"/>
  <c r="AC14" i="3" s="1"/>
  <c r="X26" i="6"/>
  <c r="V26" i="6"/>
  <c r="C26" i="4" s="1"/>
  <c r="W26" i="3"/>
  <c r="Z26" i="3" s="1"/>
  <c r="M29" i="3"/>
  <c r="N29" i="3" s="1"/>
  <c r="O29" i="3" s="1"/>
  <c r="T29" i="3" s="1"/>
  <c r="L30" i="3"/>
  <c r="E25" i="11"/>
  <c r="F25" i="4"/>
  <c r="P25" i="4" s="1"/>
  <c r="I28" i="6"/>
  <c r="H29" i="6"/>
  <c r="U27" i="6"/>
  <c r="X27" i="3"/>
  <c r="V27" i="3"/>
  <c r="H23" i="4"/>
  <c r="C26" i="11"/>
  <c r="F28" i="6"/>
  <c r="K27" i="6"/>
  <c r="M28" i="6"/>
  <c r="N28" i="6" s="1"/>
  <c r="O28" i="6" s="1"/>
  <c r="T28" i="6" s="1"/>
  <c r="L29" i="6"/>
  <c r="I28" i="3"/>
  <c r="K28" i="3" s="1"/>
  <c r="W27" i="6"/>
  <c r="G27" i="6"/>
  <c r="U28" i="3"/>
  <c r="D25" i="11"/>
  <c r="Z25" i="6"/>
  <c r="F27" i="3"/>
  <c r="G27" i="3" s="1"/>
  <c r="H24" i="4"/>
  <c r="N10" i="4" l="1"/>
  <c r="E10" i="9" s="1"/>
  <c r="G11" i="4"/>
  <c r="J11" i="4" s="1"/>
  <c r="C13" i="9"/>
  <c r="AJ25" i="6"/>
  <c r="D11" i="9"/>
  <c r="AH26" i="3"/>
  <c r="AJ26" i="3" s="1"/>
  <c r="AH26" i="6"/>
  <c r="F25" i="11"/>
  <c r="AF12" i="6"/>
  <c r="AD12" i="6"/>
  <c r="AE12" i="6" s="1"/>
  <c r="H25" i="4"/>
  <c r="AD14" i="3"/>
  <c r="AE14" i="3" s="1"/>
  <c r="AF14" i="3"/>
  <c r="U29" i="3"/>
  <c r="C27" i="11"/>
  <c r="I29" i="3"/>
  <c r="K29" i="3" s="1"/>
  <c r="I29" i="6"/>
  <c r="H30" i="6"/>
  <c r="Z26" i="6"/>
  <c r="D26" i="11"/>
  <c r="W28" i="6"/>
  <c r="G28" i="6"/>
  <c r="W27" i="3"/>
  <c r="Z27" i="3" s="1"/>
  <c r="X28" i="3"/>
  <c r="V28" i="3"/>
  <c r="X27" i="6"/>
  <c r="V27" i="6"/>
  <c r="U28" i="6"/>
  <c r="K28" i="6"/>
  <c r="F29" i="6"/>
  <c r="F26" i="4"/>
  <c r="P26" i="4" s="1"/>
  <c r="E26" i="11"/>
  <c r="M30" i="3"/>
  <c r="N30" i="3" s="1"/>
  <c r="O30" i="3" s="1"/>
  <c r="T30" i="3" s="1"/>
  <c r="L31" i="3"/>
  <c r="F28" i="3"/>
  <c r="G28" i="3" s="1"/>
  <c r="M29" i="6"/>
  <c r="N29" i="6" s="1"/>
  <c r="O29" i="6" s="1"/>
  <c r="T29" i="6" s="1"/>
  <c r="L30" i="6"/>
  <c r="K11" i="4" l="1"/>
  <c r="L11" i="4" s="1"/>
  <c r="M11" i="4"/>
  <c r="AH27" i="3"/>
  <c r="AJ27" i="3" s="1"/>
  <c r="AH27" i="6"/>
  <c r="AJ26" i="6"/>
  <c r="AG12" i="6"/>
  <c r="AA13" i="6" s="1"/>
  <c r="AC13" i="6" s="1"/>
  <c r="F26" i="11"/>
  <c r="AG14" i="3"/>
  <c r="AA15" i="3" s="1"/>
  <c r="AC15" i="3" s="1"/>
  <c r="M30" i="6"/>
  <c r="N30" i="6" s="1"/>
  <c r="O30" i="6" s="1"/>
  <c r="T30" i="6" s="1"/>
  <c r="L31" i="6"/>
  <c r="C28" i="11"/>
  <c r="X29" i="3"/>
  <c r="V29" i="3"/>
  <c r="W28" i="3"/>
  <c r="Z28" i="3" s="1"/>
  <c r="F30" i="6"/>
  <c r="K29" i="6"/>
  <c r="U30" i="3"/>
  <c r="W29" i="6"/>
  <c r="G29" i="6"/>
  <c r="I30" i="3"/>
  <c r="K30" i="3" s="1"/>
  <c r="I30" i="6"/>
  <c r="H31" i="6"/>
  <c r="X28" i="6"/>
  <c r="V28" i="6"/>
  <c r="F29" i="3"/>
  <c r="G29" i="3" s="1"/>
  <c r="U29" i="6"/>
  <c r="M31" i="3"/>
  <c r="N31" i="3" s="1"/>
  <c r="O31" i="3" s="1"/>
  <c r="T31" i="3" s="1"/>
  <c r="L32" i="3"/>
  <c r="H26" i="4"/>
  <c r="Z27" i="6"/>
  <c r="D27" i="11"/>
  <c r="C27" i="4"/>
  <c r="N11" i="4" l="1"/>
  <c r="G12" i="4" s="1"/>
  <c r="J12" i="4" s="1"/>
  <c r="E11" i="9"/>
  <c r="D12" i="9"/>
  <c r="AJ27" i="6"/>
  <c r="AH28" i="3"/>
  <c r="AJ28" i="3" s="1"/>
  <c r="AH28" i="6"/>
  <c r="C14" i="9"/>
  <c r="C27" i="5" s="1" a="1"/>
  <c r="C27" i="5" s="1"/>
  <c r="X29" i="6"/>
  <c r="V29" i="6"/>
  <c r="C29" i="4" s="1"/>
  <c r="X30" i="3"/>
  <c r="V30" i="3"/>
  <c r="E27" i="11"/>
  <c r="F27" i="11" s="1"/>
  <c r="F27" i="4"/>
  <c r="P27" i="4" s="1"/>
  <c r="W29" i="3"/>
  <c r="Z29" i="3" s="1"/>
  <c r="AH29" i="3" s="1"/>
  <c r="Z28" i="6"/>
  <c r="D28" i="11"/>
  <c r="I31" i="6"/>
  <c r="H32" i="6"/>
  <c r="C28" i="4"/>
  <c r="AD13" i="6"/>
  <c r="AE13" i="6" s="1"/>
  <c r="AF13" i="6"/>
  <c r="C29" i="11"/>
  <c r="M32" i="3"/>
  <c r="N32" i="3" s="1"/>
  <c r="O32" i="3" s="1"/>
  <c r="T32" i="3" s="1"/>
  <c r="L33" i="3"/>
  <c r="M31" i="6"/>
  <c r="N31" i="6" s="1"/>
  <c r="O31" i="6" s="1"/>
  <c r="T31" i="6" s="1"/>
  <c r="L32" i="6"/>
  <c r="K30" i="6"/>
  <c r="F31" i="6"/>
  <c r="I31" i="3"/>
  <c r="K31" i="3" s="1"/>
  <c r="U31" i="3"/>
  <c r="U30" i="6"/>
  <c r="F30" i="3"/>
  <c r="G30" i="3" s="1"/>
  <c r="W30" i="6"/>
  <c r="G30" i="6"/>
  <c r="AD15" i="3"/>
  <c r="AE15" i="3" s="1"/>
  <c r="AF15" i="3"/>
  <c r="AJ28" i="6" l="1"/>
  <c r="K12" i="4"/>
  <c r="L12" i="4" s="1"/>
  <c r="M12" i="4"/>
  <c r="C3" i="10"/>
  <c r="AH29" i="6"/>
  <c r="AJ29" i="3"/>
  <c r="AG13" i="6"/>
  <c r="AA14" i="6" s="1"/>
  <c r="AC14" i="6" s="1"/>
  <c r="AG15" i="3"/>
  <c r="AA16" i="3" s="1"/>
  <c r="AC16" i="3" s="1"/>
  <c r="X31" i="3"/>
  <c r="V31" i="3"/>
  <c r="X30" i="6"/>
  <c r="V30" i="6"/>
  <c r="C30" i="4" s="1"/>
  <c r="I32" i="6"/>
  <c r="H33" i="6"/>
  <c r="F31" i="3"/>
  <c r="G31" i="3" s="1"/>
  <c r="U31" i="6"/>
  <c r="K31" i="6"/>
  <c r="F32" i="6"/>
  <c r="H27" i="4"/>
  <c r="M32" i="6"/>
  <c r="N32" i="6" s="1"/>
  <c r="O32" i="6" s="1"/>
  <c r="T32" i="6" s="1"/>
  <c r="L33" i="6"/>
  <c r="C30" i="11"/>
  <c r="I32" i="3"/>
  <c r="K32" i="3" s="1"/>
  <c r="W31" i="6"/>
  <c r="G31" i="6"/>
  <c r="U32" i="3"/>
  <c r="W30" i="3"/>
  <c r="Z30" i="3" s="1"/>
  <c r="F29" i="4"/>
  <c r="P29" i="4" s="1"/>
  <c r="E29" i="11"/>
  <c r="M33" i="3"/>
  <c r="N33" i="3" s="1"/>
  <c r="O33" i="3" s="1"/>
  <c r="T33" i="3" s="1"/>
  <c r="L34" i="3"/>
  <c r="Z29" i="6"/>
  <c r="D29" i="11"/>
  <c r="E28" i="11"/>
  <c r="F28" i="11" s="1"/>
  <c r="F28" i="4"/>
  <c r="P28" i="4" s="1"/>
  <c r="N12" i="4" l="1"/>
  <c r="G13" i="4" s="1"/>
  <c r="J13" i="4" s="1"/>
  <c r="AJ29" i="6"/>
  <c r="AH30" i="6"/>
  <c r="AH30" i="3"/>
  <c r="AJ30" i="3" s="1"/>
  <c r="C15" i="9"/>
  <c r="D13" i="9"/>
  <c r="F29" i="11"/>
  <c r="W31" i="3"/>
  <c r="Z31" i="3" s="1"/>
  <c r="F32" i="3"/>
  <c r="G32" i="3" s="1"/>
  <c r="F30" i="4"/>
  <c r="P30" i="4" s="1"/>
  <c r="E30" i="11"/>
  <c r="U33" i="3"/>
  <c r="Z30" i="6"/>
  <c r="D30" i="11"/>
  <c r="I33" i="3"/>
  <c r="K33" i="3" s="1"/>
  <c r="I33" i="6"/>
  <c r="H34" i="6"/>
  <c r="AD16" i="3"/>
  <c r="AE16" i="3" s="1"/>
  <c r="AF16" i="3"/>
  <c r="M34" i="3"/>
  <c r="N34" i="3" s="1"/>
  <c r="O34" i="3" s="1"/>
  <c r="T34" i="3" s="1"/>
  <c r="L35" i="3"/>
  <c r="M33" i="6"/>
  <c r="N33" i="6" s="1"/>
  <c r="O33" i="6" s="1"/>
  <c r="T33" i="6" s="1"/>
  <c r="L34" i="6"/>
  <c r="U32" i="6"/>
  <c r="H29" i="4"/>
  <c r="G32" i="6"/>
  <c r="W32" i="6"/>
  <c r="X31" i="6"/>
  <c r="V31" i="6"/>
  <c r="C31" i="4" s="1"/>
  <c r="K32" i="6"/>
  <c r="F33" i="6"/>
  <c r="C31" i="11"/>
  <c r="X32" i="3"/>
  <c r="V32" i="3"/>
  <c r="H28" i="4"/>
  <c r="AF14" i="6"/>
  <c r="AD14" i="6"/>
  <c r="AE14" i="6" s="1"/>
  <c r="E12" i="9" l="1"/>
  <c r="M13" i="4"/>
  <c r="K13" i="4"/>
  <c r="L13" i="4" s="1"/>
  <c r="AH31" i="3"/>
  <c r="AJ31" i="3" s="1"/>
  <c r="AJ30" i="6"/>
  <c r="AH31" i="6"/>
  <c r="F30" i="11"/>
  <c r="AG16" i="3"/>
  <c r="AA17" i="3" s="1"/>
  <c r="AC17" i="3" s="1"/>
  <c r="AG14" i="6"/>
  <c r="D14" i="9" s="1"/>
  <c r="C28" i="5" s="1" a="1"/>
  <c r="C28" i="5" s="1"/>
  <c r="E31" i="11"/>
  <c r="F31" i="4"/>
  <c r="P31" i="4" s="1"/>
  <c r="X33" i="3"/>
  <c r="V33" i="3"/>
  <c r="C32" i="11"/>
  <c r="I34" i="6"/>
  <c r="H35" i="6"/>
  <c r="F33" i="3"/>
  <c r="G33" i="3" s="1"/>
  <c r="F34" i="6"/>
  <c r="K33" i="6"/>
  <c r="X32" i="6"/>
  <c r="V32" i="6"/>
  <c r="C32" i="4" s="1"/>
  <c r="I34" i="3"/>
  <c r="K34" i="3" s="1"/>
  <c r="W33" i="6"/>
  <c r="G33" i="6"/>
  <c r="M34" i="6"/>
  <c r="N34" i="6" s="1"/>
  <c r="O34" i="6" s="1"/>
  <c r="T34" i="6" s="1"/>
  <c r="L35" i="6"/>
  <c r="U33" i="6"/>
  <c r="W32" i="3"/>
  <c r="Z32" i="3" s="1"/>
  <c r="AH32" i="3" s="1"/>
  <c r="H30" i="4"/>
  <c r="M35" i="3"/>
  <c r="N35" i="3" s="1"/>
  <c r="O35" i="3" s="1"/>
  <c r="T35" i="3" s="1"/>
  <c r="L36" i="3"/>
  <c r="D31" i="11"/>
  <c r="Z31" i="6"/>
  <c r="U34" i="3"/>
  <c r="N13" i="4" l="1"/>
  <c r="E13" i="9" s="1"/>
  <c r="AJ31" i="6"/>
  <c r="AH32" i="6"/>
  <c r="H3" i="10"/>
  <c r="AJ32" i="3"/>
  <c r="AA15" i="6"/>
  <c r="AC15" i="6" s="1"/>
  <c r="AD15" i="6" s="1"/>
  <c r="AE15" i="6" s="1"/>
  <c r="F31" i="11"/>
  <c r="C16" i="9"/>
  <c r="X33" i="6"/>
  <c r="V33" i="6"/>
  <c r="C33" i="4" s="1"/>
  <c r="W33" i="3"/>
  <c r="Z33" i="3" s="1"/>
  <c r="U34" i="6"/>
  <c r="I35" i="6"/>
  <c r="H36" i="6"/>
  <c r="M35" i="6"/>
  <c r="N35" i="6" s="1"/>
  <c r="O35" i="6" s="1"/>
  <c r="T35" i="6" s="1"/>
  <c r="L36" i="6"/>
  <c r="E32" i="11"/>
  <c r="F32" i="4"/>
  <c r="P32" i="4" s="1"/>
  <c r="F35" i="6"/>
  <c r="K34" i="6"/>
  <c r="F34" i="3"/>
  <c r="G34" i="3" s="1"/>
  <c r="M36" i="3"/>
  <c r="N36" i="3" s="1"/>
  <c r="O36" i="3" s="1"/>
  <c r="T36" i="3" s="1"/>
  <c r="L37" i="3"/>
  <c r="I35" i="3"/>
  <c r="K35" i="3" s="1"/>
  <c r="X34" i="3"/>
  <c r="V34" i="3"/>
  <c r="U35" i="3"/>
  <c r="D32" i="11"/>
  <c r="Z32" i="6"/>
  <c r="AD17" i="3"/>
  <c r="AE17" i="3" s="1"/>
  <c r="AF17" i="3"/>
  <c r="C33" i="11"/>
  <c r="W34" i="6"/>
  <c r="G34" i="6"/>
  <c r="H31" i="4"/>
  <c r="G14" i="4" l="1"/>
  <c r="J14" i="4" s="1"/>
  <c r="M14" i="4" s="1"/>
  <c r="AJ32" i="6"/>
  <c r="AH33" i="6"/>
  <c r="AH33" i="3"/>
  <c r="AJ33" i="3" s="1"/>
  <c r="AF15" i="6"/>
  <c r="AG15" i="6" s="1"/>
  <c r="D15" i="9" s="1"/>
  <c r="F32" i="11"/>
  <c r="AG17" i="3"/>
  <c r="AA18" i="3" s="1"/>
  <c r="AC18" i="3" s="1"/>
  <c r="X35" i="3"/>
  <c r="V35" i="3"/>
  <c r="X34" i="6"/>
  <c r="V34" i="6"/>
  <c r="C34" i="4" s="1"/>
  <c r="W35" i="6"/>
  <c r="G35" i="6"/>
  <c r="M36" i="6"/>
  <c r="N36" i="6" s="1"/>
  <c r="O36" i="6" s="1"/>
  <c r="T36" i="6" s="1"/>
  <c r="L37" i="6"/>
  <c r="U35" i="6"/>
  <c r="I36" i="6"/>
  <c r="H37" i="6"/>
  <c r="F36" i="6"/>
  <c r="K35" i="6"/>
  <c r="H32" i="4"/>
  <c r="F33" i="4"/>
  <c r="P33" i="4" s="1"/>
  <c r="E33" i="11"/>
  <c r="I36" i="3"/>
  <c r="K36" i="3" s="1"/>
  <c r="F35" i="3"/>
  <c r="G35" i="3" s="1"/>
  <c r="W34" i="3"/>
  <c r="Z34" i="3" s="1"/>
  <c r="Z33" i="6"/>
  <c r="D33" i="11"/>
  <c r="C34" i="11"/>
  <c r="M37" i="3"/>
  <c r="N37" i="3" s="1"/>
  <c r="O37" i="3" s="1"/>
  <c r="T37" i="3" s="1"/>
  <c r="L38" i="3"/>
  <c r="U36" i="3"/>
  <c r="K14" i="4" l="1"/>
  <c r="L14" i="4" s="1"/>
  <c r="N14" i="4" s="1"/>
  <c r="E14" i="9" s="1"/>
  <c r="AH34" i="6"/>
  <c r="AJ33" i="6"/>
  <c r="AH34" i="3"/>
  <c r="AJ34" i="3" s="1"/>
  <c r="F33" i="11"/>
  <c r="AA16" i="6"/>
  <c r="AC16" i="6" s="1"/>
  <c r="AF16" i="6" s="1"/>
  <c r="C17" i="9"/>
  <c r="X36" i="3"/>
  <c r="V36" i="3"/>
  <c r="W35" i="3"/>
  <c r="Z35" i="3" s="1"/>
  <c r="I37" i="6"/>
  <c r="H38" i="6"/>
  <c r="F37" i="6"/>
  <c r="K36" i="6"/>
  <c r="X35" i="6"/>
  <c r="V35" i="6"/>
  <c r="C35" i="4" s="1"/>
  <c r="M37" i="6"/>
  <c r="N37" i="6" s="1"/>
  <c r="O37" i="6" s="1"/>
  <c r="T37" i="6" s="1"/>
  <c r="L38" i="6"/>
  <c r="U36" i="6"/>
  <c r="U37" i="3"/>
  <c r="I37" i="3"/>
  <c r="K37" i="3" s="1"/>
  <c r="F36" i="3"/>
  <c r="G36" i="3" s="1"/>
  <c r="M38" i="3"/>
  <c r="N38" i="3" s="1"/>
  <c r="O38" i="3" s="1"/>
  <c r="T38" i="3" s="1"/>
  <c r="L39" i="3"/>
  <c r="H33" i="4"/>
  <c r="AD18" i="3"/>
  <c r="AE18" i="3" s="1"/>
  <c r="AF18" i="3"/>
  <c r="Z34" i="6"/>
  <c r="D34" i="11"/>
  <c r="E34" i="11"/>
  <c r="F34" i="4"/>
  <c r="P34" i="4" s="1"/>
  <c r="C35" i="11"/>
  <c r="W36" i="6"/>
  <c r="G36" i="6"/>
  <c r="G15" i="4" l="1"/>
  <c r="J15" i="4" s="1"/>
  <c r="K15" i="4" s="1"/>
  <c r="L15" i="4" s="1"/>
  <c r="C29" i="5" a="1"/>
  <c r="C29" i="5" s="1"/>
  <c r="M3" i="10"/>
  <c r="AJ34" i="6"/>
  <c r="AH35" i="6"/>
  <c r="AH35" i="3"/>
  <c r="AJ35" i="3" s="1"/>
  <c r="AD16" i="6"/>
  <c r="AE16" i="6" s="1"/>
  <c r="AG16" i="6" s="1"/>
  <c r="F34" i="11"/>
  <c r="AG18" i="3"/>
  <c r="C18" i="9" s="1"/>
  <c r="X37" i="3"/>
  <c r="V37" i="3"/>
  <c r="X36" i="6"/>
  <c r="V36" i="6"/>
  <c r="M38" i="6"/>
  <c r="N38" i="6" s="1"/>
  <c r="O38" i="6" s="1"/>
  <c r="T38" i="6" s="1"/>
  <c r="L39" i="6"/>
  <c r="U37" i="6"/>
  <c r="Z35" i="6"/>
  <c r="D35" i="11"/>
  <c r="E35" i="11"/>
  <c r="F35" i="4"/>
  <c r="P35" i="4" s="1"/>
  <c r="W36" i="3"/>
  <c r="Z36" i="3" s="1"/>
  <c r="W37" i="6"/>
  <c r="G37" i="6"/>
  <c r="H34" i="4"/>
  <c r="I38" i="3"/>
  <c r="K38" i="3" s="1"/>
  <c r="I38" i="6"/>
  <c r="H39" i="6"/>
  <c r="U38" i="3"/>
  <c r="F37" i="3"/>
  <c r="G37" i="3" s="1"/>
  <c r="F38" i="6"/>
  <c r="K37" i="6"/>
  <c r="M39" i="3"/>
  <c r="N39" i="3" s="1"/>
  <c r="O39" i="3" s="1"/>
  <c r="T39" i="3" s="1"/>
  <c r="L40" i="3"/>
  <c r="C36" i="11"/>
  <c r="M15" i="4" l="1"/>
  <c r="N15" i="4" s="1"/>
  <c r="G16" i="4" s="1"/>
  <c r="J16" i="4" s="1"/>
  <c r="AJ35" i="6"/>
  <c r="AH36" i="6"/>
  <c r="AH36" i="3"/>
  <c r="AJ36" i="3" s="1"/>
  <c r="F35" i="11"/>
  <c r="AA19" i="3"/>
  <c r="AC19" i="3" s="1"/>
  <c r="AF19" i="3" s="1"/>
  <c r="D16" i="9"/>
  <c r="AA17" i="6"/>
  <c r="AC17" i="6" s="1"/>
  <c r="AF17" i="6" s="1"/>
  <c r="X38" i="3"/>
  <c r="V38" i="3"/>
  <c r="X37" i="6"/>
  <c r="V37" i="6"/>
  <c r="C37" i="4" s="1"/>
  <c r="F38" i="3"/>
  <c r="G38" i="3" s="1"/>
  <c r="D36" i="11"/>
  <c r="Z36" i="6"/>
  <c r="M39" i="6"/>
  <c r="N39" i="6" s="1"/>
  <c r="O39" i="6" s="1"/>
  <c r="T39" i="6" s="1"/>
  <c r="L40" i="6"/>
  <c r="U39" i="3"/>
  <c r="W38" i="6"/>
  <c r="G38" i="6"/>
  <c r="U38" i="6"/>
  <c r="C37" i="11"/>
  <c r="I39" i="3"/>
  <c r="K39" i="3" s="1"/>
  <c r="C36" i="4"/>
  <c r="W37" i="3"/>
  <c r="Z37" i="3" s="1"/>
  <c r="I39" i="6"/>
  <c r="H40" i="6"/>
  <c r="M40" i="3"/>
  <c r="N40" i="3" s="1"/>
  <c r="O40" i="3" s="1"/>
  <c r="T40" i="3" s="1"/>
  <c r="L41" i="3"/>
  <c r="H35" i="4"/>
  <c r="F39" i="6"/>
  <c r="K38" i="6"/>
  <c r="E15" i="9" l="1"/>
  <c r="K16" i="4"/>
  <c r="L16" i="4" s="1"/>
  <c r="M16" i="4"/>
  <c r="AJ36" i="6"/>
  <c r="AH37" i="6"/>
  <c r="AH37" i="3"/>
  <c r="AJ37" i="3" s="1"/>
  <c r="AD19" i="3"/>
  <c r="AE19" i="3" s="1"/>
  <c r="AG19" i="3" s="1"/>
  <c r="C19" i="9" s="1"/>
  <c r="AD17" i="6"/>
  <c r="AE17" i="6" s="1"/>
  <c r="AG17" i="6" s="1"/>
  <c r="AA18" i="6" s="1"/>
  <c r="AC18" i="6" s="1"/>
  <c r="X39" i="3"/>
  <c r="V39" i="3"/>
  <c r="X38" i="6"/>
  <c r="V38" i="6"/>
  <c r="U39" i="6"/>
  <c r="W38" i="3"/>
  <c r="Z38" i="3" s="1"/>
  <c r="Z37" i="6"/>
  <c r="D37" i="11"/>
  <c r="E37" i="11"/>
  <c r="F37" i="4"/>
  <c r="P37" i="4" s="1"/>
  <c r="I40" i="6"/>
  <c r="H41" i="6"/>
  <c r="U40" i="3"/>
  <c r="F40" i="6"/>
  <c r="K39" i="6"/>
  <c r="M40" i="6"/>
  <c r="N40" i="6" s="1"/>
  <c r="O40" i="6" s="1"/>
  <c r="T40" i="6" s="1"/>
  <c r="L41" i="6"/>
  <c r="C38" i="11"/>
  <c r="W39" i="6"/>
  <c r="G39" i="6"/>
  <c r="I40" i="3"/>
  <c r="K40" i="3" s="1"/>
  <c r="M41" i="3"/>
  <c r="N41" i="3" s="1"/>
  <c r="O41" i="3" s="1"/>
  <c r="T41" i="3" s="1"/>
  <c r="L42" i="3"/>
  <c r="E36" i="11"/>
  <c r="F36" i="11" s="1"/>
  <c r="F36" i="4"/>
  <c r="P36" i="4" s="1"/>
  <c r="F39" i="3"/>
  <c r="G39" i="3" s="1"/>
  <c r="N16" i="4" l="1"/>
  <c r="G17" i="4" s="1"/>
  <c r="J17" i="4" s="1"/>
  <c r="AJ37" i="6"/>
  <c r="AH38" i="6"/>
  <c r="AH38" i="3"/>
  <c r="AJ38" i="3" s="1"/>
  <c r="F37" i="11"/>
  <c r="AA20" i="3"/>
  <c r="AC20" i="3" s="1"/>
  <c r="AD20" i="3" s="1"/>
  <c r="AE20" i="3" s="1"/>
  <c r="D17" i="9"/>
  <c r="X39" i="6"/>
  <c r="V39" i="6"/>
  <c r="C39" i="4" s="1"/>
  <c r="M42" i="3"/>
  <c r="N42" i="3" s="1"/>
  <c r="O42" i="3" s="1"/>
  <c r="T42" i="3" s="1"/>
  <c r="L43" i="3"/>
  <c r="I41" i="3"/>
  <c r="K41" i="3" s="1"/>
  <c r="U40" i="6"/>
  <c r="H36" i="4"/>
  <c r="X40" i="3"/>
  <c r="V40" i="3"/>
  <c r="F40" i="3"/>
  <c r="G40" i="3" s="1"/>
  <c r="I41" i="6"/>
  <c r="H42" i="6"/>
  <c r="D38" i="11"/>
  <c r="Z38" i="6"/>
  <c r="K40" i="6"/>
  <c r="F41" i="6"/>
  <c r="M41" i="6"/>
  <c r="N41" i="6" s="1"/>
  <c r="O41" i="6" s="1"/>
  <c r="T41" i="6" s="1"/>
  <c r="L42" i="6"/>
  <c r="H37" i="4"/>
  <c r="W39" i="3"/>
  <c r="Z39" i="3" s="1"/>
  <c r="AH39" i="3" s="1"/>
  <c r="C39" i="11"/>
  <c r="W40" i="6"/>
  <c r="G40" i="6"/>
  <c r="AD18" i="6"/>
  <c r="AE18" i="6" s="1"/>
  <c r="AF18" i="6"/>
  <c r="U41" i="3"/>
  <c r="C38" i="4"/>
  <c r="E16" i="9" l="1"/>
  <c r="K17" i="4"/>
  <c r="L17" i="4" s="1"/>
  <c r="M17" i="4"/>
  <c r="AJ38" i="6"/>
  <c r="AF20" i="3"/>
  <c r="AG20" i="3" s="1"/>
  <c r="AA21" i="3" s="1"/>
  <c r="AC21" i="3" s="1"/>
  <c r="AH39" i="6"/>
  <c r="AJ39" i="3"/>
  <c r="AG18" i="6"/>
  <c r="AA19" i="6" s="1"/>
  <c r="AC19" i="6" s="1"/>
  <c r="X40" i="6"/>
  <c r="V40" i="6"/>
  <c r="C40" i="4" s="1"/>
  <c r="X41" i="3"/>
  <c r="V41" i="3"/>
  <c r="M42" i="6"/>
  <c r="N42" i="6" s="1"/>
  <c r="O42" i="6" s="1"/>
  <c r="T42" i="6" s="1"/>
  <c r="L43" i="6"/>
  <c r="M43" i="3"/>
  <c r="N43" i="3" s="1"/>
  <c r="O43" i="3" s="1"/>
  <c r="T43" i="3" s="1"/>
  <c r="L44" i="3"/>
  <c r="U42" i="3"/>
  <c r="E38" i="11"/>
  <c r="F38" i="11" s="1"/>
  <c r="F38" i="4"/>
  <c r="P38" i="4" s="1"/>
  <c r="W41" i="6"/>
  <c r="G41" i="6"/>
  <c r="I42" i="3"/>
  <c r="K42" i="3" s="1"/>
  <c r="I42" i="6"/>
  <c r="H43" i="6"/>
  <c r="D39" i="11"/>
  <c r="Z39" i="6"/>
  <c r="F41" i="3"/>
  <c r="G41" i="3" s="1"/>
  <c r="F42" i="6"/>
  <c r="K41" i="6"/>
  <c r="U41" i="6"/>
  <c r="E39" i="11"/>
  <c r="F39" i="4"/>
  <c r="P39" i="4" s="1"/>
  <c r="W40" i="3"/>
  <c r="Z40" i="3" s="1"/>
  <c r="C40" i="11"/>
  <c r="N17" i="4" l="1"/>
  <c r="G18" i="4" s="1"/>
  <c r="J18" i="4" s="1"/>
  <c r="AJ39" i="6"/>
  <c r="AH40" i="6"/>
  <c r="D18" i="9"/>
  <c r="AH40" i="3"/>
  <c r="AJ40" i="3" s="1"/>
  <c r="C20" i="9"/>
  <c r="F39" i="11"/>
  <c r="X42" i="3"/>
  <c r="V42" i="3"/>
  <c r="X41" i="6"/>
  <c r="V41" i="6"/>
  <c r="C41" i="4" s="1"/>
  <c r="H38" i="4"/>
  <c r="F40" i="4"/>
  <c r="P40" i="4" s="1"/>
  <c r="E40" i="11"/>
  <c r="W42" i="6"/>
  <c r="G42" i="6"/>
  <c r="AF19" i="6"/>
  <c r="AD19" i="6"/>
  <c r="AE19" i="6" s="1"/>
  <c r="M43" i="6"/>
  <c r="N43" i="6" s="1"/>
  <c r="O43" i="6" s="1"/>
  <c r="T43" i="6" s="1"/>
  <c r="L44" i="6"/>
  <c r="I43" i="6"/>
  <c r="H44" i="6"/>
  <c r="U42" i="6"/>
  <c r="U43" i="3"/>
  <c r="F43" i="6"/>
  <c r="K42" i="6"/>
  <c r="F42" i="3"/>
  <c r="G42" i="3" s="1"/>
  <c r="I43" i="3"/>
  <c r="K43" i="3" s="1"/>
  <c r="C41" i="11"/>
  <c r="M44" i="3"/>
  <c r="N44" i="3" s="1"/>
  <c r="O44" i="3" s="1"/>
  <c r="T44" i="3" s="1"/>
  <c r="L45" i="3"/>
  <c r="AD21" i="3"/>
  <c r="AE21" i="3" s="1"/>
  <c r="AF21" i="3"/>
  <c r="W41" i="3"/>
  <c r="Z41" i="3" s="1"/>
  <c r="Z40" i="6"/>
  <c r="D40" i="11"/>
  <c r="H39" i="4"/>
  <c r="E17" i="9" l="1"/>
  <c r="M18" i="4"/>
  <c r="K18" i="4"/>
  <c r="L18" i="4" s="1"/>
  <c r="AJ40" i="6"/>
  <c r="AH41" i="3"/>
  <c r="AJ41" i="3" s="1"/>
  <c r="AH41" i="6"/>
  <c r="AG19" i="6"/>
  <c r="D19" i="9" s="1"/>
  <c r="AG21" i="3"/>
  <c r="AA22" i="3" s="1"/>
  <c r="AC22" i="3" s="1"/>
  <c r="F40" i="11"/>
  <c r="X43" i="3"/>
  <c r="V43" i="3"/>
  <c r="X42" i="6"/>
  <c r="V42" i="6"/>
  <c r="F43" i="3"/>
  <c r="G43" i="3" s="1"/>
  <c r="W42" i="3"/>
  <c r="Z42" i="3" s="1"/>
  <c r="AH42" i="6" s="1"/>
  <c r="W43" i="6"/>
  <c r="G43" i="6"/>
  <c r="I44" i="3"/>
  <c r="K44" i="3" s="1"/>
  <c r="H40" i="4"/>
  <c r="D41" i="11"/>
  <c r="Z41" i="6"/>
  <c r="M45" i="3"/>
  <c r="N45" i="3" s="1"/>
  <c r="O45" i="3" s="1"/>
  <c r="T45" i="3" s="1"/>
  <c r="L46" i="3"/>
  <c r="U44" i="3"/>
  <c r="I44" i="6"/>
  <c r="H45" i="6"/>
  <c r="F44" i="6"/>
  <c r="K43" i="6"/>
  <c r="C42" i="11"/>
  <c r="E41" i="11"/>
  <c r="F41" i="4"/>
  <c r="P41" i="4" s="1"/>
  <c r="M44" i="6"/>
  <c r="N44" i="6" s="1"/>
  <c r="O44" i="6" s="1"/>
  <c r="T44" i="6" s="1"/>
  <c r="L45" i="6"/>
  <c r="U43" i="6"/>
  <c r="N18" i="4" l="1"/>
  <c r="G19" i="4" s="1"/>
  <c r="J19" i="4" s="1"/>
  <c r="AA20" i="6"/>
  <c r="AC20" i="6" s="1"/>
  <c r="AD20" i="6" s="1"/>
  <c r="AE20" i="6" s="1"/>
  <c r="AH42" i="3"/>
  <c r="AJ42" i="3" s="1"/>
  <c r="AJ41" i="6"/>
  <c r="C21" i="9"/>
  <c r="F41" i="11"/>
  <c r="X43" i="6"/>
  <c r="V43" i="6"/>
  <c r="C43" i="4" s="1"/>
  <c r="H41" i="4"/>
  <c r="D42" i="11"/>
  <c r="Z42" i="6"/>
  <c r="AJ42" i="6" s="1"/>
  <c r="X44" i="3"/>
  <c r="V44" i="3"/>
  <c r="U44" i="6"/>
  <c r="AD22" i="3"/>
  <c r="AE22" i="3" s="1"/>
  <c r="AF22" i="3"/>
  <c r="U45" i="3"/>
  <c r="C42" i="4"/>
  <c r="C43" i="11"/>
  <c r="M45" i="6"/>
  <c r="N45" i="6" s="1"/>
  <c r="O45" i="6" s="1"/>
  <c r="T45" i="6" s="1"/>
  <c r="L46" i="6"/>
  <c r="W43" i="3"/>
  <c r="Z43" i="3" s="1"/>
  <c r="W44" i="6"/>
  <c r="G44" i="6"/>
  <c r="I45" i="3"/>
  <c r="K45" i="3" s="1"/>
  <c r="F44" i="3"/>
  <c r="G44" i="3" s="1"/>
  <c r="F45" i="6"/>
  <c r="K44" i="6"/>
  <c r="M46" i="3"/>
  <c r="N46" i="3" s="1"/>
  <c r="O46" i="3" s="1"/>
  <c r="T46" i="3" s="1"/>
  <c r="L47" i="3"/>
  <c r="I45" i="6"/>
  <c r="H46" i="6"/>
  <c r="E18" i="9" l="1"/>
  <c r="AF20" i="6"/>
  <c r="K19" i="4"/>
  <c r="L19" i="4" s="1"/>
  <c r="M19" i="4"/>
  <c r="AH43" i="3"/>
  <c r="AJ43" i="3" s="1"/>
  <c r="AH43" i="6"/>
  <c r="AG22" i="3"/>
  <c r="AA23" i="3" s="1"/>
  <c r="AC23" i="3" s="1"/>
  <c r="AG20" i="6"/>
  <c r="AA21" i="6" s="1"/>
  <c r="AC21" i="6" s="1"/>
  <c r="I46" i="6"/>
  <c r="H47" i="6"/>
  <c r="C44" i="11"/>
  <c r="F46" i="6"/>
  <c r="K45" i="6"/>
  <c r="U46" i="3"/>
  <c r="U45" i="6"/>
  <c r="F43" i="4"/>
  <c r="P43" i="4" s="1"/>
  <c r="E43" i="11"/>
  <c r="F42" i="4"/>
  <c r="P42" i="4" s="1"/>
  <c r="E42" i="11"/>
  <c r="F42" i="11" s="1"/>
  <c r="M47" i="3"/>
  <c r="N47" i="3" s="1"/>
  <c r="O47" i="3" s="1"/>
  <c r="T47" i="3" s="1"/>
  <c r="L48" i="3"/>
  <c r="Z43" i="6"/>
  <c r="D43" i="11"/>
  <c r="X45" i="3"/>
  <c r="V45" i="3"/>
  <c r="X44" i="6"/>
  <c r="V44" i="6"/>
  <c r="C44" i="4" s="1"/>
  <c r="F45" i="3"/>
  <c r="G45" i="3" s="1"/>
  <c r="W45" i="6"/>
  <c r="G45" i="6"/>
  <c r="I46" i="3"/>
  <c r="K46" i="3" s="1"/>
  <c r="M46" i="6"/>
  <c r="N46" i="6" s="1"/>
  <c r="O46" i="6" s="1"/>
  <c r="T46" i="6" s="1"/>
  <c r="L47" i="6"/>
  <c r="W44" i="3"/>
  <c r="Z44" i="3" s="1"/>
  <c r="N19" i="4" l="1"/>
  <c r="G20" i="4" s="1"/>
  <c r="J20" i="4" s="1"/>
  <c r="C22" i="9"/>
  <c r="AJ43" i="6"/>
  <c r="AH44" i="3"/>
  <c r="AJ44" i="3" s="1"/>
  <c r="AH44" i="6"/>
  <c r="F43" i="11"/>
  <c r="D20" i="9"/>
  <c r="X46" i="3"/>
  <c r="V46" i="3"/>
  <c r="F44" i="4"/>
  <c r="P44" i="4" s="1"/>
  <c r="E44" i="11"/>
  <c r="H43" i="4"/>
  <c r="W46" i="6"/>
  <c r="G46" i="6"/>
  <c r="X45" i="6"/>
  <c r="V45" i="6"/>
  <c r="F46" i="3"/>
  <c r="G46" i="3" s="1"/>
  <c r="Z44" i="6"/>
  <c r="D44" i="11"/>
  <c r="I47" i="6"/>
  <c r="H48" i="6"/>
  <c r="M47" i="6"/>
  <c r="N47" i="6" s="1"/>
  <c r="O47" i="6" s="1"/>
  <c r="T47" i="6" s="1"/>
  <c r="L48" i="6"/>
  <c r="U47" i="3"/>
  <c r="F47" i="6"/>
  <c r="K46" i="6"/>
  <c r="U46" i="6"/>
  <c r="C45" i="11"/>
  <c r="I47" i="3"/>
  <c r="K47" i="3" s="1"/>
  <c r="M48" i="3"/>
  <c r="N48" i="3" s="1"/>
  <c r="O48" i="3" s="1"/>
  <c r="T48" i="3" s="1"/>
  <c r="L49" i="3"/>
  <c r="AD23" i="3"/>
  <c r="AE23" i="3" s="1"/>
  <c r="AF23" i="3"/>
  <c r="H42" i="4"/>
  <c r="W45" i="3"/>
  <c r="Z45" i="3" s="1"/>
  <c r="AD21" i="6"/>
  <c r="AE21" i="6" s="1"/>
  <c r="AF21" i="6"/>
  <c r="E19" i="9" l="1"/>
  <c r="K20" i="4"/>
  <c r="L20" i="4" s="1"/>
  <c r="M20" i="4"/>
  <c r="AJ44" i="6"/>
  <c r="AH45" i="6"/>
  <c r="AH45" i="3"/>
  <c r="AJ45" i="3" s="1"/>
  <c r="F44" i="11"/>
  <c r="AG21" i="6"/>
  <c r="AA22" i="6" s="1"/>
  <c r="AC22" i="6" s="1"/>
  <c r="AG23" i="3"/>
  <c r="C23" i="9" s="1"/>
  <c r="X46" i="6"/>
  <c r="V46" i="6"/>
  <c r="C46" i="4" s="1"/>
  <c r="Z45" i="6"/>
  <c r="D45" i="11"/>
  <c r="C45" i="4"/>
  <c r="M48" i="6"/>
  <c r="N48" i="6" s="1"/>
  <c r="O48" i="6" s="1"/>
  <c r="T48" i="6" s="1"/>
  <c r="L49" i="6"/>
  <c r="X47" i="3"/>
  <c r="V47" i="3"/>
  <c r="U47" i="6"/>
  <c r="I48" i="6"/>
  <c r="H49" i="6"/>
  <c r="F48" i="6"/>
  <c r="K47" i="6"/>
  <c r="H44" i="4"/>
  <c r="W47" i="6"/>
  <c r="G47" i="6"/>
  <c r="M49" i="3"/>
  <c r="N49" i="3" s="1"/>
  <c r="O49" i="3" s="1"/>
  <c r="T49" i="3" s="1"/>
  <c r="L50" i="3"/>
  <c r="I48" i="3"/>
  <c r="K48" i="3" s="1"/>
  <c r="C46" i="11"/>
  <c r="W46" i="3"/>
  <c r="Z46" i="3" s="1"/>
  <c r="AH46" i="3" s="1"/>
  <c r="U48" i="3"/>
  <c r="F47" i="3"/>
  <c r="G47" i="3" s="1"/>
  <c r="N20" i="4" l="1"/>
  <c r="G21" i="4" s="1"/>
  <c r="J21" i="4" s="1"/>
  <c r="AJ45" i="6"/>
  <c r="D21" i="9"/>
  <c r="AA24" i="3"/>
  <c r="AC24" i="3" s="1"/>
  <c r="AD24" i="3" s="1"/>
  <c r="AE24" i="3" s="1"/>
  <c r="AH46" i="6"/>
  <c r="AJ46" i="3"/>
  <c r="U49" i="3"/>
  <c r="X47" i="6"/>
  <c r="V47" i="6"/>
  <c r="C47" i="4" s="1"/>
  <c r="M49" i="6"/>
  <c r="N49" i="6" s="1"/>
  <c r="O49" i="6" s="1"/>
  <c r="T49" i="6" s="1"/>
  <c r="L50" i="6"/>
  <c r="W47" i="3"/>
  <c r="Z47" i="3" s="1"/>
  <c r="E45" i="11"/>
  <c r="F45" i="11" s="1"/>
  <c r="F45" i="4"/>
  <c r="P45" i="4" s="1"/>
  <c r="X48" i="3"/>
  <c r="V48" i="3"/>
  <c r="I49" i="6"/>
  <c r="H50" i="6"/>
  <c r="C47" i="11"/>
  <c r="W48" i="6"/>
  <c r="G48" i="6"/>
  <c r="F49" i="6"/>
  <c r="K48" i="6"/>
  <c r="AD22" i="6"/>
  <c r="AE22" i="6" s="1"/>
  <c r="AF22" i="6"/>
  <c r="M50" i="3"/>
  <c r="N50" i="3" s="1"/>
  <c r="O50" i="3" s="1"/>
  <c r="T50" i="3" s="1"/>
  <c r="L51" i="3"/>
  <c r="U48" i="6"/>
  <c r="Z46" i="6"/>
  <c r="D46" i="11"/>
  <c r="F48" i="3"/>
  <c r="G48" i="3" s="1"/>
  <c r="F46" i="4"/>
  <c r="P46" i="4" s="1"/>
  <c r="E46" i="11"/>
  <c r="I49" i="3"/>
  <c r="K49" i="3" s="1"/>
  <c r="AJ46" i="6" l="1"/>
  <c r="E20" i="9"/>
  <c r="AF24" i="3"/>
  <c r="M21" i="4"/>
  <c r="K21" i="4"/>
  <c r="L21" i="4" s="1"/>
  <c r="AH47" i="3"/>
  <c r="AJ47" i="3" s="1"/>
  <c r="AH47" i="6"/>
  <c r="AG22" i="6"/>
  <c r="AA23" i="6" s="1"/>
  <c r="AC23" i="6" s="1"/>
  <c r="AG24" i="3"/>
  <c r="AA25" i="3" s="1"/>
  <c r="AC25" i="3" s="1"/>
  <c r="F46" i="11"/>
  <c r="X48" i="6"/>
  <c r="V48" i="6"/>
  <c r="C48" i="4" s="1"/>
  <c r="E47" i="11"/>
  <c r="F47" i="4"/>
  <c r="P47" i="4" s="1"/>
  <c r="X49" i="3"/>
  <c r="V49" i="3"/>
  <c r="I50" i="3"/>
  <c r="K50" i="3" s="1"/>
  <c r="U50" i="3"/>
  <c r="H45" i="4"/>
  <c r="W49" i="6"/>
  <c r="G49" i="6"/>
  <c r="H46" i="4"/>
  <c r="M51" i="3"/>
  <c r="N51" i="3" s="1"/>
  <c r="O51" i="3" s="1"/>
  <c r="T51" i="3" s="1"/>
  <c r="L52" i="3"/>
  <c r="F49" i="3"/>
  <c r="G49" i="3" s="1"/>
  <c r="M50" i="6"/>
  <c r="N50" i="6" s="1"/>
  <c r="O50" i="6" s="1"/>
  <c r="T50" i="6" s="1"/>
  <c r="L51" i="6"/>
  <c r="C48" i="11"/>
  <c r="U49" i="6"/>
  <c r="I50" i="6"/>
  <c r="H51" i="6"/>
  <c r="D47" i="11"/>
  <c r="Z47" i="6"/>
  <c r="W48" i="3"/>
  <c r="Z48" i="3" s="1"/>
  <c r="F50" i="6"/>
  <c r="K49" i="6"/>
  <c r="N21" i="4" l="1"/>
  <c r="E21" i="9" s="1"/>
  <c r="C24" i="9"/>
  <c r="AJ47" i="6"/>
  <c r="AH48" i="6"/>
  <c r="AH48" i="3"/>
  <c r="AJ48" i="3" s="1"/>
  <c r="D22" i="9"/>
  <c r="F47" i="11"/>
  <c r="U50" i="6"/>
  <c r="F48" i="4"/>
  <c r="P48" i="4" s="1"/>
  <c r="E48" i="11"/>
  <c r="I51" i="3"/>
  <c r="K51" i="3" s="1"/>
  <c r="AD23" i="6"/>
  <c r="AE23" i="6" s="1"/>
  <c r="AF23" i="6"/>
  <c r="C49" i="11"/>
  <c r="W50" i="6"/>
  <c r="G50" i="6"/>
  <c r="M51" i="6"/>
  <c r="N51" i="6" s="1"/>
  <c r="O51" i="6" s="1"/>
  <c r="T51" i="6" s="1"/>
  <c r="L52" i="6"/>
  <c r="W49" i="3"/>
  <c r="Z49" i="3" s="1"/>
  <c r="D48" i="11"/>
  <c r="Z48" i="6"/>
  <c r="X50" i="3"/>
  <c r="V50" i="3"/>
  <c r="F50" i="3"/>
  <c r="G50" i="3" s="1"/>
  <c r="M52" i="3"/>
  <c r="N52" i="3" s="1"/>
  <c r="O52" i="3" s="1"/>
  <c r="T52" i="3" s="1"/>
  <c r="L53" i="3"/>
  <c r="H47" i="4"/>
  <c r="U51" i="3"/>
  <c r="I51" i="6"/>
  <c r="H52" i="6"/>
  <c r="F51" i="6"/>
  <c r="K50" i="6"/>
  <c r="X49" i="6"/>
  <c r="V49" i="6"/>
  <c r="C49" i="4" s="1"/>
  <c r="AF25" i="3"/>
  <c r="AD25" i="3"/>
  <c r="AE25" i="3" s="1"/>
  <c r="G22" i="4" l="1"/>
  <c r="J22" i="4" s="1"/>
  <c r="K22" i="4" s="1"/>
  <c r="L22" i="4" s="1"/>
  <c r="AJ48" i="6"/>
  <c r="AH49" i="6"/>
  <c r="AH49" i="3"/>
  <c r="AJ49" i="3" s="1"/>
  <c r="AG25" i="3"/>
  <c r="AA26" i="3" s="1"/>
  <c r="AC26" i="3" s="1"/>
  <c r="AG23" i="6"/>
  <c r="D23" i="9" s="1"/>
  <c r="F48" i="11"/>
  <c r="F51" i="3"/>
  <c r="G51" i="3" s="1"/>
  <c r="F49" i="4"/>
  <c r="P49" i="4" s="1"/>
  <c r="E49" i="11"/>
  <c r="W50" i="3"/>
  <c r="Z50" i="3" s="1"/>
  <c r="AH50" i="6" s="1"/>
  <c r="D49" i="11"/>
  <c r="Z49" i="6"/>
  <c r="H48" i="4"/>
  <c r="C50" i="11"/>
  <c r="W51" i="6"/>
  <c r="G51" i="6"/>
  <c r="I52" i="6"/>
  <c r="H53" i="6"/>
  <c r="X50" i="6"/>
  <c r="V50" i="6"/>
  <c r="M53" i="3"/>
  <c r="N53" i="3" s="1"/>
  <c r="O53" i="3" s="1"/>
  <c r="T53" i="3" s="1"/>
  <c r="L54" i="3"/>
  <c r="I52" i="3"/>
  <c r="K52" i="3" s="1"/>
  <c r="K51" i="6"/>
  <c r="F52" i="6"/>
  <c r="M52" i="6"/>
  <c r="N52" i="6" s="1"/>
  <c r="O52" i="6" s="1"/>
  <c r="T52" i="6" s="1"/>
  <c r="L53" i="6"/>
  <c r="U52" i="3"/>
  <c r="X51" i="3"/>
  <c r="V51" i="3"/>
  <c r="U51" i="6"/>
  <c r="M22" i="4" l="1"/>
  <c r="N22" i="4"/>
  <c r="G23" i="4" s="1"/>
  <c r="J23" i="4" s="1"/>
  <c r="C25" i="9"/>
  <c r="AA24" i="6"/>
  <c r="AC24" i="6" s="1"/>
  <c r="AD24" i="6" s="1"/>
  <c r="AE24" i="6" s="1"/>
  <c r="AJ49" i="6"/>
  <c r="AH50" i="3"/>
  <c r="AJ50" i="3" s="1"/>
  <c r="F49" i="11"/>
  <c r="C51" i="11"/>
  <c r="X52" i="3"/>
  <c r="V52" i="3"/>
  <c r="W51" i="3"/>
  <c r="Z51" i="3" s="1"/>
  <c r="AH51" i="6" s="1"/>
  <c r="U53" i="3"/>
  <c r="Z50" i="6"/>
  <c r="AJ50" i="6" s="1"/>
  <c r="D50" i="11"/>
  <c r="M53" i="6"/>
  <c r="N53" i="6" s="1"/>
  <c r="O53" i="6" s="1"/>
  <c r="T53" i="6" s="1"/>
  <c r="L54" i="6"/>
  <c r="AD26" i="3"/>
  <c r="AE26" i="3" s="1"/>
  <c r="AF26" i="3"/>
  <c r="H49" i="4"/>
  <c r="F52" i="3"/>
  <c r="G52" i="3" s="1"/>
  <c r="X51" i="6"/>
  <c r="V51" i="6"/>
  <c r="M54" i="3"/>
  <c r="N54" i="3" s="1"/>
  <c r="O54" i="3" s="1"/>
  <c r="T54" i="3" s="1"/>
  <c r="L55" i="3"/>
  <c r="I53" i="6"/>
  <c r="H54" i="6"/>
  <c r="F53" i="6"/>
  <c r="K52" i="6"/>
  <c r="U52" i="6"/>
  <c r="W52" i="6"/>
  <c r="G52" i="6"/>
  <c r="I53" i="3"/>
  <c r="K53" i="3" s="1"/>
  <c r="C50" i="4"/>
  <c r="E22" i="9" l="1"/>
  <c r="K23" i="4"/>
  <c r="L23" i="4" s="1"/>
  <c r="M23" i="4"/>
  <c r="AF24" i="6"/>
  <c r="AG24" i="6" s="1"/>
  <c r="AA25" i="6" s="1"/>
  <c r="AC25" i="6" s="1"/>
  <c r="AH51" i="3"/>
  <c r="AJ51" i="3" s="1"/>
  <c r="AG26" i="3"/>
  <c r="AA27" i="3" s="1"/>
  <c r="AC27" i="3" s="1"/>
  <c r="X52" i="6"/>
  <c r="V52" i="6"/>
  <c r="C52" i="4" s="1"/>
  <c r="U54" i="3"/>
  <c r="D51" i="11"/>
  <c r="Z51" i="6"/>
  <c r="AJ51" i="6" s="1"/>
  <c r="W52" i="3"/>
  <c r="Z52" i="3" s="1"/>
  <c r="F54" i="6"/>
  <c r="K53" i="6"/>
  <c r="M55" i="3"/>
  <c r="N55" i="3" s="1"/>
  <c r="O55" i="3" s="1"/>
  <c r="T55" i="3" s="1"/>
  <c r="L56" i="3"/>
  <c r="C51" i="4"/>
  <c r="E50" i="11"/>
  <c r="F50" i="11" s="1"/>
  <c r="F50" i="4"/>
  <c r="P50" i="4" s="1"/>
  <c r="I54" i="3"/>
  <c r="K54" i="3" s="1"/>
  <c r="C52" i="11"/>
  <c r="F53" i="3"/>
  <c r="G53" i="3" s="1"/>
  <c r="W53" i="6"/>
  <c r="G53" i="6"/>
  <c r="M54" i="6"/>
  <c r="N54" i="6" s="1"/>
  <c r="O54" i="6" s="1"/>
  <c r="T54" i="6" s="1"/>
  <c r="L55" i="6"/>
  <c r="X53" i="3"/>
  <c r="V53" i="3"/>
  <c r="I54" i="6"/>
  <c r="H55" i="6"/>
  <c r="U53" i="6"/>
  <c r="N23" i="4" l="1"/>
  <c r="E23" i="9" s="1"/>
  <c r="D24" i="9"/>
  <c r="C26" i="9"/>
  <c r="C4" i="10" s="1"/>
  <c r="AH52" i="6"/>
  <c r="AH52" i="3"/>
  <c r="AJ52" i="3" s="1"/>
  <c r="X53" i="6"/>
  <c r="V53" i="6"/>
  <c r="C53" i="4" s="1"/>
  <c r="X54" i="3"/>
  <c r="V54" i="3"/>
  <c r="E51" i="11"/>
  <c r="F51" i="11" s="1"/>
  <c r="F51" i="4"/>
  <c r="P51" i="4" s="1"/>
  <c r="I55" i="6"/>
  <c r="H56" i="6"/>
  <c r="U55" i="3"/>
  <c r="AD25" i="6"/>
  <c r="AE25" i="6" s="1"/>
  <c r="AF25" i="6"/>
  <c r="F55" i="6"/>
  <c r="K54" i="6"/>
  <c r="C53" i="11"/>
  <c r="AD27" i="3"/>
  <c r="AE27" i="3" s="1"/>
  <c r="AF27" i="3"/>
  <c r="W54" i="6"/>
  <c r="G54" i="6"/>
  <c r="F54" i="3"/>
  <c r="G54" i="3" s="1"/>
  <c r="D52" i="11"/>
  <c r="Z52" i="6"/>
  <c r="M55" i="6"/>
  <c r="N55" i="6" s="1"/>
  <c r="O55" i="6" s="1"/>
  <c r="T55" i="6" s="1"/>
  <c r="L56" i="6"/>
  <c r="H50" i="4"/>
  <c r="M56" i="3"/>
  <c r="N56" i="3" s="1"/>
  <c r="O56" i="3" s="1"/>
  <c r="T56" i="3" s="1"/>
  <c r="L57" i="3"/>
  <c r="W53" i="3"/>
  <c r="Z53" i="3" s="1"/>
  <c r="AH53" i="3" s="1"/>
  <c r="F52" i="4"/>
  <c r="P52" i="4" s="1"/>
  <c r="E52" i="11"/>
  <c r="I55" i="3"/>
  <c r="K55" i="3" s="1"/>
  <c r="U54" i="6"/>
  <c r="G24" i="4" l="1"/>
  <c r="J24" i="4" s="1"/>
  <c r="M24" i="4" s="1"/>
  <c r="AJ52" i="6"/>
  <c r="AH53" i="6"/>
  <c r="AJ53" i="3"/>
  <c r="AG27" i="3"/>
  <c r="C27" i="9" s="1"/>
  <c r="AG25" i="6"/>
  <c r="AA26" i="6" s="1"/>
  <c r="AC26" i="6" s="1"/>
  <c r="F52" i="11"/>
  <c r="X54" i="6"/>
  <c r="V54" i="6"/>
  <c r="C54" i="4" s="1"/>
  <c r="F53" i="4"/>
  <c r="P53" i="4" s="1"/>
  <c r="E53" i="11"/>
  <c r="F56" i="6"/>
  <c r="K55" i="6"/>
  <c r="H51" i="4"/>
  <c r="M57" i="3"/>
  <c r="N57" i="3" s="1"/>
  <c r="O57" i="3" s="1"/>
  <c r="T57" i="3" s="1"/>
  <c r="L58" i="3"/>
  <c r="C54" i="11"/>
  <c r="I56" i="3"/>
  <c r="K56" i="3" s="1"/>
  <c r="X55" i="3"/>
  <c r="V55" i="3"/>
  <c r="H52" i="4"/>
  <c r="I56" i="6"/>
  <c r="H57" i="6"/>
  <c r="U56" i="3"/>
  <c r="D53" i="11"/>
  <c r="Z53" i="6"/>
  <c r="W54" i="3"/>
  <c r="Z54" i="3" s="1"/>
  <c r="U55" i="6"/>
  <c r="F55" i="3"/>
  <c r="G55" i="3" s="1"/>
  <c r="M56" i="6"/>
  <c r="N56" i="6" s="1"/>
  <c r="O56" i="6" s="1"/>
  <c r="T56" i="6" s="1"/>
  <c r="L57" i="6"/>
  <c r="W55" i="6"/>
  <c r="G55" i="6"/>
  <c r="K24" i="4" l="1"/>
  <c r="L24" i="4" s="1"/>
  <c r="N24" i="4"/>
  <c r="G25" i="4" s="1"/>
  <c r="J25" i="4" s="1"/>
  <c r="AJ53" i="6"/>
  <c r="F53" i="11"/>
  <c r="AH54" i="6"/>
  <c r="AH54" i="3"/>
  <c r="AJ54" i="3" s="1"/>
  <c r="D25" i="9"/>
  <c r="AA28" i="3"/>
  <c r="AC28" i="3" s="1"/>
  <c r="AD28" i="3" s="1"/>
  <c r="AE28" i="3" s="1"/>
  <c r="X55" i="6"/>
  <c r="V55" i="6"/>
  <c r="E54" i="11"/>
  <c r="F54" i="4"/>
  <c r="P54" i="4" s="1"/>
  <c r="M58" i="3"/>
  <c r="N58" i="3" s="1"/>
  <c r="O58" i="3" s="1"/>
  <c r="T58" i="3" s="1"/>
  <c r="L59" i="3"/>
  <c r="U57" i="3"/>
  <c r="I57" i="6"/>
  <c r="H58" i="6"/>
  <c r="X56" i="3"/>
  <c r="V56" i="3"/>
  <c r="F57" i="6"/>
  <c r="K56" i="6"/>
  <c r="M57" i="6"/>
  <c r="N57" i="6" s="1"/>
  <c r="O57" i="6" s="1"/>
  <c r="T57" i="6" s="1"/>
  <c r="L58" i="6"/>
  <c r="U56" i="6"/>
  <c r="W55" i="3"/>
  <c r="Z55" i="3" s="1"/>
  <c r="W56" i="6"/>
  <c r="G56" i="6"/>
  <c r="C55" i="11"/>
  <c r="H53" i="4"/>
  <c r="D54" i="11"/>
  <c r="Z54" i="6"/>
  <c r="I57" i="3"/>
  <c r="K57" i="3" s="1"/>
  <c r="F56" i="3"/>
  <c r="G56" i="3" s="1"/>
  <c r="AF26" i="6"/>
  <c r="AD26" i="6"/>
  <c r="AE26" i="6" s="1"/>
  <c r="E24" i="9" l="1"/>
  <c r="M25" i="4"/>
  <c r="K25" i="4"/>
  <c r="L25" i="4" s="1"/>
  <c r="AH55" i="6"/>
  <c r="AH55" i="3"/>
  <c r="AJ55" i="3" s="1"/>
  <c r="AJ54" i="6"/>
  <c r="AF28" i="3"/>
  <c r="AG28" i="3" s="1"/>
  <c r="AA29" i="3" s="1"/>
  <c r="AC29" i="3" s="1"/>
  <c r="AG26" i="6"/>
  <c r="D26" i="9" s="1"/>
  <c r="H4" i="10" s="1"/>
  <c r="F54" i="11"/>
  <c r="X57" i="3"/>
  <c r="V57" i="3"/>
  <c r="X56" i="6"/>
  <c r="V56" i="6"/>
  <c r="C56" i="4" s="1"/>
  <c r="I58" i="6"/>
  <c r="H59" i="6"/>
  <c r="W56" i="3"/>
  <c r="Z56" i="3" s="1"/>
  <c r="AH56" i="3" s="1"/>
  <c r="F58" i="6"/>
  <c r="K57" i="6"/>
  <c r="F57" i="3"/>
  <c r="G57" i="3" s="1"/>
  <c r="M58" i="6"/>
  <c r="N58" i="6" s="1"/>
  <c r="O58" i="6" s="1"/>
  <c r="T58" i="6" s="1"/>
  <c r="L59" i="6"/>
  <c r="M59" i="3"/>
  <c r="N59" i="3" s="1"/>
  <c r="O59" i="3" s="1"/>
  <c r="T59" i="3" s="1"/>
  <c r="L60" i="3"/>
  <c r="I58" i="3"/>
  <c r="K58" i="3" s="1"/>
  <c r="U57" i="6"/>
  <c r="U58" i="3"/>
  <c r="H54" i="4"/>
  <c r="Z55" i="6"/>
  <c r="D55" i="11"/>
  <c r="W57" i="6"/>
  <c r="G57" i="6"/>
  <c r="C55" i="4"/>
  <c r="C56" i="11"/>
  <c r="N25" i="4" l="1"/>
  <c r="G26" i="4" s="1"/>
  <c r="J26" i="4" s="1"/>
  <c r="AJ55" i="6"/>
  <c r="AH56" i="6"/>
  <c r="AJ56" i="3"/>
  <c r="AA27" i="6"/>
  <c r="AC27" i="6" s="1"/>
  <c r="AD27" i="6" s="1"/>
  <c r="AE27" i="6" s="1"/>
  <c r="C28" i="9"/>
  <c r="W58" i="6"/>
  <c r="G58" i="6"/>
  <c r="X58" i="3"/>
  <c r="V58" i="3"/>
  <c r="I59" i="6"/>
  <c r="H60" i="6"/>
  <c r="F59" i="6"/>
  <c r="K58" i="6"/>
  <c r="E56" i="11"/>
  <c r="F56" i="4"/>
  <c r="P56" i="4" s="1"/>
  <c r="Z56" i="6"/>
  <c r="D56" i="11"/>
  <c r="X57" i="6"/>
  <c r="V57" i="6"/>
  <c r="C57" i="4" s="1"/>
  <c r="F55" i="4"/>
  <c r="P55" i="4" s="1"/>
  <c r="E55" i="11"/>
  <c r="F55" i="11" s="1"/>
  <c r="I59" i="3"/>
  <c r="K59" i="3" s="1"/>
  <c r="C57" i="11"/>
  <c r="F58" i="3"/>
  <c r="G58" i="3" s="1"/>
  <c r="M60" i="3"/>
  <c r="N60" i="3" s="1"/>
  <c r="O60" i="3" s="1"/>
  <c r="T60" i="3" s="1"/>
  <c r="L61" i="3"/>
  <c r="M59" i="6"/>
  <c r="N59" i="6" s="1"/>
  <c r="O59" i="6" s="1"/>
  <c r="T59" i="6" s="1"/>
  <c r="L60" i="6"/>
  <c r="U58" i="6"/>
  <c r="U59" i="3"/>
  <c r="W57" i="3"/>
  <c r="Z57" i="3" s="1"/>
  <c r="AH57" i="3" s="1"/>
  <c r="AF29" i="3"/>
  <c r="AD29" i="3"/>
  <c r="AE29" i="3" s="1"/>
  <c r="E25" i="9" l="1"/>
  <c r="K26" i="4"/>
  <c r="L26" i="4" s="1"/>
  <c r="M26" i="4"/>
  <c r="AJ56" i="6"/>
  <c r="AJ57" i="3"/>
  <c r="AH57" i="6"/>
  <c r="AF27" i="6"/>
  <c r="AG27" i="6" s="1"/>
  <c r="D27" i="9" s="1"/>
  <c r="F56" i="11"/>
  <c r="AG29" i="3"/>
  <c r="AA30" i="3" s="1"/>
  <c r="AC30" i="3" s="1"/>
  <c r="F57" i="4"/>
  <c r="P57" i="4" s="1"/>
  <c r="E57" i="11"/>
  <c r="X59" i="3"/>
  <c r="V59" i="3"/>
  <c r="H56" i="4"/>
  <c r="W59" i="6"/>
  <c r="G59" i="6"/>
  <c r="I60" i="6"/>
  <c r="H61" i="6"/>
  <c r="W58" i="3"/>
  <c r="Z58" i="3" s="1"/>
  <c r="AH58" i="3" s="1"/>
  <c r="X58" i="6"/>
  <c r="V58" i="6"/>
  <c r="C58" i="4" s="1"/>
  <c r="I60" i="3"/>
  <c r="K60" i="3" s="1"/>
  <c r="F60" i="6"/>
  <c r="K59" i="6"/>
  <c r="F59" i="3"/>
  <c r="G59" i="3" s="1"/>
  <c r="C58" i="11"/>
  <c r="M60" i="6"/>
  <c r="N60" i="6" s="1"/>
  <c r="O60" i="6" s="1"/>
  <c r="T60" i="6" s="1"/>
  <c r="L61" i="6"/>
  <c r="H55" i="4"/>
  <c r="D57" i="11"/>
  <c r="Z57" i="6"/>
  <c r="U59" i="6"/>
  <c r="M61" i="3"/>
  <c r="N61" i="3" s="1"/>
  <c r="O61" i="3" s="1"/>
  <c r="T61" i="3" s="1"/>
  <c r="L62" i="3"/>
  <c r="U60" i="3"/>
  <c r="N26" i="4" l="1"/>
  <c r="G27" i="4" s="1"/>
  <c r="J27" i="4" s="1"/>
  <c r="AJ58" i="3"/>
  <c r="AJ57" i="6"/>
  <c r="AH58" i="6"/>
  <c r="F57" i="11"/>
  <c r="AA28" i="6"/>
  <c r="AC28" i="6" s="1"/>
  <c r="AF28" i="6" s="1"/>
  <c r="C29" i="9"/>
  <c r="X60" i="3"/>
  <c r="V60" i="3"/>
  <c r="X59" i="6"/>
  <c r="V59" i="6"/>
  <c r="W59" i="3"/>
  <c r="Z59" i="3" s="1"/>
  <c r="E58" i="11"/>
  <c r="F58" i="4"/>
  <c r="P58" i="4" s="1"/>
  <c r="M62" i="3"/>
  <c r="N62" i="3" s="1"/>
  <c r="O62" i="3" s="1"/>
  <c r="T62" i="3" s="1"/>
  <c r="L63" i="3"/>
  <c r="AD30" i="3"/>
  <c r="AE30" i="3" s="1"/>
  <c r="AF30" i="3"/>
  <c r="D58" i="11"/>
  <c r="Z58" i="6"/>
  <c r="C59" i="11"/>
  <c r="U61" i="3"/>
  <c r="F60" i="3"/>
  <c r="G60" i="3" s="1"/>
  <c r="W60" i="6"/>
  <c r="G60" i="6"/>
  <c r="M61" i="6"/>
  <c r="N61" i="6" s="1"/>
  <c r="O61" i="6" s="1"/>
  <c r="T61" i="6" s="1"/>
  <c r="L62" i="6"/>
  <c r="I61" i="6"/>
  <c r="H62" i="6"/>
  <c r="I61" i="3"/>
  <c r="K61" i="3" s="1"/>
  <c r="U60" i="6"/>
  <c r="F61" i="6"/>
  <c r="K60" i="6"/>
  <c r="H57" i="4"/>
  <c r="E26" i="9" l="1"/>
  <c r="M4" i="10" s="1"/>
  <c r="K27" i="4"/>
  <c r="L27" i="4" s="1"/>
  <c r="M27" i="4"/>
  <c r="AJ58" i="6"/>
  <c r="AH59" i="3"/>
  <c r="AJ59" i="3" s="1"/>
  <c r="AH59" i="6"/>
  <c r="AD28" i="6"/>
  <c r="AE28" i="6" s="1"/>
  <c r="AG28" i="6" s="1"/>
  <c r="AA29" i="6" s="1"/>
  <c r="AC29" i="6" s="1"/>
  <c r="F58" i="11"/>
  <c r="AG30" i="3"/>
  <c r="AA31" i="3" s="1"/>
  <c r="AC31" i="3" s="1"/>
  <c r="X61" i="3"/>
  <c r="V61" i="3"/>
  <c r="H58" i="4"/>
  <c r="Z59" i="6"/>
  <c r="D59" i="11"/>
  <c r="F61" i="3"/>
  <c r="G61" i="3" s="1"/>
  <c r="I62" i="6"/>
  <c r="H63" i="6"/>
  <c r="C59" i="4"/>
  <c r="U62" i="3"/>
  <c r="W60" i="3"/>
  <c r="Z60" i="3" s="1"/>
  <c r="I62" i="3"/>
  <c r="K62" i="3" s="1"/>
  <c r="F62" i="6"/>
  <c r="K61" i="6"/>
  <c r="U61" i="6"/>
  <c r="C60" i="11"/>
  <c r="M63" i="3"/>
  <c r="N63" i="3" s="1"/>
  <c r="O63" i="3" s="1"/>
  <c r="T63" i="3" s="1"/>
  <c r="L64" i="3"/>
  <c r="W61" i="6"/>
  <c r="G61" i="6"/>
  <c r="X60" i="6"/>
  <c r="V60" i="6"/>
  <c r="C60" i="4" s="1"/>
  <c r="M62" i="6"/>
  <c r="N62" i="6" s="1"/>
  <c r="O62" i="6" s="1"/>
  <c r="T62" i="6" s="1"/>
  <c r="L63" i="6"/>
  <c r="N27" i="4" l="1"/>
  <c r="E27" i="9" s="1"/>
  <c r="AJ59" i="6"/>
  <c r="AH60" i="6"/>
  <c r="AH60" i="3"/>
  <c r="AJ60" i="3" s="1"/>
  <c r="D28" i="9"/>
  <c r="C30" i="9"/>
  <c r="F63" i="6"/>
  <c r="K62" i="6"/>
  <c r="X62" i="3"/>
  <c r="V62" i="3"/>
  <c r="X61" i="6"/>
  <c r="V61" i="6"/>
  <c r="C61" i="4" s="1"/>
  <c r="F59" i="4"/>
  <c r="P59" i="4" s="1"/>
  <c r="E59" i="11"/>
  <c r="F59" i="11" s="1"/>
  <c r="I63" i="6"/>
  <c r="H64" i="6"/>
  <c r="AD29" i="6"/>
  <c r="AE29" i="6" s="1"/>
  <c r="AF29" i="6"/>
  <c r="Z60" i="6"/>
  <c r="D60" i="11"/>
  <c r="W62" i="6"/>
  <c r="G62" i="6"/>
  <c r="C61" i="11"/>
  <c r="F60" i="4"/>
  <c r="P60" i="4" s="1"/>
  <c r="E60" i="11"/>
  <c r="I63" i="3"/>
  <c r="K63" i="3" s="1"/>
  <c r="F62" i="3"/>
  <c r="G62" i="3" s="1"/>
  <c r="U62" i="6"/>
  <c r="M64" i="3"/>
  <c r="N64" i="3" s="1"/>
  <c r="O64" i="3" s="1"/>
  <c r="T64" i="3" s="1"/>
  <c r="L65" i="3"/>
  <c r="W61" i="3"/>
  <c r="Z61" i="3" s="1"/>
  <c r="AH61" i="6" s="1"/>
  <c r="M63" i="6"/>
  <c r="N63" i="6" s="1"/>
  <c r="O63" i="6" s="1"/>
  <c r="T63" i="6" s="1"/>
  <c r="L64" i="6"/>
  <c r="U63" i="3"/>
  <c r="AF31" i="3"/>
  <c r="AD31" i="3"/>
  <c r="AE31" i="3" s="1"/>
  <c r="G28" i="4" l="1"/>
  <c r="J28" i="4" s="1"/>
  <c r="M28" i="4" s="1"/>
  <c r="AJ60" i="6"/>
  <c r="AH61" i="3"/>
  <c r="AJ61" i="3" s="1"/>
  <c r="AG31" i="3"/>
  <c r="AA32" i="3" s="1"/>
  <c r="AC32" i="3" s="1"/>
  <c r="AG29" i="6"/>
  <c r="AA30" i="6" s="1"/>
  <c r="AC30" i="6" s="1"/>
  <c r="F60" i="11"/>
  <c r="I64" i="6"/>
  <c r="H65" i="6"/>
  <c r="W62" i="3"/>
  <c r="Z62" i="3" s="1"/>
  <c r="I64" i="3"/>
  <c r="K64" i="3" s="1"/>
  <c r="X63" i="3"/>
  <c r="V63" i="3"/>
  <c r="H59" i="4"/>
  <c r="Z61" i="6"/>
  <c r="AJ61" i="6" s="1"/>
  <c r="D61" i="11"/>
  <c r="H60" i="4"/>
  <c r="U63" i="6"/>
  <c r="C62" i="11"/>
  <c r="F64" i="6"/>
  <c r="K63" i="6"/>
  <c r="X62" i="6"/>
  <c r="V62" i="6"/>
  <c r="U64" i="3"/>
  <c r="F63" i="3"/>
  <c r="G63" i="3" s="1"/>
  <c r="M64" i="6"/>
  <c r="N64" i="6" s="1"/>
  <c r="O64" i="6" s="1"/>
  <c r="T64" i="6" s="1"/>
  <c r="L65" i="6"/>
  <c r="W63" i="6"/>
  <c r="G63" i="6"/>
  <c r="F61" i="4"/>
  <c r="P61" i="4" s="1"/>
  <c r="E61" i="11"/>
  <c r="M65" i="3"/>
  <c r="N65" i="3" s="1"/>
  <c r="O65" i="3" s="1"/>
  <c r="T65" i="3" s="1"/>
  <c r="L66" i="3"/>
  <c r="K28" i="4" l="1"/>
  <c r="L28" i="4" s="1"/>
  <c r="N28" i="4" s="1"/>
  <c r="AH62" i="6"/>
  <c r="AH62" i="3"/>
  <c r="AJ62" i="3" s="1"/>
  <c r="C31" i="9"/>
  <c r="D29" i="9"/>
  <c r="F61" i="11"/>
  <c r="X64" i="3"/>
  <c r="V64" i="3"/>
  <c r="X63" i="6"/>
  <c r="V63" i="6"/>
  <c r="C63" i="4" s="1"/>
  <c r="F64" i="3"/>
  <c r="G64" i="3" s="1"/>
  <c r="H61" i="4"/>
  <c r="G64" i="6"/>
  <c r="W64" i="6"/>
  <c r="I65" i="3"/>
  <c r="K65" i="3" s="1"/>
  <c r="C63" i="11"/>
  <c r="Z62" i="6"/>
  <c r="D62" i="11"/>
  <c r="C62" i="4"/>
  <c r="M65" i="6"/>
  <c r="N65" i="6" s="1"/>
  <c r="O65" i="6" s="1"/>
  <c r="T65" i="6" s="1"/>
  <c r="L66" i="6"/>
  <c r="I65" i="6"/>
  <c r="H66" i="6"/>
  <c r="U65" i="3"/>
  <c r="K64" i="6"/>
  <c r="F65" i="6"/>
  <c r="M66" i="3"/>
  <c r="N66" i="3" s="1"/>
  <c r="O66" i="3" s="1"/>
  <c r="T66" i="3" s="1"/>
  <c r="L67" i="3"/>
  <c r="AD32" i="3"/>
  <c r="AE32" i="3" s="1"/>
  <c r="AF32" i="3"/>
  <c r="U64" i="6"/>
  <c r="W63" i="3"/>
  <c r="Z63" i="3" s="1"/>
  <c r="AH63" i="3" s="1"/>
  <c r="AF30" i="6"/>
  <c r="AD30" i="6"/>
  <c r="AE30" i="6" s="1"/>
  <c r="G29" i="4" l="1"/>
  <c r="J29" i="4" s="1"/>
  <c r="M29" i="4" s="1"/>
  <c r="E28" i="9"/>
  <c r="AJ62" i="6"/>
  <c r="AJ63" i="3"/>
  <c r="AH63" i="6"/>
  <c r="AG30" i="6"/>
  <c r="AA31" i="6" s="1"/>
  <c r="AC31" i="6" s="1"/>
  <c r="AG32" i="3"/>
  <c r="C32" i="9" s="1"/>
  <c r="X64" i="6"/>
  <c r="V64" i="6"/>
  <c r="C64" i="4" s="1"/>
  <c r="X65" i="3"/>
  <c r="V65" i="3"/>
  <c r="I66" i="3"/>
  <c r="K66" i="3" s="1"/>
  <c r="W64" i="3"/>
  <c r="Z64" i="3" s="1"/>
  <c r="AH64" i="6" s="1"/>
  <c r="I66" i="6"/>
  <c r="H67" i="6"/>
  <c r="U65" i="6"/>
  <c r="Z63" i="6"/>
  <c r="D63" i="11"/>
  <c r="K65" i="6"/>
  <c r="F66" i="6"/>
  <c r="E62" i="11"/>
  <c r="F62" i="11" s="1"/>
  <c r="F62" i="4"/>
  <c r="P62" i="4" s="1"/>
  <c r="M66" i="6"/>
  <c r="N66" i="6" s="1"/>
  <c r="O66" i="6" s="1"/>
  <c r="T66" i="6" s="1"/>
  <c r="L67" i="6"/>
  <c r="C64" i="11"/>
  <c r="E63" i="11"/>
  <c r="F63" i="4"/>
  <c r="P63" i="4" s="1"/>
  <c r="M67" i="3"/>
  <c r="N67" i="3" s="1"/>
  <c r="O67" i="3" s="1"/>
  <c r="T67" i="3" s="1"/>
  <c r="L68" i="3"/>
  <c r="W65" i="6"/>
  <c r="G65" i="6"/>
  <c r="U66" i="3"/>
  <c r="F65" i="3"/>
  <c r="G65" i="3" s="1"/>
  <c r="K29" i="4" l="1"/>
  <c r="L29" i="4" s="1"/>
  <c r="N29" i="4" s="1"/>
  <c r="AJ63" i="6"/>
  <c r="AH64" i="3"/>
  <c r="AJ64" i="3" s="1"/>
  <c r="D30" i="9"/>
  <c r="AA33" i="3"/>
  <c r="AC33" i="3" s="1"/>
  <c r="AF33" i="3" s="1"/>
  <c r="F63" i="11"/>
  <c r="X65" i="6"/>
  <c r="V65" i="6"/>
  <c r="X66" i="3"/>
  <c r="V66" i="3"/>
  <c r="H63" i="4"/>
  <c r="I67" i="6"/>
  <c r="H68" i="6"/>
  <c r="AF31" i="6"/>
  <c r="AD31" i="6"/>
  <c r="AE31" i="6" s="1"/>
  <c r="W65" i="3"/>
  <c r="Z65" i="3" s="1"/>
  <c r="AH65" i="6" s="1"/>
  <c r="F67" i="6"/>
  <c r="K66" i="6"/>
  <c r="U66" i="6"/>
  <c r="H62" i="4"/>
  <c r="F64" i="4"/>
  <c r="P64" i="4" s="1"/>
  <c r="E64" i="11"/>
  <c r="I67" i="3"/>
  <c r="K67" i="3" s="1"/>
  <c r="M67" i="6"/>
  <c r="N67" i="6" s="1"/>
  <c r="O67" i="6" s="1"/>
  <c r="T67" i="6" s="1"/>
  <c r="L68" i="6"/>
  <c r="C65" i="11"/>
  <c r="W66" i="6"/>
  <c r="G66" i="6"/>
  <c r="M68" i="3"/>
  <c r="N68" i="3" s="1"/>
  <c r="O68" i="3" s="1"/>
  <c r="T68" i="3" s="1"/>
  <c r="L69" i="3"/>
  <c r="Z64" i="6"/>
  <c r="AJ64" i="6" s="1"/>
  <c r="D64" i="11"/>
  <c r="F66" i="3"/>
  <c r="G66" i="3" s="1"/>
  <c r="U67" i="3"/>
  <c r="E29" i="9" l="1"/>
  <c r="G30" i="4"/>
  <c r="J30" i="4" s="1"/>
  <c r="K30" i="4" s="1"/>
  <c r="L30" i="4" s="1"/>
  <c r="AD33" i="3"/>
  <c r="AE33" i="3" s="1"/>
  <c r="AG33" i="3" s="1"/>
  <c r="AH65" i="3"/>
  <c r="AJ65" i="3" s="1"/>
  <c r="AG31" i="6"/>
  <c r="AA32" i="6" s="1"/>
  <c r="AC32" i="6" s="1"/>
  <c r="F64" i="11"/>
  <c r="I68" i="3"/>
  <c r="K68" i="3" s="1"/>
  <c r="U67" i="6"/>
  <c r="M69" i="3"/>
  <c r="N69" i="3" s="1"/>
  <c r="O69" i="3" s="1"/>
  <c r="T69" i="3" s="1"/>
  <c r="L70" i="3"/>
  <c r="H64" i="4"/>
  <c r="I68" i="6"/>
  <c r="H69" i="6"/>
  <c r="C66" i="11"/>
  <c r="F67" i="3"/>
  <c r="G67" i="3" s="1"/>
  <c r="W66" i="3"/>
  <c r="Z66" i="3" s="1"/>
  <c r="M68" i="6"/>
  <c r="N68" i="6" s="1"/>
  <c r="O68" i="6" s="1"/>
  <c r="T68" i="6" s="1"/>
  <c r="L69" i="6"/>
  <c r="F68" i="6"/>
  <c r="K67" i="6"/>
  <c r="D65" i="11"/>
  <c r="Z65" i="6"/>
  <c r="AJ65" i="6" s="1"/>
  <c r="U68" i="3"/>
  <c r="X66" i="6"/>
  <c r="V66" i="6"/>
  <c r="C66" i="4" s="1"/>
  <c r="W67" i="6"/>
  <c r="G67" i="6"/>
  <c r="X67" i="3"/>
  <c r="V67" i="3"/>
  <c r="C65" i="4"/>
  <c r="M30" i="4" l="1"/>
  <c r="N30" i="4" s="1"/>
  <c r="G31" i="4" s="1"/>
  <c r="J31" i="4" s="1"/>
  <c r="D31" i="9"/>
  <c r="AA34" i="3"/>
  <c r="AC34" i="3" s="1"/>
  <c r="AF34" i="3" s="1"/>
  <c r="C33" i="9"/>
  <c r="AH66" i="3"/>
  <c r="AJ66" i="3" s="1"/>
  <c r="AH66" i="6"/>
  <c r="X68" i="3"/>
  <c r="V68" i="3"/>
  <c r="E65" i="11"/>
  <c r="F65" i="11" s="1"/>
  <c r="F65" i="4"/>
  <c r="P65" i="4" s="1"/>
  <c r="M69" i="6"/>
  <c r="N69" i="6" s="1"/>
  <c r="O69" i="6" s="1"/>
  <c r="T69" i="6" s="1"/>
  <c r="L70" i="6"/>
  <c r="U68" i="6"/>
  <c r="X67" i="6"/>
  <c r="V67" i="6"/>
  <c r="W68" i="6"/>
  <c r="G68" i="6"/>
  <c r="M70" i="3"/>
  <c r="N70" i="3" s="1"/>
  <c r="O70" i="3" s="1"/>
  <c r="T70" i="3" s="1"/>
  <c r="L71" i="3"/>
  <c r="F68" i="3"/>
  <c r="G68" i="3" s="1"/>
  <c r="F69" i="6"/>
  <c r="K68" i="6"/>
  <c r="I69" i="3"/>
  <c r="K69" i="3" s="1"/>
  <c r="E66" i="11"/>
  <c r="F66" i="4"/>
  <c r="P66" i="4" s="1"/>
  <c r="I69" i="6"/>
  <c r="H70" i="6"/>
  <c r="C67" i="11"/>
  <c r="Z66" i="6"/>
  <c r="D66" i="11"/>
  <c r="W67" i="3"/>
  <c r="Z67" i="3" s="1"/>
  <c r="AH67" i="3" s="1"/>
  <c r="U69" i="3"/>
  <c r="AF32" i="6"/>
  <c r="AD32" i="6"/>
  <c r="AE32" i="6" s="1"/>
  <c r="E30" i="9" l="1"/>
  <c r="AD34" i="3"/>
  <c r="AE34" i="3" s="1"/>
  <c r="K31" i="4"/>
  <c r="L31" i="4" s="1"/>
  <c r="M31" i="4"/>
  <c r="AH67" i="6"/>
  <c r="AJ67" i="3"/>
  <c r="AJ66" i="6"/>
  <c r="F66" i="11"/>
  <c r="AG32" i="6"/>
  <c r="AA33" i="6" s="1"/>
  <c r="AC33" i="6" s="1"/>
  <c r="AG34" i="3"/>
  <c r="AA35" i="3" s="1"/>
  <c r="AC35" i="3" s="1"/>
  <c r="X69" i="3"/>
  <c r="V69" i="3"/>
  <c r="Z67" i="6"/>
  <c r="AJ67" i="6" s="1"/>
  <c r="D67" i="11"/>
  <c r="I70" i="3"/>
  <c r="K70" i="3" s="1"/>
  <c r="U69" i="6"/>
  <c r="H65" i="4"/>
  <c r="W69" i="6"/>
  <c r="G69" i="6"/>
  <c r="H66" i="4"/>
  <c r="W68" i="3"/>
  <c r="Z68" i="3" s="1"/>
  <c r="C68" i="11"/>
  <c r="M70" i="6"/>
  <c r="N70" i="6" s="1"/>
  <c r="O70" i="6" s="1"/>
  <c r="T70" i="6" s="1"/>
  <c r="L71" i="6"/>
  <c r="C67" i="4"/>
  <c r="M71" i="3"/>
  <c r="N71" i="3" s="1"/>
  <c r="O71" i="3" s="1"/>
  <c r="T71" i="3" s="1"/>
  <c r="L72" i="3"/>
  <c r="X68" i="6"/>
  <c r="V68" i="6"/>
  <c r="C68" i="4" s="1"/>
  <c r="F69" i="3"/>
  <c r="G69" i="3" s="1"/>
  <c r="U70" i="3"/>
  <c r="I70" i="6"/>
  <c r="H71" i="6"/>
  <c r="F70" i="6"/>
  <c r="K69" i="6"/>
  <c r="N31" i="4" l="1"/>
  <c r="E31" i="9" s="1"/>
  <c r="AH68" i="3"/>
  <c r="AJ68" i="3" s="1"/>
  <c r="AH68" i="6"/>
  <c r="D32" i="9"/>
  <c r="C34" i="9"/>
  <c r="X69" i="6"/>
  <c r="V69" i="6"/>
  <c r="C69" i="4" s="1"/>
  <c r="M71" i="6"/>
  <c r="N71" i="6" s="1"/>
  <c r="O71" i="6" s="1"/>
  <c r="T71" i="6" s="1"/>
  <c r="L72" i="6"/>
  <c r="W70" i="6"/>
  <c r="G70" i="6"/>
  <c r="F71" i="6"/>
  <c r="K70" i="6"/>
  <c r="U70" i="6"/>
  <c r="I71" i="3"/>
  <c r="K71" i="3" s="1"/>
  <c r="W69" i="3"/>
  <c r="Z69" i="3" s="1"/>
  <c r="AH69" i="3" s="1"/>
  <c r="C69" i="11"/>
  <c r="F68" i="4"/>
  <c r="P68" i="4" s="1"/>
  <c r="E68" i="11"/>
  <c r="F70" i="3"/>
  <c r="G70" i="3" s="1"/>
  <c r="I71" i="6"/>
  <c r="H72" i="6"/>
  <c r="D68" i="11"/>
  <c r="Z68" i="6"/>
  <c r="M72" i="3"/>
  <c r="N72" i="3" s="1"/>
  <c r="O72" i="3" s="1"/>
  <c r="T72" i="3" s="1"/>
  <c r="L73" i="3"/>
  <c r="AF33" i="6"/>
  <c r="AD33" i="6"/>
  <c r="AE33" i="6" s="1"/>
  <c r="U71" i="3"/>
  <c r="X70" i="3"/>
  <c r="V70" i="3"/>
  <c r="F67" i="4"/>
  <c r="P67" i="4" s="1"/>
  <c r="E67" i="11"/>
  <c r="F67" i="11" s="1"/>
  <c r="AF35" i="3"/>
  <c r="AD35" i="3"/>
  <c r="AE35" i="3" s="1"/>
  <c r="G32" i="4" l="1"/>
  <c r="J32" i="4" s="1"/>
  <c r="K32" i="4" s="1"/>
  <c r="L32" i="4" s="1"/>
  <c r="AJ68" i="6"/>
  <c r="F68" i="11"/>
  <c r="AH69" i="6"/>
  <c r="AJ69" i="3"/>
  <c r="AG35" i="3"/>
  <c r="AA36" i="3" s="1"/>
  <c r="AC36" i="3" s="1"/>
  <c r="AG33" i="6"/>
  <c r="AA34" i="6" s="1"/>
  <c r="AC34" i="6" s="1"/>
  <c r="X71" i="3"/>
  <c r="V71" i="3"/>
  <c r="X70" i="6"/>
  <c r="V70" i="6"/>
  <c r="F71" i="3"/>
  <c r="G71" i="3" s="1"/>
  <c r="H67" i="4"/>
  <c r="W71" i="6"/>
  <c r="G71" i="6"/>
  <c r="W70" i="3"/>
  <c r="Z70" i="3" s="1"/>
  <c r="AH70" i="6" s="1"/>
  <c r="C70" i="11"/>
  <c r="E69" i="11"/>
  <c r="F69" i="4"/>
  <c r="P69" i="4" s="1"/>
  <c r="M72" i="6"/>
  <c r="N72" i="6" s="1"/>
  <c r="O72" i="6" s="1"/>
  <c r="T72" i="6" s="1"/>
  <c r="L73" i="6"/>
  <c r="H68" i="4"/>
  <c r="U71" i="6"/>
  <c r="I72" i="6"/>
  <c r="H73" i="6"/>
  <c r="D69" i="11"/>
  <c r="Z69" i="6"/>
  <c r="U72" i="3"/>
  <c r="F72" i="6"/>
  <c r="K71" i="6"/>
  <c r="M73" i="3"/>
  <c r="N73" i="3" s="1"/>
  <c r="O73" i="3" s="1"/>
  <c r="T73" i="3" s="1"/>
  <c r="L74" i="3"/>
  <c r="I72" i="3"/>
  <c r="K72" i="3" s="1"/>
  <c r="M32" i="4" l="1"/>
  <c r="N32" i="4"/>
  <c r="E32" i="9" s="1"/>
  <c r="AJ69" i="6"/>
  <c r="C35" i="9"/>
  <c r="AH70" i="3"/>
  <c r="AJ70" i="3" s="1"/>
  <c r="D33" i="9"/>
  <c r="F69" i="11"/>
  <c r="X71" i="6"/>
  <c r="V71" i="6"/>
  <c r="C71" i="4" s="1"/>
  <c r="I73" i="3"/>
  <c r="K73" i="3" s="1"/>
  <c r="I73" i="6"/>
  <c r="H74" i="6"/>
  <c r="AF34" i="6"/>
  <c r="AD34" i="6"/>
  <c r="AE34" i="6" s="1"/>
  <c r="W72" i="6"/>
  <c r="G72" i="6"/>
  <c r="K72" i="6"/>
  <c r="F73" i="6"/>
  <c r="AF36" i="3"/>
  <c r="AD36" i="3"/>
  <c r="AE36" i="3" s="1"/>
  <c r="M74" i="3"/>
  <c r="N74" i="3" s="1"/>
  <c r="O74" i="3" s="1"/>
  <c r="T74" i="3" s="1"/>
  <c r="L75" i="3"/>
  <c r="D70" i="11"/>
  <c r="Z70" i="6"/>
  <c r="AJ70" i="6" s="1"/>
  <c r="M73" i="6"/>
  <c r="N73" i="6" s="1"/>
  <c r="O73" i="6" s="1"/>
  <c r="T73" i="6" s="1"/>
  <c r="L74" i="6"/>
  <c r="X72" i="3"/>
  <c r="V72" i="3"/>
  <c r="F72" i="3"/>
  <c r="G72" i="3" s="1"/>
  <c r="U72" i="6"/>
  <c r="C70" i="4"/>
  <c r="U73" i="3"/>
  <c r="W71" i="3"/>
  <c r="Z71" i="3" s="1"/>
  <c r="AH71" i="3" s="1"/>
  <c r="H69" i="4"/>
  <c r="C71" i="11"/>
  <c r="G33" i="4" l="1"/>
  <c r="J33" i="4" s="1"/>
  <c r="K33" i="4" s="1"/>
  <c r="L33" i="4" s="1"/>
  <c r="M33" i="4"/>
  <c r="AJ71" i="3"/>
  <c r="AH71" i="6"/>
  <c r="AG36" i="3"/>
  <c r="C36" i="9" s="1"/>
  <c r="AG34" i="6"/>
  <c r="AA35" i="6" s="1"/>
  <c r="AC35" i="6" s="1"/>
  <c r="X72" i="6"/>
  <c r="V72" i="6"/>
  <c r="C72" i="4" s="1"/>
  <c r="M74" i="6"/>
  <c r="N74" i="6" s="1"/>
  <c r="O74" i="6" s="1"/>
  <c r="T74" i="6" s="1"/>
  <c r="L75" i="6"/>
  <c r="W72" i="3"/>
  <c r="Z72" i="3" s="1"/>
  <c r="AH72" i="6" s="1"/>
  <c r="I74" i="6"/>
  <c r="H75" i="6"/>
  <c r="K73" i="6"/>
  <c r="F74" i="6"/>
  <c r="F71" i="4"/>
  <c r="P71" i="4" s="1"/>
  <c r="E71" i="11"/>
  <c r="I74" i="3"/>
  <c r="K74" i="3" s="1"/>
  <c r="C72" i="11"/>
  <c r="U73" i="6"/>
  <c r="F73" i="3"/>
  <c r="G73" i="3" s="1"/>
  <c r="Z71" i="6"/>
  <c r="D71" i="11"/>
  <c r="U74" i="3"/>
  <c r="X73" i="3"/>
  <c r="V73" i="3"/>
  <c r="G73" i="6"/>
  <c r="W73" i="6"/>
  <c r="M75" i="3"/>
  <c r="N75" i="3" s="1"/>
  <c r="O75" i="3" s="1"/>
  <c r="T75" i="3" s="1"/>
  <c r="L76" i="3"/>
  <c r="E70" i="11"/>
  <c r="F70" i="11" s="1"/>
  <c r="F70" i="4"/>
  <c r="P70" i="4" s="1"/>
  <c r="AA37" i="3" l="1"/>
  <c r="AC37" i="3" s="1"/>
  <c r="AJ71" i="6"/>
  <c r="N33" i="4"/>
  <c r="E33" i="9" s="1"/>
  <c r="D34" i="9"/>
  <c r="AH72" i="3"/>
  <c r="AJ72" i="3" s="1"/>
  <c r="F71" i="11"/>
  <c r="X73" i="6"/>
  <c r="V73" i="6"/>
  <c r="C73" i="4" s="1"/>
  <c r="H71" i="4"/>
  <c r="X74" i="3"/>
  <c r="V74" i="3"/>
  <c r="I75" i="6"/>
  <c r="H76" i="6"/>
  <c r="F75" i="6"/>
  <c r="K74" i="6"/>
  <c r="W73" i="3"/>
  <c r="Z73" i="3" s="1"/>
  <c r="M76" i="3"/>
  <c r="N76" i="3" s="1"/>
  <c r="O76" i="3" s="1"/>
  <c r="T76" i="3" s="1"/>
  <c r="L77" i="3"/>
  <c r="M75" i="6"/>
  <c r="N75" i="6" s="1"/>
  <c r="O75" i="6" s="1"/>
  <c r="T75" i="6" s="1"/>
  <c r="L76" i="6"/>
  <c r="G74" i="6"/>
  <c r="W74" i="6"/>
  <c r="H70" i="4"/>
  <c r="U74" i="6"/>
  <c r="U75" i="3"/>
  <c r="E72" i="11"/>
  <c r="F72" i="4"/>
  <c r="P72" i="4" s="1"/>
  <c r="AD35" i="6"/>
  <c r="AE35" i="6" s="1"/>
  <c r="AF35" i="6"/>
  <c r="F74" i="3"/>
  <c r="G74" i="3" s="1"/>
  <c r="D72" i="11"/>
  <c r="Z72" i="6"/>
  <c r="AJ72" i="6" s="1"/>
  <c r="AF37" i="3"/>
  <c r="AD37" i="3"/>
  <c r="AE37" i="3" s="1"/>
  <c r="C73" i="11"/>
  <c r="I75" i="3"/>
  <c r="K75" i="3" s="1"/>
  <c r="G34" i="4" l="1"/>
  <c r="J34" i="4" s="1"/>
  <c r="K34" i="4" s="1"/>
  <c r="L34" i="4" s="1"/>
  <c r="AH73" i="3"/>
  <c r="AJ73" i="3" s="1"/>
  <c r="AH73" i="6"/>
  <c r="AG37" i="3"/>
  <c r="AA38" i="3" s="1"/>
  <c r="AC38" i="3" s="1"/>
  <c r="AG35" i="6"/>
  <c r="D35" i="9" s="1"/>
  <c r="F72" i="11"/>
  <c r="X74" i="6"/>
  <c r="V74" i="6"/>
  <c r="C74" i="4" s="1"/>
  <c r="I76" i="6"/>
  <c r="H77" i="6"/>
  <c r="F76" i="6"/>
  <c r="K75" i="6"/>
  <c r="C74" i="11"/>
  <c r="F75" i="3"/>
  <c r="G75" i="3" s="1"/>
  <c r="I76" i="3"/>
  <c r="K76" i="3" s="1"/>
  <c r="F73" i="4"/>
  <c r="P73" i="4" s="1"/>
  <c r="E73" i="11"/>
  <c r="W75" i="6"/>
  <c r="G75" i="6"/>
  <c r="X75" i="3"/>
  <c r="V75" i="3"/>
  <c r="M76" i="6"/>
  <c r="N76" i="6" s="1"/>
  <c r="O76" i="6" s="1"/>
  <c r="T76" i="6" s="1"/>
  <c r="L77" i="6"/>
  <c r="U75" i="6"/>
  <c r="H72" i="4"/>
  <c r="M77" i="3"/>
  <c r="N77" i="3" s="1"/>
  <c r="O77" i="3" s="1"/>
  <c r="T77" i="3" s="1"/>
  <c r="L78" i="3"/>
  <c r="Z73" i="6"/>
  <c r="D73" i="11"/>
  <c r="W74" i="3"/>
  <c r="Z74" i="3" s="1"/>
  <c r="U76" i="3"/>
  <c r="M34" i="4" l="1"/>
  <c r="N34" i="4"/>
  <c r="E34" i="9"/>
  <c r="G35" i="4"/>
  <c r="J35" i="4" s="1"/>
  <c r="C37" i="9"/>
  <c r="AJ73" i="6"/>
  <c r="AH74" i="3"/>
  <c r="AJ74" i="3" s="1"/>
  <c r="AH74" i="6"/>
  <c r="AA36" i="6"/>
  <c r="AC36" i="6" s="1"/>
  <c r="AF36" i="6" s="1"/>
  <c r="F73" i="11"/>
  <c r="F74" i="4"/>
  <c r="P74" i="4" s="1"/>
  <c r="E74" i="11"/>
  <c r="C75" i="11"/>
  <c r="U76" i="6"/>
  <c r="AD38" i="3"/>
  <c r="AE38" i="3" s="1"/>
  <c r="AF38" i="3"/>
  <c r="M77" i="6"/>
  <c r="N77" i="6" s="1"/>
  <c r="O77" i="6" s="1"/>
  <c r="T77" i="6" s="1"/>
  <c r="L78" i="6"/>
  <c r="W76" i="6"/>
  <c r="G76" i="6"/>
  <c r="U77" i="3"/>
  <c r="F77" i="6"/>
  <c r="K76" i="6"/>
  <c r="X75" i="6"/>
  <c r="V75" i="6"/>
  <c r="W75" i="3"/>
  <c r="Z75" i="3" s="1"/>
  <c r="AH75" i="6" s="1"/>
  <c r="X76" i="3"/>
  <c r="V76" i="3"/>
  <c r="M78" i="3"/>
  <c r="N78" i="3" s="1"/>
  <c r="O78" i="3" s="1"/>
  <c r="T78" i="3" s="1"/>
  <c r="L79" i="3"/>
  <c r="D74" i="11"/>
  <c r="Z74" i="6"/>
  <c r="AJ74" i="6" s="1"/>
  <c r="I77" i="3"/>
  <c r="K77" i="3" s="1"/>
  <c r="I77" i="6"/>
  <c r="H78" i="6"/>
  <c r="H73" i="4"/>
  <c r="F76" i="3"/>
  <c r="G76" i="3" s="1"/>
  <c r="K35" i="4" l="1"/>
  <c r="L35" i="4" s="1"/>
  <c r="M35" i="4"/>
  <c r="N35" i="4" s="1"/>
  <c r="AH75" i="3"/>
  <c r="AJ75" i="3" s="1"/>
  <c r="AD36" i="6"/>
  <c r="AE36" i="6" s="1"/>
  <c r="AG36" i="6" s="1"/>
  <c r="D36" i="9" s="1"/>
  <c r="AG38" i="3"/>
  <c r="AA39" i="3" s="1"/>
  <c r="AC39" i="3" s="1"/>
  <c r="F74" i="11"/>
  <c r="U78" i="3"/>
  <c r="M79" i="3"/>
  <c r="N79" i="3" s="1"/>
  <c r="O79" i="3" s="1"/>
  <c r="T79" i="3" s="1"/>
  <c r="L80" i="3"/>
  <c r="W76" i="3"/>
  <c r="Z76" i="3" s="1"/>
  <c r="X76" i="6"/>
  <c r="V76" i="6"/>
  <c r="D75" i="11"/>
  <c r="Z75" i="6"/>
  <c r="AJ75" i="6" s="1"/>
  <c r="M78" i="6"/>
  <c r="N78" i="6" s="1"/>
  <c r="O78" i="6" s="1"/>
  <c r="T78" i="6" s="1"/>
  <c r="L79" i="6"/>
  <c r="C75" i="4"/>
  <c r="I78" i="6"/>
  <c r="H79" i="6"/>
  <c r="C76" i="11"/>
  <c r="F78" i="6"/>
  <c r="K77" i="6"/>
  <c r="W77" i="6"/>
  <c r="G77" i="6"/>
  <c r="F77" i="3"/>
  <c r="G77" i="3" s="1"/>
  <c r="H74" i="4"/>
  <c r="X77" i="3"/>
  <c r="V77" i="3"/>
  <c r="U77" i="6"/>
  <c r="I78" i="3"/>
  <c r="K78" i="3" s="1"/>
  <c r="G36" i="4" l="1"/>
  <c r="J36" i="4" s="1"/>
  <c r="E35" i="9"/>
  <c r="C38" i="9"/>
  <c r="C5" i="10" s="1"/>
  <c r="AH76" i="3"/>
  <c r="AJ76" i="3" s="1"/>
  <c r="AH76" i="6"/>
  <c r="AA37" i="6"/>
  <c r="AC37" i="6" s="1"/>
  <c r="AF37" i="6" s="1"/>
  <c r="X77" i="6"/>
  <c r="V77" i="6"/>
  <c r="C77" i="4" s="1"/>
  <c r="X78" i="3"/>
  <c r="V78" i="3"/>
  <c r="M79" i="6"/>
  <c r="N79" i="6" s="1"/>
  <c r="O79" i="6" s="1"/>
  <c r="T79" i="6" s="1"/>
  <c r="L80" i="6"/>
  <c r="W77" i="3"/>
  <c r="Z77" i="3" s="1"/>
  <c r="U78" i="6"/>
  <c r="I79" i="3"/>
  <c r="K79" i="3" s="1"/>
  <c r="Z76" i="6"/>
  <c r="D76" i="11"/>
  <c r="M80" i="3"/>
  <c r="N80" i="3" s="1"/>
  <c r="O80" i="3" s="1"/>
  <c r="T80" i="3" s="1"/>
  <c r="L81" i="3"/>
  <c r="F78" i="3"/>
  <c r="G78" i="3" s="1"/>
  <c r="C77" i="11"/>
  <c r="C76" i="4"/>
  <c r="U79" i="3"/>
  <c r="W78" i="6"/>
  <c r="G78" i="6"/>
  <c r="I79" i="6"/>
  <c r="H80" i="6"/>
  <c r="F79" i="6"/>
  <c r="K78" i="6"/>
  <c r="F75" i="4"/>
  <c r="P75" i="4" s="1"/>
  <c r="E75" i="11"/>
  <c r="F75" i="11" s="1"/>
  <c r="AD39" i="3"/>
  <c r="AE39" i="3" s="1"/>
  <c r="AF39" i="3"/>
  <c r="M36" i="4" l="1"/>
  <c r="K36" i="4"/>
  <c r="L36" i="4" s="1"/>
  <c r="AJ76" i="6"/>
  <c r="AD37" i="6"/>
  <c r="AE37" i="6" s="1"/>
  <c r="AG37" i="6" s="1"/>
  <c r="AA38" i="6" s="1"/>
  <c r="AC38" i="6" s="1"/>
  <c r="AH77" i="6"/>
  <c r="AH77" i="3"/>
  <c r="AJ77" i="3" s="1"/>
  <c r="AG39" i="3"/>
  <c r="AA40" i="3" s="1"/>
  <c r="AC40" i="3" s="1"/>
  <c r="X79" i="3"/>
  <c r="V79" i="3"/>
  <c r="X78" i="6"/>
  <c r="V78" i="6"/>
  <c r="C78" i="4" s="1"/>
  <c r="W78" i="3"/>
  <c r="Z78" i="3" s="1"/>
  <c r="M80" i="6"/>
  <c r="N80" i="6" s="1"/>
  <c r="O80" i="6" s="1"/>
  <c r="T80" i="6" s="1"/>
  <c r="L81" i="6"/>
  <c r="U79" i="6"/>
  <c r="M81" i="3"/>
  <c r="N81" i="3" s="1"/>
  <c r="O81" i="3" s="1"/>
  <c r="T81" i="3" s="1"/>
  <c r="L82" i="3"/>
  <c r="C78" i="11"/>
  <c r="H75" i="4"/>
  <c r="W79" i="6"/>
  <c r="G79" i="6"/>
  <c r="I80" i="6"/>
  <c r="H81" i="6"/>
  <c r="Z77" i="6"/>
  <c r="D77" i="11"/>
  <c r="F77" i="4"/>
  <c r="P77" i="4" s="1"/>
  <c r="E77" i="11"/>
  <c r="U80" i="3"/>
  <c r="F80" i="6"/>
  <c r="K79" i="6"/>
  <c r="I80" i="3"/>
  <c r="K80" i="3" s="1"/>
  <c r="E76" i="11"/>
  <c r="F76" i="11" s="1"/>
  <c r="F76" i="4"/>
  <c r="P76" i="4" s="1"/>
  <c r="F79" i="3"/>
  <c r="G79" i="3" s="1"/>
  <c r="N36" i="4" l="1"/>
  <c r="G37" i="4" s="1"/>
  <c r="J37" i="4" s="1"/>
  <c r="AJ77" i="6"/>
  <c r="AH78" i="6"/>
  <c r="AH78" i="3"/>
  <c r="AJ78" i="3" s="1"/>
  <c r="D37" i="9"/>
  <c r="C39" i="9"/>
  <c r="F77" i="11"/>
  <c r="X80" i="3"/>
  <c r="V80" i="3"/>
  <c r="X79" i="6"/>
  <c r="V79" i="6"/>
  <c r="C79" i="4" s="1"/>
  <c r="M81" i="6"/>
  <c r="N81" i="6" s="1"/>
  <c r="O81" i="6" s="1"/>
  <c r="T81" i="6" s="1"/>
  <c r="L82" i="6"/>
  <c r="AD38" i="6"/>
  <c r="AE38" i="6" s="1"/>
  <c r="AF38" i="6"/>
  <c r="F80" i="3"/>
  <c r="G80" i="3" s="1"/>
  <c r="W80" i="6"/>
  <c r="G80" i="6"/>
  <c r="E78" i="11"/>
  <c r="F78" i="4"/>
  <c r="P78" i="4" s="1"/>
  <c r="U80" i="6"/>
  <c r="I81" i="3"/>
  <c r="K81" i="3" s="1"/>
  <c r="D78" i="11"/>
  <c r="Z78" i="6"/>
  <c r="U81" i="3"/>
  <c r="W79" i="3"/>
  <c r="Z79" i="3" s="1"/>
  <c r="AH79" i="3" s="1"/>
  <c r="H76" i="4"/>
  <c r="M82" i="3"/>
  <c r="N82" i="3" s="1"/>
  <c r="O82" i="3" s="1"/>
  <c r="T82" i="3" s="1"/>
  <c r="L83" i="3"/>
  <c r="C79" i="11"/>
  <c r="H77" i="4"/>
  <c r="I81" i="6"/>
  <c r="H82" i="6"/>
  <c r="AF40" i="3"/>
  <c r="AD40" i="3"/>
  <c r="AE40" i="3" s="1"/>
  <c r="F81" i="6"/>
  <c r="K80" i="6"/>
  <c r="E36" i="9" l="1"/>
  <c r="K37" i="4"/>
  <c r="L37" i="4" s="1"/>
  <c r="M37" i="4"/>
  <c r="AJ78" i="6"/>
  <c r="AJ79" i="3"/>
  <c r="AH79" i="6"/>
  <c r="F78" i="11"/>
  <c r="AG38" i="6"/>
  <c r="AA39" i="6" s="1"/>
  <c r="AC39" i="6" s="1"/>
  <c r="AG40" i="3"/>
  <c r="C40" i="9" s="1"/>
  <c r="X81" i="3"/>
  <c r="V81" i="3"/>
  <c r="W80" i="3"/>
  <c r="Z80" i="3" s="1"/>
  <c r="M82" i="6"/>
  <c r="N82" i="6" s="1"/>
  <c r="O82" i="6" s="1"/>
  <c r="T82" i="6" s="1"/>
  <c r="L83" i="6"/>
  <c r="I82" i="3"/>
  <c r="K82" i="3" s="1"/>
  <c r="U81" i="6"/>
  <c r="I82" i="6"/>
  <c r="H83" i="6"/>
  <c r="F81" i="3"/>
  <c r="G81" i="3" s="1"/>
  <c r="Z79" i="6"/>
  <c r="D79" i="11"/>
  <c r="F82" i="6"/>
  <c r="K81" i="6"/>
  <c r="X80" i="6"/>
  <c r="V80" i="6"/>
  <c r="C80" i="4" s="1"/>
  <c r="C80" i="11"/>
  <c r="F79" i="4"/>
  <c r="P79" i="4" s="1"/>
  <c r="E79" i="11"/>
  <c r="M83" i="3"/>
  <c r="N83" i="3" s="1"/>
  <c r="O83" i="3" s="1"/>
  <c r="T83" i="3" s="1"/>
  <c r="L84" i="3"/>
  <c r="W81" i="6"/>
  <c r="G81" i="6"/>
  <c r="U82" i="3"/>
  <c r="H78" i="4"/>
  <c r="N37" i="4" l="1"/>
  <c r="E37" i="9" s="1"/>
  <c r="AJ79" i="6"/>
  <c r="AH80" i="6"/>
  <c r="AH80" i="3"/>
  <c r="AJ80" i="3" s="1"/>
  <c r="D38" i="9"/>
  <c r="H5" i="10" s="1"/>
  <c r="F79" i="11"/>
  <c r="AA41" i="3"/>
  <c r="AC41" i="3" s="1"/>
  <c r="AF41" i="3" s="1"/>
  <c r="E80" i="11"/>
  <c r="F80" i="4"/>
  <c r="P80" i="4" s="1"/>
  <c r="X82" i="3"/>
  <c r="V82" i="3"/>
  <c r="I83" i="3"/>
  <c r="K83" i="3" s="1"/>
  <c r="F82" i="3"/>
  <c r="G82" i="3" s="1"/>
  <c r="M83" i="6"/>
  <c r="N83" i="6" s="1"/>
  <c r="O83" i="6" s="1"/>
  <c r="T83" i="6" s="1"/>
  <c r="L84" i="6"/>
  <c r="U82" i="6"/>
  <c r="W82" i="6"/>
  <c r="G82" i="6"/>
  <c r="U83" i="3"/>
  <c r="W81" i="3"/>
  <c r="Z81" i="3" s="1"/>
  <c r="C81" i="11"/>
  <c r="D80" i="11"/>
  <c r="Z80" i="6"/>
  <c r="I83" i="6"/>
  <c r="H84" i="6"/>
  <c r="M84" i="3"/>
  <c r="N84" i="3" s="1"/>
  <c r="O84" i="3" s="1"/>
  <c r="T84" i="3" s="1"/>
  <c r="L85" i="3"/>
  <c r="F83" i="6"/>
  <c r="K82" i="6"/>
  <c r="H79" i="4"/>
  <c r="X81" i="6"/>
  <c r="V81" i="6"/>
  <c r="C81" i="4" s="1"/>
  <c r="AF39" i="6"/>
  <c r="AD39" i="6"/>
  <c r="AE39" i="6" s="1"/>
  <c r="G38" i="4" l="1"/>
  <c r="J38" i="4" s="1"/>
  <c r="K38" i="4" s="1"/>
  <c r="L38" i="4" s="1"/>
  <c r="AJ80" i="6"/>
  <c r="AH81" i="6"/>
  <c r="AH81" i="3"/>
  <c r="AJ81" i="3" s="1"/>
  <c r="F80" i="11"/>
  <c r="AD41" i="3"/>
  <c r="AE41" i="3" s="1"/>
  <c r="AG41" i="3" s="1"/>
  <c r="AA42" i="3" s="1"/>
  <c r="AC42" i="3" s="1"/>
  <c r="AG39" i="6"/>
  <c r="AA40" i="6" s="1"/>
  <c r="AC40" i="6" s="1"/>
  <c r="X82" i="6"/>
  <c r="V82" i="6"/>
  <c r="E81" i="11"/>
  <c r="F81" i="4"/>
  <c r="P81" i="4" s="1"/>
  <c r="M84" i="6"/>
  <c r="N84" i="6" s="1"/>
  <c r="O84" i="6" s="1"/>
  <c r="T84" i="6" s="1"/>
  <c r="L85" i="6"/>
  <c r="U83" i="6"/>
  <c r="W82" i="3"/>
  <c r="Z82" i="3" s="1"/>
  <c r="AH82" i="6" s="1"/>
  <c r="X83" i="3"/>
  <c r="V83" i="3"/>
  <c r="I84" i="3"/>
  <c r="K84" i="3" s="1"/>
  <c r="F83" i="3"/>
  <c r="G83" i="3" s="1"/>
  <c r="C82" i="11"/>
  <c r="M85" i="3"/>
  <c r="N85" i="3" s="1"/>
  <c r="O85" i="3" s="1"/>
  <c r="T85" i="3" s="1"/>
  <c r="L86" i="3"/>
  <c r="K83" i="6"/>
  <c r="F84" i="6"/>
  <c r="Z81" i="6"/>
  <c r="D81" i="11"/>
  <c r="U84" i="3"/>
  <c r="H80" i="4"/>
  <c r="W83" i="6"/>
  <c r="G83" i="6"/>
  <c r="I84" i="6"/>
  <c r="H85" i="6"/>
  <c r="M38" i="4" l="1"/>
  <c r="N38" i="4" s="1"/>
  <c r="E38" i="9" s="1"/>
  <c r="M5" i="10" s="1"/>
  <c r="AJ81" i="6"/>
  <c r="AH82" i="3"/>
  <c r="AJ82" i="3" s="1"/>
  <c r="C41" i="9"/>
  <c r="D39" i="9"/>
  <c r="F81" i="11"/>
  <c r="U85" i="3"/>
  <c r="M85" i="6"/>
  <c r="N85" i="6" s="1"/>
  <c r="O85" i="6" s="1"/>
  <c r="T85" i="6" s="1"/>
  <c r="L86" i="6"/>
  <c r="M86" i="3"/>
  <c r="N86" i="3" s="1"/>
  <c r="O86" i="3" s="1"/>
  <c r="T86" i="3" s="1"/>
  <c r="L87" i="3"/>
  <c r="U84" i="6"/>
  <c r="H81" i="4"/>
  <c r="D82" i="11"/>
  <c r="Z82" i="6"/>
  <c r="AJ82" i="6" s="1"/>
  <c r="X84" i="3"/>
  <c r="V84" i="3"/>
  <c r="I85" i="6"/>
  <c r="H86" i="6"/>
  <c r="X83" i="6"/>
  <c r="V83" i="6"/>
  <c r="C83" i="4" s="1"/>
  <c r="AD42" i="3"/>
  <c r="AE42" i="3" s="1"/>
  <c r="AF42" i="3"/>
  <c r="F85" i="6"/>
  <c r="K84" i="6"/>
  <c r="C82" i="4"/>
  <c r="W83" i="3"/>
  <c r="Z83" i="3" s="1"/>
  <c r="I85" i="3"/>
  <c r="K85" i="3" s="1"/>
  <c r="F84" i="3"/>
  <c r="G84" i="3" s="1"/>
  <c r="C83" i="11"/>
  <c r="W84" i="6"/>
  <c r="G84" i="6"/>
  <c r="AF40" i="6"/>
  <c r="AD40" i="6"/>
  <c r="AE40" i="6" s="1"/>
  <c r="G39" i="4" l="1"/>
  <c r="J39" i="4" s="1"/>
  <c r="M39" i="4" s="1"/>
  <c r="AH83" i="6"/>
  <c r="AH83" i="3"/>
  <c r="AJ83" i="3" s="1"/>
  <c r="AG42" i="3"/>
  <c r="AA43" i="3" s="1"/>
  <c r="AC43" i="3" s="1"/>
  <c r="AG40" i="6"/>
  <c r="D40" i="9" s="1"/>
  <c r="X84" i="6"/>
  <c r="V84" i="6"/>
  <c r="X85" i="3"/>
  <c r="V85" i="3"/>
  <c r="W85" i="6"/>
  <c r="G85" i="6"/>
  <c r="Z83" i="6"/>
  <c r="D83" i="11"/>
  <c r="E82" i="11"/>
  <c r="F82" i="11" s="1"/>
  <c r="F82" i="4"/>
  <c r="P82" i="4" s="1"/>
  <c r="M87" i="3"/>
  <c r="N87" i="3" s="1"/>
  <c r="O87" i="3" s="1"/>
  <c r="T87" i="3" s="1"/>
  <c r="L88" i="3"/>
  <c r="U86" i="3"/>
  <c r="U85" i="6"/>
  <c r="F83" i="4"/>
  <c r="P83" i="4" s="1"/>
  <c r="E83" i="11"/>
  <c r="I86" i="6"/>
  <c r="H87" i="6"/>
  <c r="M86" i="6"/>
  <c r="N86" i="6" s="1"/>
  <c r="O86" i="6" s="1"/>
  <c r="T86" i="6" s="1"/>
  <c r="L87" i="6"/>
  <c r="F86" i="6"/>
  <c r="K85" i="6"/>
  <c r="W84" i="3"/>
  <c r="Z84" i="3" s="1"/>
  <c r="AH84" i="6" s="1"/>
  <c r="C84" i="11"/>
  <c r="I86" i="3"/>
  <c r="K86" i="3" s="1"/>
  <c r="F85" i="3"/>
  <c r="G85" i="3" s="1"/>
  <c r="K39" i="4" l="1"/>
  <c r="L39" i="4" s="1"/>
  <c r="N39" i="4" s="1"/>
  <c r="G40" i="4" s="1"/>
  <c r="J40" i="4" s="1"/>
  <c r="M40" i="4" s="1"/>
  <c r="AJ83" i="6"/>
  <c r="AH84" i="3"/>
  <c r="AJ84" i="3" s="1"/>
  <c r="C42" i="9"/>
  <c r="AA41" i="6"/>
  <c r="AC41" i="6" s="1"/>
  <c r="AF41" i="6" s="1"/>
  <c r="F83" i="11"/>
  <c r="X85" i="6"/>
  <c r="V85" i="6"/>
  <c r="C85" i="4" s="1"/>
  <c r="K86" i="6"/>
  <c r="F87" i="6"/>
  <c r="H83" i="4"/>
  <c r="C85" i="11"/>
  <c r="AD43" i="3"/>
  <c r="AE43" i="3" s="1"/>
  <c r="AF43" i="3"/>
  <c r="D84" i="11"/>
  <c r="Z84" i="6"/>
  <c r="AJ84" i="6" s="1"/>
  <c r="W85" i="3"/>
  <c r="Z85" i="3" s="1"/>
  <c r="C84" i="4"/>
  <c r="W86" i="6"/>
  <c r="G86" i="6"/>
  <c r="H82" i="4"/>
  <c r="I87" i="3"/>
  <c r="K87" i="3" s="1"/>
  <c r="F86" i="3"/>
  <c r="G86" i="3" s="1"/>
  <c r="X86" i="3"/>
  <c r="V86" i="3"/>
  <c r="M88" i="3"/>
  <c r="N88" i="3" s="1"/>
  <c r="O88" i="3" s="1"/>
  <c r="T88" i="3" s="1"/>
  <c r="L89" i="3"/>
  <c r="M87" i="6"/>
  <c r="N87" i="6" s="1"/>
  <c r="O87" i="6" s="1"/>
  <c r="T87" i="6" s="1"/>
  <c r="L88" i="6"/>
  <c r="U87" i="3"/>
  <c r="U86" i="6"/>
  <c r="I87" i="6"/>
  <c r="H88" i="6"/>
  <c r="E39" i="9" l="1"/>
  <c r="K40" i="4"/>
  <c r="L40" i="4" s="1"/>
  <c r="N40" i="4" s="1"/>
  <c r="G41" i="4" s="1"/>
  <c r="J41" i="4" s="1"/>
  <c r="AH85" i="6"/>
  <c r="AH85" i="3"/>
  <c r="AJ85" i="3" s="1"/>
  <c r="AD41" i="6"/>
  <c r="AE41" i="6" s="1"/>
  <c r="AG41" i="6" s="1"/>
  <c r="AA42" i="6" s="1"/>
  <c r="AC42" i="6" s="1"/>
  <c r="AG43" i="3"/>
  <c r="AA44" i="3" s="1"/>
  <c r="AC44" i="3" s="1"/>
  <c r="X86" i="6"/>
  <c r="V86" i="6"/>
  <c r="C86" i="4" s="1"/>
  <c r="F88" i="6"/>
  <c r="K87" i="6"/>
  <c r="I88" i="3"/>
  <c r="K88" i="3" s="1"/>
  <c r="I88" i="6"/>
  <c r="H89" i="6"/>
  <c r="X87" i="3"/>
  <c r="V87" i="3"/>
  <c r="W87" i="6"/>
  <c r="G87" i="6"/>
  <c r="E85" i="11"/>
  <c r="F85" i="4"/>
  <c r="P85" i="4" s="1"/>
  <c r="F84" i="4"/>
  <c r="P84" i="4" s="1"/>
  <c r="E84" i="11"/>
  <c r="F84" i="11" s="1"/>
  <c r="U87" i="6"/>
  <c r="U88" i="3"/>
  <c r="F87" i="3"/>
  <c r="G87" i="3" s="1"/>
  <c r="M88" i="6"/>
  <c r="N88" i="6" s="1"/>
  <c r="O88" i="6" s="1"/>
  <c r="T88" i="6" s="1"/>
  <c r="L89" i="6"/>
  <c r="M89" i="3"/>
  <c r="N89" i="3" s="1"/>
  <c r="O89" i="3" s="1"/>
  <c r="T89" i="3" s="1"/>
  <c r="L90" i="3"/>
  <c r="C86" i="11"/>
  <c r="D85" i="11"/>
  <c r="Z85" i="6"/>
  <c r="W86" i="3"/>
  <c r="Z86" i="3" s="1"/>
  <c r="E40" i="9" l="1"/>
  <c r="K41" i="4"/>
  <c r="L41" i="4" s="1"/>
  <c r="M41" i="4"/>
  <c r="AJ85" i="6"/>
  <c r="F85" i="11"/>
  <c r="AH86" i="6"/>
  <c r="AH86" i="3"/>
  <c r="AJ86" i="3" s="1"/>
  <c r="D41" i="9"/>
  <c r="C43" i="9"/>
  <c r="X87" i="6"/>
  <c r="V87" i="6"/>
  <c r="C87" i="4" s="1"/>
  <c r="W87" i="3"/>
  <c r="Z87" i="3" s="1"/>
  <c r="F88" i="3"/>
  <c r="G88" i="3" s="1"/>
  <c r="H85" i="4"/>
  <c r="I89" i="3"/>
  <c r="K89" i="3" s="1"/>
  <c r="W88" i="6"/>
  <c r="G88" i="6"/>
  <c r="H84" i="4"/>
  <c r="Z86" i="6"/>
  <c r="D86" i="11"/>
  <c r="F86" i="4"/>
  <c r="P86" i="4" s="1"/>
  <c r="E86" i="11"/>
  <c r="F89" i="6"/>
  <c r="K88" i="6"/>
  <c r="AD42" i="6"/>
  <c r="AE42" i="6" s="1"/>
  <c r="AF42" i="6"/>
  <c r="X88" i="3"/>
  <c r="V88" i="3"/>
  <c r="I89" i="6"/>
  <c r="H90" i="6"/>
  <c r="M90" i="3"/>
  <c r="N90" i="3" s="1"/>
  <c r="O90" i="3" s="1"/>
  <c r="T90" i="3" s="1"/>
  <c r="L91" i="3"/>
  <c r="U89" i="3"/>
  <c r="M89" i="6"/>
  <c r="N89" i="6" s="1"/>
  <c r="O89" i="6" s="1"/>
  <c r="T89" i="6" s="1"/>
  <c r="L90" i="6"/>
  <c r="U88" i="6"/>
  <c r="C87" i="11"/>
  <c r="AD44" i="3"/>
  <c r="AE44" i="3" s="1"/>
  <c r="AF44" i="3"/>
  <c r="N41" i="4" l="1"/>
  <c r="G42" i="4" s="1"/>
  <c r="J42" i="4" s="1"/>
  <c r="AJ86" i="6"/>
  <c r="AH87" i="6"/>
  <c r="AH87" i="3"/>
  <c r="AJ87" i="3" s="1"/>
  <c r="AG42" i="6"/>
  <c r="AA43" i="6" s="1"/>
  <c r="AC43" i="6" s="1"/>
  <c r="F86" i="11"/>
  <c r="AG44" i="3"/>
  <c r="AA45" i="3" s="1"/>
  <c r="AC45" i="3" s="1"/>
  <c r="X88" i="6"/>
  <c r="V88" i="6"/>
  <c r="C88" i="4" s="1"/>
  <c r="C88" i="11"/>
  <c r="I90" i="3"/>
  <c r="K90" i="3" s="1"/>
  <c r="E87" i="11"/>
  <c r="F87" i="4"/>
  <c r="P87" i="4" s="1"/>
  <c r="W88" i="3"/>
  <c r="Z88" i="3" s="1"/>
  <c r="AH88" i="3" s="1"/>
  <c r="F89" i="3"/>
  <c r="G89" i="3" s="1"/>
  <c r="M90" i="6"/>
  <c r="N90" i="6" s="1"/>
  <c r="O90" i="6" s="1"/>
  <c r="T90" i="6" s="1"/>
  <c r="L91" i="6"/>
  <c r="H86" i="4"/>
  <c r="Z87" i="6"/>
  <c r="D87" i="11"/>
  <c r="U89" i="6"/>
  <c r="X89" i="3"/>
  <c r="V89" i="3"/>
  <c r="M91" i="3"/>
  <c r="N91" i="3" s="1"/>
  <c r="O91" i="3" s="1"/>
  <c r="T91" i="3" s="1"/>
  <c r="L92" i="3"/>
  <c r="W89" i="6"/>
  <c r="G89" i="6"/>
  <c r="U90" i="3"/>
  <c r="I90" i="6"/>
  <c r="H91" i="6"/>
  <c r="F90" i="6"/>
  <c r="K89" i="6"/>
  <c r="E41" i="9" l="1"/>
  <c r="K42" i="4"/>
  <c r="L42" i="4" s="1"/>
  <c r="M42" i="4"/>
  <c r="AJ87" i="6"/>
  <c r="D42" i="9"/>
  <c r="AH88" i="6"/>
  <c r="AJ88" i="3"/>
  <c r="C44" i="9"/>
  <c r="F87" i="11"/>
  <c r="X90" i="3"/>
  <c r="V90" i="3"/>
  <c r="X89" i="6"/>
  <c r="V89" i="6"/>
  <c r="U91" i="3"/>
  <c r="F90" i="3"/>
  <c r="G90" i="3" s="1"/>
  <c r="I91" i="3"/>
  <c r="K91" i="3" s="1"/>
  <c r="F91" i="6"/>
  <c r="K90" i="6"/>
  <c r="E88" i="11"/>
  <c r="F88" i="4"/>
  <c r="P88" i="4" s="1"/>
  <c r="C89" i="11"/>
  <c r="U90" i="6"/>
  <c r="I91" i="6"/>
  <c r="H92" i="6"/>
  <c r="W89" i="3"/>
  <c r="Z89" i="3" s="1"/>
  <c r="H87" i="4"/>
  <c r="W90" i="6"/>
  <c r="G90" i="6"/>
  <c r="M91" i="6"/>
  <c r="N91" i="6" s="1"/>
  <c r="O91" i="6" s="1"/>
  <c r="T91" i="6" s="1"/>
  <c r="L92" i="6"/>
  <c r="D88" i="11"/>
  <c r="Z88" i="6"/>
  <c r="AD43" i="6"/>
  <c r="AE43" i="6" s="1"/>
  <c r="AF43" i="6"/>
  <c r="M92" i="3"/>
  <c r="N92" i="3" s="1"/>
  <c r="O92" i="3" s="1"/>
  <c r="T92" i="3" s="1"/>
  <c r="L93" i="3"/>
  <c r="AF45" i="3"/>
  <c r="AD45" i="3"/>
  <c r="AE45" i="3" s="1"/>
  <c r="N42" i="4" l="1"/>
  <c r="AJ88" i="6"/>
  <c r="G43" i="4"/>
  <c r="J43" i="4" s="1"/>
  <c r="E42" i="9"/>
  <c r="AH89" i="3"/>
  <c r="AJ89" i="3" s="1"/>
  <c r="AH89" i="6"/>
  <c r="AG43" i="6"/>
  <c r="AA44" i="6" s="1"/>
  <c r="AC44" i="6" s="1"/>
  <c r="AG45" i="3"/>
  <c r="AA46" i="3" s="1"/>
  <c r="AC46" i="3" s="1"/>
  <c r="F88" i="11"/>
  <c r="X91" i="3"/>
  <c r="V91" i="3"/>
  <c r="X90" i="6"/>
  <c r="V90" i="6"/>
  <c r="C90" i="4" s="1"/>
  <c r="I92" i="3"/>
  <c r="K92" i="3" s="1"/>
  <c r="W90" i="3"/>
  <c r="Z90" i="3" s="1"/>
  <c r="I92" i="6"/>
  <c r="H93" i="6"/>
  <c r="F91" i="3"/>
  <c r="G91" i="3" s="1"/>
  <c r="Z89" i="6"/>
  <c r="D89" i="11"/>
  <c r="F92" i="6"/>
  <c r="K91" i="6"/>
  <c r="U92" i="3"/>
  <c r="M92" i="6"/>
  <c r="N92" i="6" s="1"/>
  <c r="O92" i="6" s="1"/>
  <c r="T92" i="6" s="1"/>
  <c r="L93" i="6"/>
  <c r="H88" i="4"/>
  <c r="W91" i="6"/>
  <c r="G91" i="6"/>
  <c r="M93" i="3"/>
  <c r="N93" i="3" s="1"/>
  <c r="O93" i="3" s="1"/>
  <c r="T93" i="3" s="1"/>
  <c r="L94" i="3"/>
  <c r="C89" i="4"/>
  <c r="U91" i="6"/>
  <c r="C90" i="11"/>
  <c r="M43" i="4" l="1"/>
  <c r="K43" i="4"/>
  <c r="L43" i="4" s="1"/>
  <c r="AJ89" i="6"/>
  <c r="D43" i="9"/>
  <c r="AH90" i="3"/>
  <c r="AJ90" i="3" s="1"/>
  <c r="AH90" i="6"/>
  <c r="C45" i="9"/>
  <c r="U92" i="6"/>
  <c r="E90" i="11"/>
  <c r="F90" i="4"/>
  <c r="P90" i="4" s="1"/>
  <c r="W92" i="6"/>
  <c r="G92" i="6"/>
  <c r="AF44" i="6"/>
  <c r="AD44" i="6"/>
  <c r="AE44" i="6" s="1"/>
  <c r="D90" i="11"/>
  <c r="Z90" i="6"/>
  <c r="X92" i="3"/>
  <c r="V92" i="3"/>
  <c r="F92" i="3"/>
  <c r="G92" i="3" s="1"/>
  <c r="E89" i="11"/>
  <c r="F89" i="11" s="1"/>
  <c r="F89" i="4"/>
  <c r="P89" i="4" s="1"/>
  <c r="M94" i="3"/>
  <c r="N94" i="3" s="1"/>
  <c r="O94" i="3" s="1"/>
  <c r="T94" i="3" s="1"/>
  <c r="L95" i="3"/>
  <c r="AD46" i="3"/>
  <c r="AE46" i="3" s="1"/>
  <c r="AF46" i="3"/>
  <c r="F93" i="6"/>
  <c r="K92" i="6"/>
  <c r="I93" i="3"/>
  <c r="K93" i="3" s="1"/>
  <c r="X91" i="6"/>
  <c r="V91" i="6"/>
  <c r="C91" i="4" s="1"/>
  <c r="U93" i="3"/>
  <c r="W91" i="3"/>
  <c r="Z91" i="3" s="1"/>
  <c r="AH91" i="6" s="1"/>
  <c r="C91" i="11"/>
  <c r="M93" i="6"/>
  <c r="N93" i="6" s="1"/>
  <c r="O93" i="6" s="1"/>
  <c r="T93" i="6" s="1"/>
  <c r="L94" i="6"/>
  <c r="I93" i="6"/>
  <c r="H94" i="6"/>
  <c r="N43" i="4" l="1"/>
  <c r="G44" i="4" s="1"/>
  <c r="J44" i="4" s="1"/>
  <c r="E43" i="9"/>
  <c r="AJ90" i="6"/>
  <c r="AH91" i="3"/>
  <c r="AJ91" i="3" s="1"/>
  <c r="F90" i="11"/>
  <c r="AG46" i="3"/>
  <c r="C46" i="9" s="1"/>
  <c r="AG44" i="6"/>
  <c r="AA45" i="6" s="1"/>
  <c r="AC45" i="6" s="1"/>
  <c r="X93" i="3"/>
  <c r="V93" i="3"/>
  <c r="I94" i="6"/>
  <c r="H95" i="6"/>
  <c r="C92" i="11"/>
  <c r="U93" i="6"/>
  <c r="M94" i="6"/>
  <c r="N94" i="6" s="1"/>
  <c r="O94" i="6" s="1"/>
  <c r="T94" i="6" s="1"/>
  <c r="L95" i="6"/>
  <c r="W93" i="6"/>
  <c r="G93" i="6"/>
  <c r="H90" i="4"/>
  <c r="F93" i="3"/>
  <c r="G93" i="3" s="1"/>
  <c r="H89" i="4"/>
  <c r="X92" i="6"/>
  <c r="V92" i="6"/>
  <c r="F94" i="6"/>
  <c r="K93" i="6"/>
  <c r="U94" i="3"/>
  <c r="I94" i="3"/>
  <c r="K94" i="3" s="1"/>
  <c r="F91" i="4"/>
  <c r="P91" i="4" s="1"/>
  <c r="E91" i="11"/>
  <c r="M95" i="3"/>
  <c r="N95" i="3" s="1"/>
  <c r="O95" i="3" s="1"/>
  <c r="T95" i="3" s="1"/>
  <c r="L96" i="3"/>
  <c r="Z91" i="6"/>
  <c r="AJ91" i="6" s="1"/>
  <c r="D91" i="11"/>
  <c r="W92" i="3"/>
  <c r="Z92" i="3" s="1"/>
  <c r="M44" i="4" l="1"/>
  <c r="AA47" i="3"/>
  <c r="AC47" i="3" s="1"/>
  <c r="AD47" i="3" s="1"/>
  <c r="AE47" i="3" s="1"/>
  <c r="D44" i="9"/>
  <c r="F91" i="11"/>
  <c r="AH92" i="3"/>
  <c r="AJ92" i="3" s="1"/>
  <c r="AH92" i="6"/>
  <c r="X93" i="6"/>
  <c r="V93" i="6"/>
  <c r="C93" i="4" s="1"/>
  <c r="U94" i="6"/>
  <c r="Z92" i="6"/>
  <c r="D92" i="11"/>
  <c r="M96" i="3"/>
  <c r="N96" i="3" s="1"/>
  <c r="O96" i="3" s="1"/>
  <c r="T96" i="3" s="1"/>
  <c r="L97" i="3"/>
  <c r="H91" i="4"/>
  <c r="W93" i="3"/>
  <c r="Z93" i="3" s="1"/>
  <c r="F95" i="6"/>
  <c r="K94" i="6"/>
  <c r="C92" i="4"/>
  <c r="I95" i="3"/>
  <c r="K95" i="3" s="1"/>
  <c r="W94" i="6"/>
  <c r="G94" i="6"/>
  <c r="U95" i="3"/>
  <c r="F94" i="3"/>
  <c r="G94" i="3" s="1"/>
  <c r="I95" i="6"/>
  <c r="H96" i="6"/>
  <c r="AD45" i="6"/>
  <c r="AE45" i="6" s="1"/>
  <c r="AF45" i="6"/>
  <c r="C93" i="11"/>
  <c r="X94" i="3"/>
  <c r="V94" i="3"/>
  <c r="M95" i="6"/>
  <c r="N95" i="6" s="1"/>
  <c r="O95" i="6" s="1"/>
  <c r="T95" i="6" s="1"/>
  <c r="L96" i="6"/>
  <c r="K44" i="4" l="1"/>
  <c r="L44" i="4" s="1"/>
  <c r="N44" i="4" s="1"/>
  <c r="AF47" i="3"/>
  <c r="AJ92" i="6"/>
  <c r="AH93" i="6"/>
  <c r="AH93" i="3"/>
  <c r="AJ93" i="3" s="1"/>
  <c r="AG47" i="3"/>
  <c r="AA48" i="3" s="1"/>
  <c r="AC48" i="3" s="1"/>
  <c r="AG45" i="6"/>
  <c r="AA46" i="6" s="1"/>
  <c r="AC46" i="6" s="1"/>
  <c r="X94" i="6"/>
  <c r="V94" i="6"/>
  <c r="C94" i="4" s="1"/>
  <c r="M96" i="6"/>
  <c r="N96" i="6" s="1"/>
  <c r="O96" i="6" s="1"/>
  <c r="T96" i="6" s="1"/>
  <c r="L97" i="6"/>
  <c r="M97" i="3"/>
  <c r="N97" i="3" s="1"/>
  <c r="O97" i="3" s="1"/>
  <c r="T97" i="3" s="1"/>
  <c r="L98" i="3"/>
  <c r="U96" i="3"/>
  <c r="X95" i="3"/>
  <c r="V95" i="3"/>
  <c r="F95" i="3"/>
  <c r="G95" i="3" s="1"/>
  <c r="U95" i="6"/>
  <c r="W94" i="3"/>
  <c r="Z94" i="3" s="1"/>
  <c r="AH94" i="3" s="1"/>
  <c r="F93" i="4"/>
  <c r="P93" i="4" s="1"/>
  <c r="E93" i="11"/>
  <c r="C94" i="11"/>
  <c r="E92" i="11"/>
  <c r="F92" i="11" s="1"/>
  <c r="F92" i="4"/>
  <c r="P92" i="4" s="1"/>
  <c r="I96" i="3"/>
  <c r="K96" i="3" s="1"/>
  <c r="D93" i="11"/>
  <c r="Z93" i="6"/>
  <c r="I96" i="6"/>
  <c r="H97" i="6"/>
  <c r="F96" i="6"/>
  <c r="K95" i="6"/>
  <c r="W95" i="6"/>
  <c r="G95" i="6"/>
  <c r="AJ93" i="6" l="1"/>
  <c r="E44" i="9"/>
  <c r="G45" i="4"/>
  <c r="J45" i="4" s="1"/>
  <c r="C47" i="9"/>
  <c r="AH94" i="6"/>
  <c r="F93" i="11"/>
  <c r="AJ94" i="3"/>
  <c r="D45" i="9"/>
  <c r="X95" i="6"/>
  <c r="V95" i="6"/>
  <c r="C95" i="4" s="1"/>
  <c r="F96" i="3"/>
  <c r="G96" i="3" s="1"/>
  <c r="H92" i="4"/>
  <c r="M98" i="3"/>
  <c r="N98" i="3" s="1"/>
  <c r="O98" i="3" s="1"/>
  <c r="T98" i="3" s="1"/>
  <c r="L99" i="3"/>
  <c r="C95" i="11"/>
  <c r="F97" i="6"/>
  <c r="K96" i="6"/>
  <c r="U97" i="3"/>
  <c r="W95" i="3"/>
  <c r="Z95" i="3" s="1"/>
  <c r="M97" i="6"/>
  <c r="N97" i="6" s="1"/>
  <c r="O97" i="6" s="1"/>
  <c r="T97" i="6" s="1"/>
  <c r="L98" i="6"/>
  <c r="U96" i="6"/>
  <c r="X96" i="3"/>
  <c r="V96" i="3"/>
  <c r="Z94" i="6"/>
  <c r="D94" i="11"/>
  <c r="I97" i="6"/>
  <c r="H98" i="6"/>
  <c r="F94" i="4"/>
  <c r="P94" i="4" s="1"/>
  <c r="E94" i="11"/>
  <c r="W96" i="6"/>
  <c r="G96" i="6"/>
  <c r="AF48" i="3"/>
  <c r="AD48" i="3"/>
  <c r="AE48" i="3" s="1"/>
  <c r="H93" i="4"/>
  <c r="I97" i="3"/>
  <c r="K97" i="3" s="1"/>
  <c r="AD46" i="6"/>
  <c r="AE46" i="6" s="1"/>
  <c r="AF46" i="6"/>
  <c r="AJ94" i="6" l="1"/>
  <c r="AH95" i="6"/>
  <c r="AH95" i="3"/>
  <c r="AJ95" i="3" s="1"/>
  <c r="AG46" i="6"/>
  <c r="AA47" i="6" s="1"/>
  <c r="AC47" i="6" s="1"/>
  <c r="F94" i="11"/>
  <c r="AG48" i="3"/>
  <c r="AA49" i="3" s="1"/>
  <c r="AC49" i="3" s="1"/>
  <c r="X96" i="6"/>
  <c r="V96" i="6"/>
  <c r="C96" i="4" s="1"/>
  <c r="F98" i="6"/>
  <c r="K97" i="6"/>
  <c r="M98" i="6"/>
  <c r="N98" i="6" s="1"/>
  <c r="O98" i="6" s="1"/>
  <c r="T98" i="6" s="1"/>
  <c r="L99" i="6"/>
  <c r="F97" i="3"/>
  <c r="G97" i="3" s="1"/>
  <c r="W96" i="3"/>
  <c r="Z96" i="3" s="1"/>
  <c r="AH96" i="3" s="1"/>
  <c r="E95" i="11"/>
  <c r="F95" i="4"/>
  <c r="P95" i="4" s="1"/>
  <c r="M99" i="3"/>
  <c r="N99" i="3" s="1"/>
  <c r="O99" i="3" s="1"/>
  <c r="T99" i="3" s="1"/>
  <c r="L100" i="3"/>
  <c r="C96" i="11"/>
  <c r="I98" i="3"/>
  <c r="K98" i="3" s="1"/>
  <c r="H94" i="4"/>
  <c r="U98" i="3"/>
  <c r="U97" i="6"/>
  <c r="X97" i="3"/>
  <c r="V97" i="3"/>
  <c r="D95" i="11"/>
  <c r="Z95" i="6"/>
  <c r="I98" i="6"/>
  <c r="H99" i="6"/>
  <c r="W97" i="6"/>
  <c r="G97" i="6"/>
  <c r="M45" i="4" l="1"/>
  <c r="K45" i="4"/>
  <c r="L45" i="4" s="1"/>
  <c r="N45" i="4" s="1"/>
  <c r="D46" i="9"/>
  <c r="C48" i="9"/>
  <c r="AJ95" i="6"/>
  <c r="AH96" i="6"/>
  <c r="AJ96" i="3"/>
  <c r="F95" i="11"/>
  <c r="X98" i="3"/>
  <c r="V98" i="3"/>
  <c r="W97" i="3"/>
  <c r="Z97" i="3" s="1"/>
  <c r="F99" i="6"/>
  <c r="K98" i="6"/>
  <c r="U98" i="6"/>
  <c r="W98" i="6"/>
  <c r="G98" i="6"/>
  <c r="F98" i="3"/>
  <c r="G98" i="3" s="1"/>
  <c r="AD47" i="6"/>
  <c r="AE47" i="6" s="1"/>
  <c r="AF47" i="6"/>
  <c r="M100" i="3"/>
  <c r="N100" i="3" s="1"/>
  <c r="O100" i="3" s="1"/>
  <c r="T100" i="3" s="1"/>
  <c r="L101" i="3"/>
  <c r="I99" i="3"/>
  <c r="K99" i="3" s="1"/>
  <c r="U99" i="3"/>
  <c r="E96" i="11"/>
  <c r="F96" i="4"/>
  <c r="P96" i="4" s="1"/>
  <c r="C97" i="11"/>
  <c r="H95" i="4"/>
  <c r="I99" i="6"/>
  <c r="H100" i="6"/>
  <c r="M99" i="6"/>
  <c r="N99" i="6" s="1"/>
  <c r="O99" i="6" s="1"/>
  <c r="T99" i="6" s="1"/>
  <c r="L100" i="6"/>
  <c r="X97" i="6"/>
  <c r="V97" i="6"/>
  <c r="C97" i="4" s="1"/>
  <c r="AF49" i="3"/>
  <c r="AD49" i="3"/>
  <c r="AE49" i="3" s="1"/>
  <c r="D96" i="11"/>
  <c r="Z96" i="6"/>
  <c r="E45" i="9" l="1"/>
  <c r="G46" i="4"/>
  <c r="J46" i="4" s="1"/>
  <c r="AJ96" i="6"/>
  <c r="AH97" i="6"/>
  <c r="AH97" i="3"/>
  <c r="AJ97" i="3" s="1"/>
  <c r="AG49" i="3"/>
  <c r="AA50" i="3" s="1"/>
  <c r="AC50" i="3" s="1"/>
  <c r="AG47" i="6"/>
  <c r="AA48" i="6" s="1"/>
  <c r="AC48" i="6" s="1"/>
  <c r="F96" i="11"/>
  <c r="X98" i="6"/>
  <c r="V98" i="6"/>
  <c r="C98" i="4" s="1"/>
  <c r="F97" i="4"/>
  <c r="P97" i="4" s="1"/>
  <c r="E97" i="11"/>
  <c r="W99" i="6"/>
  <c r="G99" i="6"/>
  <c r="X99" i="3"/>
  <c r="V99" i="3"/>
  <c r="I100" i="3"/>
  <c r="K100" i="3" s="1"/>
  <c r="D97" i="11"/>
  <c r="Z97" i="6"/>
  <c r="W98" i="3"/>
  <c r="Z98" i="3" s="1"/>
  <c r="H96" i="4"/>
  <c r="F99" i="3"/>
  <c r="G99" i="3" s="1"/>
  <c r="M100" i="6"/>
  <c r="N100" i="6" s="1"/>
  <c r="O100" i="6" s="1"/>
  <c r="T100" i="6" s="1"/>
  <c r="L101" i="6"/>
  <c r="U100" i="3"/>
  <c r="M101" i="3"/>
  <c r="N101" i="3" s="1"/>
  <c r="O101" i="3" s="1"/>
  <c r="T101" i="3" s="1"/>
  <c r="L102" i="3"/>
  <c r="U99" i="6"/>
  <c r="I100" i="6"/>
  <c r="H101" i="6"/>
  <c r="F100" i="6"/>
  <c r="K99" i="6"/>
  <c r="C98" i="11"/>
  <c r="AJ97" i="6" l="1"/>
  <c r="C49" i="9"/>
  <c r="AH98" i="6"/>
  <c r="AH98" i="3"/>
  <c r="AJ98" i="3" s="1"/>
  <c r="D47" i="9"/>
  <c r="F97" i="11"/>
  <c r="X99" i="6"/>
  <c r="V99" i="6"/>
  <c r="C99" i="4" s="1"/>
  <c r="X100" i="3"/>
  <c r="V100" i="3"/>
  <c r="F100" i="3"/>
  <c r="G100" i="3" s="1"/>
  <c r="M101" i="6"/>
  <c r="N101" i="6" s="1"/>
  <c r="O101" i="6" s="1"/>
  <c r="T101" i="6" s="1"/>
  <c r="L102" i="6"/>
  <c r="U100" i="6"/>
  <c r="W99" i="3"/>
  <c r="Z99" i="3" s="1"/>
  <c r="AH99" i="3" s="1"/>
  <c r="W100" i="6"/>
  <c r="G100" i="6"/>
  <c r="H97" i="4"/>
  <c r="AD50" i="3"/>
  <c r="AE50" i="3" s="1"/>
  <c r="AF50" i="3"/>
  <c r="Z98" i="6"/>
  <c r="D98" i="11"/>
  <c r="C99" i="11"/>
  <c r="F101" i="6"/>
  <c r="K100" i="6"/>
  <c r="E98" i="11"/>
  <c r="F98" i="4"/>
  <c r="P98" i="4" s="1"/>
  <c r="I101" i="6"/>
  <c r="H102" i="6"/>
  <c r="M102" i="3"/>
  <c r="N102" i="3" s="1"/>
  <c r="O102" i="3" s="1"/>
  <c r="T102" i="3" s="1"/>
  <c r="L103" i="3"/>
  <c r="U101" i="3"/>
  <c r="I101" i="3"/>
  <c r="K101" i="3" s="1"/>
  <c r="AD48" i="6"/>
  <c r="AE48" i="6" s="1"/>
  <c r="AF48" i="6"/>
  <c r="M46" i="4" l="1"/>
  <c r="K46" i="4"/>
  <c r="L46" i="4" s="1"/>
  <c r="AJ98" i="6"/>
  <c r="AH99" i="6"/>
  <c r="AJ99" i="3"/>
  <c r="AG48" i="6"/>
  <c r="D48" i="9" s="1"/>
  <c r="AG50" i="3"/>
  <c r="C50" i="9" s="1"/>
  <c r="C6" i="10" s="1"/>
  <c r="F98" i="11"/>
  <c r="X100" i="6"/>
  <c r="V100" i="6"/>
  <c r="C100" i="4" s="1"/>
  <c r="W101" i="6"/>
  <c r="G101" i="6"/>
  <c r="E99" i="11"/>
  <c r="F99" i="4"/>
  <c r="P99" i="4" s="1"/>
  <c r="C100" i="11"/>
  <c r="F101" i="3"/>
  <c r="G101" i="3" s="1"/>
  <c r="X101" i="3"/>
  <c r="V101" i="3"/>
  <c r="M103" i="3"/>
  <c r="N103" i="3" s="1"/>
  <c r="O103" i="3" s="1"/>
  <c r="T103" i="3" s="1"/>
  <c r="L104" i="3"/>
  <c r="H98" i="4"/>
  <c r="U102" i="3"/>
  <c r="Z99" i="6"/>
  <c r="AJ99" i="6" s="1"/>
  <c r="D99" i="11"/>
  <c r="I102" i="3"/>
  <c r="K102" i="3" s="1"/>
  <c r="M102" i="6"/>
  <c r="N102" i="6" s="1"/>
  <c r="O102" i="6" s="1"/>
  <c r="T102" i="6" s="1"/>
  <c r="L103" i="6"/>
  <c r="W100" i="3"/>
  <c r="Z100" i="3" s="1"/>
  <c r="F102" i="6"/>
  <c r="K101" i="6"/>
  <c r="U101" i="6"/>
  <c r="I102" i="6"/>
  <c r="H103" i="6"/>
  <c r="N46" i="4" l="1"/>
  <c r="G47" i="4" s="1"/>
  <c r="J47" i="4" s="1"/>
  <c r="AA49" i="6"/>
  <c r="AC49" i="6" s="1"/>
  <c r="AD49" i="6" s="1"/>
  <c r="AE49" i="6" s="1"/>
  <c r="AA51" i="3"/>
  <c r="AC51" i="3" s="1"/>
  <c r="AD51" i="3" s="1"/>
  <c r="AE51" i="3" s="1"/>
  <c r="AH100" i="3"/>
  <c r="AJ100" i="3" s="1"/>
  <c r="AH100" i="6"/>
  <c r="F99" i="11"/>
  <c r="X102" i="3"/>
  <c r="V102" i="3"/>
  <c r="F103" i="6"/>
  <c r="K102" i="6"/>
  <c r="M103" i="6"/>
  <c r="N103" i="6" s="1"/>
  <c r="O103" i="6" s="1"/>
  <c r="T103" i="6" s="1"/>
  <c r="L104" i="6"/>
  <c r="W101" i="3"/>
  <c r="Z101" i="3" s="1"/>
  <c r="AH101" i="3" s="1"/>
  <c r="I103" i="3"/>
  <c r="K103" i="3" s="1"/>
  <c r="F100" i="4"/>
  <c r="P100" i="4" s="1"/>
  <c r="E100" i="11"/>
  <c r="U102" i="6"/>
  <c r="F102" i="3"/>
  <c r="G102" i="3" s="1"/>
  <c r="X101" i="6"/>
  <c r="V101" i="6"/>
  <c r="C101" i="4" s="1"/>
  <c r="Z100" i="6"/>
  <c r="D100" i="11"/>
  <c r="I103" i="6"/>
  <c r="H104" i="6"/>
  <c r="W102" i="6"/>
  <c r="G102" i="6"/>
  <c r="M104" i="3"/>
  <c r="N104" i="3" s="1"/>
  <c r="O104" i="3" s="1"/>
  <c r="T104" i="3" s="1"/>
  <c r="L105" i="3"/>
  <c r="H99" i="4"/>
  <c r="U103" i="3"/>
  <c r="C101" i="11"/>
  <c r="E46" i="9" l="1"/>
  <c r="K47" i="4"/>
  <c r="L47" i="4" s="1"/>
  <c r="M47" i="4"/>
  <c r="AF49" i="6"/>
  <c r="AG49" i="6" s="1"/>
  <c r="AA50" i="6" s="1"/>
  <c r="AC50" i="6" s="1"/>
  <c r="AF51" i="3"/>
  <c r="AG51" i="3" s="1"/>
  <c r="AA52" i="3" s="1"/>
  <c r="AC52" i="3" s="1"/>
  <c r="AJ100" i="6"/>
  <c r="AJ101" i="3"/>
  <c r="AH101" i="6"/>
  <c r="F100" i="11"/>
  <c r="H100" i="4"/>
  <c r="E101" i="11"/>
  <c r="F101" i="4"/>
  <c r="P101" i="4" s="1"/>
  <c r="I104" i="6"/>
  <c r="H105" i="6"/>
  <c r="I104" i="3"/>
  <c r="K104" i="3" s="1"/>
  <c r="F103" i="3"/>
  <c r="G103" i="3" s="1"/>
  <c r="D101" i="11"/>
  <c r="Z101" i="6"/>
  <c r="X103" i="3"/>
  <c r="V103" i="3"/>
  <c r="M104" i="6"/>
  <c r="N104" i="6" s="1"/>
  <c r="O104" i="6" s="1"/>
  <c r="T104" i="6" s="1"/>
  <c r="L105" i="6"/>
  <c r="W102" i="3"/>
  <c r="Z102" i="3" s="1"/>
  <c r="AH102" i="6" s="1"/>
  <c r="U103" i="6"/>
  <c r="U104" i="3"/>
  <c r="G103" i="6"/>
  <c r="W103" i="6"/>
  <c r="F104" i="6"/>
  <c r="K103" i="6"/>
  <c r="C102" i="11"/>
  <c r="M105" i="3"/>
  <c r="N105" i="3" s="1"/>
  <c r="O105" i="3" s="1"/>
  <c r="T105" i="3" s="1"/>
  <c r="L106" i="3"/>
  <c r="X102" i="6"/>
  <c r="V102" i="6"/>
  <c r="N47" i="4" l="1"/>
  <c r="E47" i="9" s="1"/>
  <c r="AJ101" i="6"/>
  <c r="AH102" i="3"/>
  <c r="AJ102" i="3" s="1"/>
  <c r="D49" i="9"/>
  <c r="C51" i="9"/>
  <c r="F101" i="11"/>
  <c r="X104" i="3"/>
  <c r="V104" i="3"/>
  <c r="X103" i="6"/>
  <c r="V103" i="6"/>
  <c r="C103" i="4" s="1"/>
  <c r="I105" i="3"/>
  <c r="K105" i="3" s="1"/>
  <c r="F104" i="3"/>
  <c r="G104" i="3" s="1"/>
  <c r="W103" i="3"/>
  <c r="Z103" i="3" s="1"/>
  <c r="AH103" i="3" s="1"/>
  <c r="I105" i="6"/>
  <c r="H106" i="6"/>
  <c r="F105" i="6"/>
  <c r="K104" i="6"/>
  <c r="M106" i="3"/>
  <c r="N106" i="3" s="1"/>
  <c r="O106" i="3" s="1"/>
  <c r="T106" i="3" s="1"/>
  <c r="L107" i="3"/>
  <c r="W104" i="6"/>
  <c r="G104" i="6"/>
  <c r="Z102" i="6"/>
  <c r="AJ102" i="6" s="1"/>
  <c r="D102" i="11"/>
  <c r="U105" i="3"/>
  <c r="C102" i="4"/>
  <c r="M105" i="6"/>
  <c r="N105" i="6" s="1"/>
  <c r="O105" i="6" s="1"/>
  <c r="T105" i="6" s="1"/>
  <c r="L106" i="6"/>
  <c r="U104" i="6"/>
  <c r="H101" i="4"/>
  <c r="C103" i="11"/>
  <c r="AD50" i="6"/>
  <c r="AE50" i="6" s="1"/>
  <c r="AF50" i="6"/>
  <c r="AD52" i="3"/>
  <c r="AE52" i="3" s="1"/>
  <c r="AF52" i="3"/>
  <c r="G48" i="4" l="1"/>
  <c r="J48" i="4" s="1"/>
  <c r="AJ103" i="3"/>
  <c r="AH103" i="6"/>
  <c r="AG50" i="6"/>
  <c r="D50" i="9" s="1"/>
  <c r="H6" i="10" s="1"/>
  <c r="AG52" i="3"/>
  <c r="AA53" i="3" s="1"/>
  <c r="AC53" i="3" s="1"/>
  <c r="X104" i="6"/>
  <c r="V104" i="6"/>
  <c r="X105" i="3"/>
  <c r="V105" i="3"/>
  <c r="E103" i="11"/>
  <c r="F103" i="4"/>
  <c r="P103" i="4" s="1"/>
  <c r="F106" i="6"/>
  <c r="K105" i="6"/>
  <c r="M106" i="6"/>
  <c r="N106" i="6" s="1"/>
  <c r="O106" i="6" s="1"/>
  <c r="T106" i="6" s="1"/>
  <c r="L107" i="6"/>
  <c r="E102" i="11"/>
  <c r="F102" i="11" s="1"/>
  <c r="F102" i="4"/>
  <c r="P102" i="4" s="1"/>
  <c r="W104" i="3"/>
  <c r="Z104" i="3" s="1"/>
  <c r="I106" i="3"/>
  <c r="K106" i="3" s="1"/>
  <c r="U105" i="6"/>
  <c r="F105" i="3"/>
  <c r="G105" i="3" s="1"/>
  <c r="Z103" i="6"/>
  <c r="D103" i="11"/>
  <c r="U106" i="3"/>
  <c r="C104" i="11"/>
  <c r="W105" i="6"/>
  <c r="G105" i="6"/>
  <c r="M107" i="3"/>
  <c r="N107" i="3" s="1"/>
  <c r="O107" i="3" s="1"/>
  <c r="T107" i="3" s="1"/>
  <c r="L108" i="3"/>
  <c r="I106" i="6"/>
  <c r="H107" i="6"/>
  <c r="M48" i="4" l="1"/>
  <c r="K48" i="4"/>
  <c r="L48" i="4" s="1"/>
  <c r="AA51" i="6"/>
  <c r="AC51" i="6" s="1"/>
  <c r="AD51" i="6" s="1"/>
  <c r="AE51" i="6" s="1"/>
  <c r="AJ103" i="6"/>
  <c r="AH104" i="6"/>
  <c r="AH104" i="3"/>
  <c r="AJ104" i="3" s="1"/>
  <c r="C52" i="9"/>
  <c r="F103" i="11"/>
  <c r="H102" i="4"/>
  <c r="X106" i="3"/>
  <c r="V106" i="3"/>
  <c r="M107" i="6"/>
  <c r="N107" i="6" s="1"/>
  <c r="O107" i="6" s="1"/>
  <c r="T107" i="6" s="1"/>
  <c r="L108" i="6"/>
  <c r="U106" i="6"/>
  <c r="I107" i="6"/>
  <c r="H108" i="6"/>
  <c r="W106" i="6"/>
  <c r="G106" i="6"/>
  <c r="H103" i="4"/>
  <c r="U107" i="3"/>
  <c r="F107" i="6"/>
  <c r="K106" i="6"/>
  <c r="M108" i="3"/>
  <c r="N108" i="3" s="1"/>
  <c r="O108" i="3" s="1"/>
  <c r="T108" i="3" s="1"/>
  <c r="L109" i="3"/>
  <c r="W105" i="3"/>
  <c r="Z105" i="3" s="1"/>
  <c r="C105" i="11"/>
  <c r="D104" i="11"/>
  <c r="Z104" i="6"/>
  <c r="C104" i="4"/>
  <c r="I107" i="3"/>
  <c r="K107" i="3" s="1"/>
  <c r="F106" i="3"/>
  <c r="G106" i="3" s="1"/>
  <c r="X105" i="6"/>
  <c r="V105" i="6"/>
  <c r="C105" i="4" s="1"/>
  <c r="AD53" i="3"/>
  <c r="AE53" i="3" s="1"/>
  <c r="AF53" i="3"/>
  <c r="N48" i="4" l="1"/>
  <c r="E48" i="9" s="1"/>
  <c r="AJ104" i="6"/>
  <c r="AF51" i="6"/>
  <c r="AG51" i="6" s="1"/>
  <c r="D51" i="9" s="1"/>
  <c r="AH105" i="3"/>
  <c r="AJ105" i="3" s="1"/>
  <c r="AH105" i="6"/>
  <c r="AG53" i="3"/>
  <c r="AA54" i="3" s="1"/>
  <c r="AC54" i="3" s="1"/>
  <c r="X107" i="3"/>
  <c r="V107" i="3"/>
  <c r="X106" i="6"/>
  <c r="V106" i="6"/>
  <c r="C106" i="4" s="1"/>
  <c r="I108" i="6"/>
  <c r="H109" i="6"/>
  <c r="E105" i="11"/>
  <c r="F105" i="4"/>
  <c r="P105" i="4" s="1"/>
  <c r="F108" i="6"/>
  <c r="K107" i="6"/>
  <c r="Z105" i="6"/>
  <c r="D105" i="11"/>
  <c r="M108" i="6"/>
  <c r="N108" i="6" s="1"/>
  <c r="O108" i="6" s="1"/>
  <c r="T108" i="6" s="1"/>
  <c r="L109" i="6"/>
  <c r="M109" i="3"/>
  <c r="N109" i="3" s="1"/>
  <c r="O109" i="3" s="1"/>
  <c r="T109" i="3" s="1"/>
  <c r="L110" i="3"/>
  <c r="U107" i="6"/>
  <c r="W106" i="3"/>
  <c r="Z106" i="3" s="1"/>
  <c r="U108" i="3"/>
  <c r="C106" i="11"/>
  <c r="F107" i="3"/>
  <c r="G107" i="3" s="1"/>
  <c r="W107" i="6"/>
  <c r="G107" i="6"/>
  <c r="I108" i="3"/>
  <c r="K108" i="3" s="1"/>
  <c r="E104" i="11"/>
  <c r="F104" i="11" s="1"/>
  <c r="F104" i="4"/>
  <c r="P104" i="4" s="1"/>
  <c r="G49" i="4" l="1"/>
  <c r="J49" i="4" s="1"/>
  <c r="AH106" i="3"/>
  <c r="AJ106" i="3" s="1"/>
  <c r="AH106" i="6"/>
  <c r="AJ105" i="6"/>
  <c r="C53" i="9"/>
  <c r="AA52" i="6"/>
  <c r="AC52" i="6" s="1"/>
  <c r="AF52" i="6" s="1"/>
  <c r="F105" i="11"/>
  <c r="X108" i="3"/>
  <c r="V108" i="3"/>
  <c r="X107" i="6"/>
  <c r="V107" i="6"/>
  <c r="C107" i="4" s="1"/>
  <c r="I109" i="3"/>
  <c r="K109" i="3" s="1"/>
  <c r="M109" i="6"/>
  <c r="N109" i="6" s="1"/>
  <c r="O109" i="6" s="1"/>
  <c r="T109" i="6" s="1"/>
  <c r="L110" i="6"/>
  <c r="U108" i="6"/>
  <c r="F106" i="4"/>
  <c r="P106" i="4" s="1"/>
  <c r="E106" i="11"/>
  <c r="AD54" i="3"/>
  <c r="AE54" i="3" s="1"/>
  <c r="AF54" i="3"/>
  <c r="G108" i="6"/>
  <c r="W108" i="6"/>
  <c r="H105" i="4"/>
  <c r="I109" i="6"/>
  <c r="H110" i="6"/>
  <c r="H104" i="4"/>
  <c r="F109" i="6"/>
  <c r="K108" i="6"/>
  <c r="D106" i="11"/>
  <c r="Z106" i="6"/>
  <c r="U109" i="3"/>
  <c r="F108" i="3"/>
  <c r="G108" i="3" s="1"/>
  <c r="C107" i="11"/>
  <c r="M110" i="3"/>
  <c r="N110" i="3" s="1"/>
  <c r="O110" i="3" s="1"/>
  <c r="T110" i="3" s="1"/>
  <c r="L111" i="3"/>
  <c r="W107" i="3"/>
  <c r="Z107" i="3" s="1"/>
  <c r="K49" i="4" l="1"/>
  <c r="L49" i="4" s="1"/>
  <c r="M49" i="4"/>
  <c r="AH107" i="3"/>
  <c r="AJ107" i="3" s="1"/>
  <c r="AJ106" i="6"/>
  <c r="AH107" i="6"/>
  <c r="AD52" i="6"/>
  <c r="AE52" i="6" s="1"/>
  <c r="AG52" i="6" s="1"/>
  <c r="AA53" i="6" s="1"/>
  <c r="AC53" i="6" s="1"/>
  <c r="AG54" i="3"/>
  <c r="C54" i="9" s="1"/>
  <c r="F106" i="11"/>
  <c r="X108" i="6"/>
  <c r="V108" i="6"/>
  <c r="C108" i="4" s="1"/>
  <c r="H106" i="4"/>
  <c r="W109" i="6"/>
  <c r="G109" i="6"/>
  <c r="M110" i="6"/>
  <c r="N110" i="6" s="1"/>
  <c r="O110" i="6" s="1"/>
  <c r="T110" i="6" s="1"/>
  <c r="L111" i="6"/>
  <c r="U109" i="6"/>
  <c r="I110" i="3"/>
  <c r="K110" i="3" s="1"/>
  <c r="F109" i="3"/>
  <c r="G109" i="3" s="1"/>
  <c r="W108" i="3"/>
  <c r="Z108" i="3" s="1"/>
  <c r="AH108" i="6" s="1"/>
  <c r="D107" i="11"/>
  <c r="Z107" i="6"/>
  <c r="E107" i="11"/>
  <c r="F107" i="4"/>
  <c r="P107" i="4" s="1"/>
  <c r="U110" i="3"/>
  <c r="M111" i="3"/>
  <c r="N111" i="3" s="1"/>
  <c r="O111" i="3" s="1"/>
  <c r="T111" i="3" s="1"/>
  <c r="L112" i="3"/>
  <c r="C108" i="11"/>
  <c r="F110" i="6"/>
  <c r="K109" i="6"/>
  <c r="I110" i="6"/>
  <c r="H111" i="6"/>
  <c r="X109" i="3"/>
  <c r="V109" i="3"/>
  <c r="N49" i="4" l="1"/>
  <c r="G50" i="4" s="1"/>
  <c r="J50" i="4" s="1"/>
  <c r="AJ107" i="6"/>
  <c r="AH108" i="3"/>
  <c r="AJ108" i="3" s="1"/>
  <c r="AA55" i="3"/>
  <c r="AC55" i="3" s="1"/>
  <c r="AD55" i="3" s="1"/>
  <c r="AE55" i="3" s="1"/>
  <c r="D52" i="9"/>
  <c r="F107" i="11"/>
  <c r="W109" i="3"/>
  <c r="Z109" i="3" s="1"/>
  <c r="U111" i="3"/>
  <c r="C109" i="11"/>
  <c r="U110" i="6"/>
  <c r="M111" i="6"/>
  <c r="N111" i="6" s="1"/>
  <c r="O111" i="6" s="1"/>
  <c r="T111" i="6" s="1"/>
  <c r="L112" i="6"/>
  <c r="H107" i="4"/>
  <c r="F110" i="3"/>
  <c r="G110" i="3" s="1"/>
  <c r="I111" i="6"/>
  <c r="H112" i="6"/>
  <c r="F111" i="6"/>
  <c r="K110" i="6"/>
  <c r="I111" i="3"/>
  <c r="K111" i="3" s="1"/>
  <c r="X109" i="6"/>
  <c r="V109" i="6"/>
  <c r="AD53" i="6"/>
  <c r="AE53" i="6" s="1"/>
  <c r="AF53" i="6"/>
  <c r="D108" i="11"/>
  <c r="Z108" i="6"/>
  <c r="AJ108" i="6" s="1"/>
  <c r="M112" i="3"/>
  <c r="N112" i="3" s="1"/>
  <c r="O112" i="3" s="1"/>
  <c r="T112" i="3" s="1"/>
  <c r="L113" i="3"/>
  <c r="G110" i="6"/>
  <c r="W110" i="6"/>
  <c r="X110" i="3"/>
  <c r="V110" i="3"/>
  <c r="E108" i="11"/>
  <c r="F108" i="4"/>
  <c r="P108" i="4" s="1"/>
  <c r="E49" i="9" l="1"/>
  <c r="K50" i="4"/>
  <c r="L50" i="4" s="1"/>
  <c r="AH109" i="6"/>
  <c r="AH109" i="3"/>
  <c r="AJ109" i="3" s="1"/>
  <c r="AF55" i="3"/>
  <c r="AG55" i="3" s="1"/>
  <c r="AA56" i="3" s="1"/>
  <c r="AC56" i="3" s="1"/>
  <c r="F108" i="11"/>
  <c r="AG53" i="6"/>
  <c r="D53" i="9" s="1"/>
  <c r="X110" i="6"/>
  <c r="V110" i="6"/>
  <c r="C110" i="4" s="1"/>
  <c r="X111" i="3"/>
  <c r="V111" i="3"/>
  <c r="F112" i="6"/>
  <c r="K111" i="6"/>
  <c r="C110" i="11"/>
  <c r="W110" i="3"/>
  <c r="Z110" i="3" s="1"/>
  <c r="AH110" i="3" s="1"/>
  <c r="U111" i="6"/>
  <c r="D109" i="11"/>
  <c r="Z109" i="6"/>
  <c r="U112" i="3"/>
  <c r="H108" i="4"/>
  <c r="I112" i="3"/>
  <c r="K112" i="3" s="1"/>
  <c r="C109" i="4"/>
  <c r="F111" i="3"/>
  <c r="G111" i="3" s="1"/>
  <c r="M112" i="6"/>
  <c r="N112" i="6" s="1"/>
  <c r="O112" i="6" s="1"/>
  <c r="T112" i="6" s="1"/>
  <c r="L113" i="6"/>
  <c r="W111" i="6"/>
  <c r="G111" i="6"/>
  <c r="M113" i="3"/>
  <c r="N113" i="3" s="1"/>
  <c r="O113" i="3" s="1"/>
  <c r="T113" i="3" s="1"/>
  <c r="L114" i="3"/>
  <c r="I112" i="6"/>
  <c r="H113" i="6"/>
  <c r="M50" i="4" l="1"/>
  <c r="N50" i="4" s="1"/>
  <c r="AJ109" i="6"/>
  <c r="AH110" i="6"/>
  <c r="AJ110" i="3"/>
  <c r="C55" i="9"/>
  <c r="AA54" i="6"/>
  <c r="AC54" i="6" s="1"/>
  <c r="AF54" i="6" s="1"/>
  <c r="F110" i="4"/>
  <c r="P110" i="4" s="1"/>
  <c r="E110" i="11"/>
  <c r="I113" i="3"/>
  <c r="K113" i="3" s="1"/>
  <c r="F112" i="3"/>
  <c r="G112" i="3" s="1"/>
  <c r="F113" i="6"/>
  <c r="K112" i="6"/>
  <c r="W112" i="6"/>
  <c r="G112" i="6"/>
  <c r="C111" i="11"/>
  <c r="U113" i="3"/>
  <c r="F109" i="4"/>
  <c r="P109" i="4" s="1"/>
  <c r="E109" i="11"/>
  <c r="F109" i="11" s="1"/>
  <c r="Z110" i="6"/>
  <c r="D110" i="11"/>
  <c r="M114" i="3"/>
  <c r="N114" i="3" s="1"/>
  <c r="O114" i="3" s="1"/>
  <c r="T114" i="3" s="1"/>
  <c r="L115" i="3"/>
  <c r="I113" i="6"/>
  <c r="H114" i="6"/>
  <c r="X112" i="3"/>
  <c r="V112" i="3"/>
  <c r="X111" i="6"/>
  <c r="V111" i="6"/>
  <c r="AF56" i="3"/>
  <c r="AD56" i="3"/>
  <c r="AE56" i="3" s="1"/>
  <c r="U112" i="6"/>
  <c r="W111" i="3"/>
  <c r="Z111" i="3" s="1"/>
  <c r="M113" i="6"/>
  <c r="N113" i="6" s="1"/>
  <c r="O113" i="6" s="1"/>
  <c r="T113" i="6" s="1"/>
  <c r="L114" i="6"/>
  <c r="E50" i="9" l="1"/>
  <c r="M6" i="10" s="1"/>
  <c r="G51" i="4"/>
  <c r="J51" i="4" s="1"/>
  <c r="AJ110" i="6"/>
  <c r="AH111" i="3"/>
  <c r="AJ111" i="3" s="1"/>
  <c r="AH111" i="6"/>
  <c r="AD54" i="6"/>
  <c r="AE54" i="6" s="1"/>
  <c r="AG54" i="6" s="1"/>
  <c r="AA55" i="6" s="1"/>
  <c r="AC55" i="6" s="1"/>
  <c r="AG56" i="3"/>
  <c r="AA57" i="3" s="1"/>
  <c r="AC57" i="3" s="1"/>
  <c r="F110" i="11"/>
  <c r="C112" i="11"/>
  <c r="I114" i="6"/>
  <c r="H115" i="6"/>
  <c r="W113" i="6"/>
  <c r="G113" i="6"/>
  <c r="F114" i="6"/>
  <c r="K113" i="6"/>
  <c r="W112" i="3"/>
  <c r="Z112" i="3" s="1"/>
  <c r="M115" i="3"/>
  <c r="N115" i="3" s="1"/>
  <c r="O115" i="3" s="1"/>
  <c r="T115" i="3" s="1"/>
  <c r="L116" i="3"/>
  <c r="I114" i="3"/>
  <c r="K114" i="3" s="1"/>
  <c r="F113" i="3"/>
  <c r="G113" i="3" s="1"/>
  <c r="U113" i="6"/>
  <c r="H109" i="4"/>
  <c r="X113" i="3"/>
  <c r="V113" i="3"/>
  <c r="H110" i="4"/>
  <c r="X112" i="6"/>
  <c r="V112" i="6"/>
  <c r="C112" i="4" s="1"/>
  <c r="D111" i="11"/>
  <c r="Z111" i="6"/>
  <c r="C111" i="4"/>
  <c r="M114" i="6"/>
  <c r="N114" i="6" s="1"/>
  <c r="O114" i="6" s="1"/>
  <c r="T114" i="6" s="1"/>
  <c r="L115" i="6"/>
  <c r="U114" i="3"/>
  <c r="AJ111" i="6" l="1"/>
  <c r="M51" i="4"/>
  <c r="K51" i="4"/>
  <c r="L51" i="4" s="1"/>
  <c r="C56" i="9"/>
  <c r="D54" i="9"/>
  <c r="AH112" i="6"/>
  <c r="AH112" i="3"/>
  <c r="AJ112" i="3" s="1"/>
  <c r="X113" i="6"/>
  <c r="V113" i="6"/>
  <c r="C113" i="4" s="1"/>
  <c r="F112" i="4"/>
  <c r="P112" i="4" s="1"/>
  <c r="E112" i="11"/>
  <c r="C113" i="11"/>
  <c r="U115" i="3"/>
  <c r="W114" i="6"/>
  <c r="G114" i="6"/>
  <c r="AD55" i="6"/>
  <c r="AE55" i="6" s="1"/>
  <c r="AF55" i="6"/>
  <c r="E111" i="11"/>
  <c r="F111" i="11" s="1"/>
  <c r="F111" i="4"/>
  <c r="P111" i="4" s="1"/>
  <c r="AF57" i="3"/>
  <c r="AD57" i="3"/>
  <c r="AE57" i="3" s="1"/>
  <c r="I115" i="6"/>
  <c r="H116" i="6"/>
  <c r="X114" i="3"/>
  <c r="V114" i="3"/>
  <c r="F115" i="6"/>
  <c r="K114" i="6"/>
  <c r="U114" i="6"/>
  <c r="M115" i="6"/>
  <c r="N115" i="6" s="1"/>
  <c r="O115" i="6" s="1"/>
  <c r="T115" i="6" s="1"/>
  <c r="L116" i="6"/>
  <c r="W113" i="3"/>
  <c r="Z113" i="3" s="1"/>
  <c r="I115" i="3"/>
  <c r="K115" i="3" s="1"/>
  <c r="D112" i="11"/>
  <c r="Z112" i="6"/>
  <c r="F114" i="3"/>
  <c r="G114" i="3" s="1"/>
  <c r="M116" i="3"/>
  <c r="N116" i="3" s="1"/>
  <c r="O116" i="3" s="1"/>
  <c r="T116" i="3" s="1"/>
  <c r="L117" i="3"/>
  <c r="N51" i="4" l="1"/>
  <c r="G52" i="4" s="1"/>
  <c r="J52" i="4" s="1"/>
  <c r="AJ112" i="6"/>
  <c r="AH113" i="6"/>
  <c r="AH113" i="3"/>
  <c r="AJ113" i="3" s="1"/>
  <c r="AG55" i="6"/>
  <c r="AA56" i="6" s="1"/>
  <c r="AC56" i="6" s="1"/>
  <c r="AG57" i="3"/>
  <c r="AA58" i="3" s="1"/>
  <c r="AC58" i="3" s="1"/>
  <c r="F112" i="11"/>
  <c r="X114" i="6"/>
  <c r="V114" i="6"/>
  <c r="C114" i="4" s="1"/>
  <c r="W115" i="6"/>
  <c r="G115" i="6"/>
  <c r="I116" i="3"/>
  <c r="K116" i="3" s="1"/>
  <c r="C114" i="11"/>
  <c r="F115" i="3"/>
  <c r="G115" i="3" s="1"/>
  <c r="H111" i="4"/>
  <c r="H112" i="4"/>
  <c r="F116" i="6"/>
  <c r="K115" i="6"/>
  <c r="X115" i="3"/>
  <c r="V115" i="3"/>
  <c r="M116" i="6"/>
  <c r="N116" i="6" s="1"/>
  <c r="O116" i="6" s="1"/>
  <c r="T116" i="6" s="1"/>
  <c r="L117" i="6"/>
  <c r="W114" i="3"/>
  <c r="Z114" i="3" s="1"/>
  <c r="AH114" i="3" s="1"/>
  <c r="I116" i="6"/>
  <c r="H117" i="6"/>
  <c r="U115" i="6"/>
  <c r="Z113" i="6"/>
  <c r="D113" i="11"/>
  <c r="U116" i="3"/>
  <c r="E113" i="11"/>
  <c r="F113" i="4"/>
  <c r="P113" i="4" s="1"/>
  <c r="M117" i="3"/>
  <c r="N117" i="3" s="1"/>
  <c r="O117" i="3" s="1"/>
  <c r="T117" i="3" s="1"/>
  <c r="L118" i="3"/>
  <c r="E51" i="9" l="1"/>
  <c r="M52" i="4"/>
  <c r="K52" i="4"/>
  <c r="L52" i="4" s="1"/>
  <c r="D55" i="9"/>
  <c r="C57" i="9"/>
  <c r="AJ113" i="6"/>
  <c r="AH114" i="6"/>
  <c r="AJ114" i="3"/>
  <c r="F113" i="11"/>
  <c r="X116" i="3"/>
  <c r="V116" i="3"/>
  <c r="M117" i="6"/>
  <c r="N117" i="6" s="1"/>
  <c r="O117" i="6" s="1"/>
  <c r="T117" i="6" s="1"/>
  <c r="L118" i="6"/>
  <c r="W115" i="3"/>
  <c r="Z115" i="3" s="1"/>
  <c r="U116" i="6"/>
  <c r="M118" i="3"/>
  <c r="N118" i="3" s="1"/>
  <c r="O118" i="3" s="1"/>
  <c r="T118" i="3" s="1"/>
  <c r="L119" i="3"/>
  <c r="E114" i="11"/>
  <c r="F114" i="4"/>
  <c r="P114" i="4" s="1"/>
  <c r="C115" i="11"/>
  <c r="AF58" i="3"/>
  <c r="AD58" i="3"/>
  <c r="AE58" i="3" s="1"/>
  <c r="I117" i="3"/>
  <c r="K117" i="3" s="1"/>
  <c r="F116" i="3"/>
  <c r="G116" i="3" s="1"/>
  <c r="X115" i="6"/>
  <c r="V115" i="6"/>
  <c r="W116" i="6"/>
  <c r="G116" i="6"/>
  <c r="AF56" i="6"/>
  <c r="AD56" i="6"/>
  <c r="AE56" i="6" s="1"/>
  <c r="H113" i="4"/>
  <c r="I117" i="6"/>
  <c r="H118" i="6"/>
  <c r="F117" i="6"/>
  <c r="K116" i="6"/>
  <c r="U117" i="3"/>
  <c r="Z114" i="6"/>
  <c r="D114" i="11"/>
  <c r="N52" i="4" l="1"/>
  <c r="G53" i="4" s="1"/>
  <c r="J53" i="4" s="1"/>
  <c r="AJ114" i="6"/>
  <c r="AH115" i="6"/>
  <c r="AH115" i="3"/>
  <c r="AJ115" i="3" s="1"/>
  <c r="AG58" i="3"/>
  <c r="AA59" i="3" s="1"/>
  <c r="AC59" i="3" s="1"/>
  <c r="AG56" i="6"/>
  <c r="D56" i="9" s="1"/>
  <c r="F114" i="11"/>
  <c r="X116" i="6"/>
  <c r="V116" i="6"/>
  <c r="C116" i="4" s="1"/>
  <c r="X117" i="3"/>
  <c r="V117" i="3"/>
  <c r="H114" i="4"/>
  <c r="D115" i="11"/>
  <c r="Z115" i="6"/>
  <c r="AJ115" i="6" s="1"/>
  <c r="M119" i="3"/>
  <c r="N119" i="3" s="1"/>
  <c r="O119" i="3" s="1"/>
  <c r="T119" i="3" s="1"/>
  <c r="L120" i="3"/>
  <c r="I118" i="6"/>
  <c r="H119" i="6"/>
  <c r="F117" i="3"/>
  <c r="G117" i="3" s="1"/>
  <c r="I118" i="3"/>
  <c r="K118" i="3" s="1"/>
  <c r="U118" i="3"/>
  <c r="M118" i="6"/>
  <c r="N118" i="6" s="1"/>
  <c r="O118" i="6" s="1"/>
  <c r="T118" i="6" s="1"/>
  <c r="L119" i="6"/>
  <c r="U117" i="6"/>
  <c r="C116" i="11"/>
  <c r="G117" i="6"/>
  <c r="W117" i="6"/>
  <c r="C115" i="4"/>
  <c r="W116" i="3"/>
  <c r="Z116" i="3" s="1"/>
  <c r="F118" i="6"/>
  <c r="K117" i="6"/>
  <c r="E52" i="9" l="1"/>
  <c r="K53" i="4"/>
  <c r="L53" i="4" s="1"/>
  <c r="M53" i="4"/>
  <c r="C58" i="9"/>
  <c r="AA57" i="6"/>
  <c r="AC57" i="6" s="1"/>
  <c r="AD57" i="6" s="1"/>
  <c r="AE57" i="6" s="1"/>
  <c r="AH116" i="3"/>
  <c r="AJ116" i="3" s="1"/>
  <c r="AH116" i="6"/>
  <c r="X117" i="6"/>
  <c r="V117" i="6"/>
  <c r="C117" i="4" s="1"/>
  <c r="X118" i="3"/>
  <c r="V118" i="3"/>
  <c r="W117" i="3"/>
  <c r="Z117" i="3" s="1"/>
  <c r="I119" i="6"/>
  <c r="H120" i="6"/>
  <c r="G118" i="6"/>
  <c r="W118" i="6"/>
  <c r="AD59" i="3"/>
  <c r="AE59" i="3" s="1"/>
  <c r="AF59" i="3"/>
  <c r="U118" i="6"/>
  <c r="C117" i="11"/>
  <c r="M119" i="6"/>
  <c r="N119" i="6" s="1"/>
  <c r="O119" i="6" s="1"/>
  <c r="T119" i="6" s="1"/>
  <c r="L120" i="6"/>
  <c r="M120" i="3"/>
  <c r="N120" i="3" s="1"/>
  <c r="O120" i="3" s="1"/>
  <c r="T120" i="3" s="1"/>
  <c r="L121" i="3"/>
  <c r="F116" i="4"/>
  <c r="P116" i="4" s="1"/>
  <c r="E116" i="11"/>
  <c r="I119" i="3"/>
  <c r="K119" i="3" s="1"/>
  <c r="F118" i="3"/>
  <c r="G118" i="3" s="1"/>
  <c r="Z116" i="6"/>
  <c r="D116" i="11"/>
  <c r="U119" i="3"/>
  <c r="F119" i="6"/>
  <c r="K118" i="6"/>
  <c r="E115" i="11"/>
  <c r="F115" i="11" s="1"/>
  <c r="F115" i="4"/>
  <c r="P115" i="4" s="1"/>
  <c r="N53" i="4" l="1"/>
  <c r="G54" i="4" s="1"/>
  <c r="J54" i="4" s="1"/>
  <c r="AF57" i="6"/>
  <c r="AJ116" i="6"/>
  <c r="AH117" i="6"/>
  <c r="AH117" i="3"/>
  <c r="AJ117" i="3" s="1"/>
  <c r="AG59" i="3"/>
  <c r="AA60" i="3" s="1"/>
  <c r="AC60" i="3" s="1"/>
  <c r="AG57" i="6"/>
  <c r="AA58" i="6" s="1"/>
  <c r="AC58" i="6" s="1"/>
  <c r="F116" i="11"/>
  <c r="X118" i="6"/>
  <c r="V118" i="6"/>
  <c r="C118" i="4" s="1"/>
  <c r="F119" i="3"/>
  <c r="G119" i="3" s="1"/>
  <c r="I120" i="6"/>
  <c r="H121" i="6"/>
  <c r="F120" i="6"/>
  <c r="K119" i="6"/>
  <c r="W119" i="6"/>
  <c r="G119" i="6"/>
  <c r="X119" i="3"/>
  <c r="V119" i="3"/>
  <c r="C118" i="11"/>
  <c r="H115" i="4"/>
  <c r="U119" i="6"/>
  <c r="F117" i="4"/>
  <c r="P117" i="4" s="1"/>
  <c r="E117" i="11"/>
  <c r="H116" i="4"/>
  <c r="M120" i="6"/>
  <c r="N120" i="6" s="1"/>
  <c r="O120" i="6" s="1"/>
  <c r="T120" i="6" s="1"/>
  <c r="L121" i="6"/>
  <c r="M121" i="3"/>
  <c r="N121" i="3" s="1"/>
  <c r="O121" i="3" s="1"/>
  <c r="T121" i="3" s="1"/>
  <c r="L122" i="3"/>
  <c r="U120" i="3"/>
  <c r="W118" i="3"/>
  <c r="Z118" i="3" s="1"/>
  <c r="D117" i="11"/>
  <c r="Z117" i="6"/>
  <c r="I120" i="3"/>
  <c r="K120" i="3" s="1"/>
  <c r="E53" i="9" l="1"/>
  <c r="K54" i="4"/>
  <c r="L54" i="4" s="1"/>
  <c r="M54" i="4"/>
  <c r="AJ117" i="6"/>
  <c r="C59" i="9"/>
  <c r="D57" i="9"/>
  <c r="AH118" i="6"/>
  <c r="AH118" i="3"/>
  <c r="AJ118" i="3" s="1"/>
  <c r="F117" i="11"/>
  <c r="M121" i="6"/>
  <c r="N121" i="6" s="1"/>
  <c r="O121" i="6" s="1"/>
  <c r="T121" i="6" s="1"/>
  <c r="L122" i="6"/>
  <c r="I121" i="3"/>
  <c r="K121" i="3" s="1"/>
  <c r="I121" i="6"/>
  <c r="H122" i="6"/>
  <c r="F121" i="6"/>
  <c r="K120" i="6"/>
  <c r="W120" i="6"/>
  <c r="G120" i="6"/>
  <c r="X120" i="3"/>
  <c r="V120" i="3"/>
  <c r="W119" i="3"/>
  <c r="Z119" i="3" s="1"/>
  <c r="U120" i="6"/>
  <c r="F118" i="4"/>
  <c r="P118" i="4" s="1"/>
  <c r="E118" i="11"/>
  <c r="AF58" i="6"/>
  <c r="AD58" i="6"/>
  <c r="AE58" i="6" s="1"/>
  <c r="F120" i="3"/>
  <c r="G120" i="3" s="1"/>
  <c r="X119" i="6"/>
  <c r="V119" i="6"/>
  <c r="AF60" i="3"/>
  <c r="AD60" i="3"/>
  <c r="AE60" i="3" s="1"/>
  <c r="H117" i="4"/>
  <c r="C119" i="11"/>
  <c r="D118" i="11"/>
  <c r="Z118" i="6"/>
  <c r="U121" i="3"/>
  <c r="M122" i="3"/>
  <c r="N122" i="3" s="1"/>
  <c r="O122" i="3" s="1"/>
  <c r="T122" i="3" s="1"/>
  <c r="L123" i="3"/>
  <c r="N54" i="4" l="1"/>
  <c r="G55" i="4" s="1"/>
  <c r="J55" i="4" s="1"/>
  <c r="AJ118" i="6"/>
  <c r="AH119" i="6"/>
  <c r="AH119" i="3"/>
  <c r="AJ119" i="3" s="1"/>
  <c r="AG60" i="3"/>
  <c r="AA61" i="3" s="1"/>
  <c r="AC61" i="3" s="1"/>
  <c r="AG58" i="6"/>
  <c r="AA59" i="6" s="1"/>
  <c r="AC59" i="6" s="1"/>
  <c r="F118" i="11"/>
  <c r="X121" i="3"/>
  <c r="V121" i="3"/>
  <c r="U122" i="3"/>
  <c r="W120" i="3"/>
  <c r="Z120" i="3" s="1"/>
  <c r="I122" i="6"/>
  <c r="H123" i="6"/>
  <c r="I122" i="3"/>
  <c r="K122" i="3" s="1"/>
  <c r="M123" i="3"/>
  <c r="N123" i="3" s="1"/>
  <c r="O123" i="3" s="1"/>
  <c r="T123" i="3" s="1"/>
  <c r="L124" i="3"/>
  <c r="F121" i="3"/>
  <c r="G121" i="3" s="1"/>
  <c r="H118" i="4"/>
  <c r="M122" i="6"/>
  <c r="N122" i="6" s="1"/>
  <c r="O122" i="6" s="1"/>
  <c r="T122" i="6" s="1"/>
  <c r="L123" i="6"/>
  <c r="F122" i="6"/>
  <c r="K121" i="6"/>
  <c r="U121" i="6"/>
  <c r="Z119" i="6"/>
  <c r="D119" i="11"/>
  <c r="W121" i="6"/>
  <c r="G121" i="6"/>
  <c r="C119" i="4"/>
  <c r="X120" i="6"/>
  <c r="V120" i="6"/>
  <c r="C120" i="4" s="1"/>
  <c r="C120" i="11"/>
  <c r="E54" i="9" l="1"/>
  <c r="AJ119" i="6"/>
  <c r="M55" i="4"/>
  <c r="K55" i="4"/>
  <c r="L55" i="4" s="1"/>
  <c r="C60" i="9"/>
  <c r="AH120" i="6"/>
  <c r="D58" i="9"/>
  <c r="AH120" i="3"/>
  <c r="AJ120" i="3" s="1"/>
  <c r="X121" i="6"/>
  <c r="V121" i="6"/>
  <c r="C121" i="4" s="1"/>
  <c r="X122" i="3"/>
  <c r="V122" i="3"/>
  <c r="E120" i="11"/>
  <c r="F120" i="4"/>
  <c r="P120" i="4" s="1"/>
  <c r="I123" i="6"/>
  <c r="H124" i="6"/>
  <c r="F122" i="3"/>
  <c r="G122" i="3" s="1"/>
  <c r="L124" i="6"/>
  <c r="M123" i="6"/>
  <c r="N123" i="6" s="1"/>
  <c r="O123" i="6" s="1"/>
  <c r="T123" i="6" s="1"/>
  <c r="F119" i="4"/>
  <c r="P119" i="4" s="1"/>
  <c r="E119" i="11"/>
  <c r="F119" i="11" s="1"/>
  <c r="C121" i="11"/>
  <c r="W121" i="3"/>
  <c r="Z121" i="3" s="1"/>
  <c r="F123" i="6"/>
  <c r="K122" i="6"/>
  <c r="M124" i="3"/>
  <c r="N124" i="3" s="1"/>
  <c r="O124" i="3" s="1"/>
  <c r="T124" i="3" s="1"/>
  <c r="L125" i="3"/>
  <c r="AD59" i="6"/>
  <c r="AE59" i="6" s="1"/>
  <c r="AF59" i="6"/>
  <c r="W122" i="6"/>
  <c r="G122" i="6"/>
  <c r="U122" i="6"/>
  <c r="U123" i="3"/>
  <c r="Z120" i="6"/>
  <c r="D120" i="11"/>
  <c r="I123" i="3"/>
  <c r="K123" i="3" s="1"/>
  <c r="AD61" i="3"/>
  <c r="AE61" i="3" s="1"/>
  <c r="AF61" i="3"/>
  <c r="N55" i="4" l="1"/>
  <c r="G56" i="4" s="1"/>
  <c r="J56" i="4" s="1"/>
  <c r="AJ120" i="6"/>
  <c r="F120" i="11"/>
  <c r="AH121" i="3"/>
  <c r="AJ121" i="3" s="1"/>
  <c r="AH121" i="6"/>
  <c r="AG61" i="3"/>
  <c r="AA62" i="3" s="1"/>
  <c r="AC62" i="3" s="1"/>
  <c r="AG59" i="6"/>
  <c r="AA60" i="6" s="1"/>
  <c r="AC60" i="6" s="1"/>
  <c r="X122" i="6"/>
  <c r="V122" i="6"/>
  <c r="C122" i="4" s="1"/>
  <c r="M124" i="6"/>
  <c r="N124" i="6" s="1"/>
  <c r="O124" i="6" s="1"/>
  <c r="T124" i="6" s="1"/>
  <c r="L125" i="6"/>
  <c r="I124" i="3"/>
  <c r="K124" i="3" s="1"/>
  <c r="F123" i="3"/>
  <c r="G123" i="3" s="1"/>
  <c r="M125" i="3"/>
  <c r="N125" i="3" s="1"/>
  <c r="O125" i="3" s="1"/>
  <c r="T125" i="3" s="1"/>
  <c r="L126" i="3"/>
  <c r="I124" i="6"/>
  <c r="H125" i="6"/>
  <c r="U123" i="6"/>
  <c r="U124" i="3"/>
  <c r="C122" i="11"/>
  <c r="W123" i="6"/>
  <c r="G123" i="6"/>
  <c r="F121" i="4"/>
  <c r="P121" i="4" s="1"/>
  <c r="E121" i="11"/>
  <c r="W122" i="3"/>
  <c r="Z122" i="3" s="1"/>
  <c r="AH122" i="3" s="1"/>
  <c r="X123" i="3"/>
  <c r="V123" i="3"/>
  <c r="Z121" i="6"/>
  <c r="D121" i="11"/>
  <c r="H120" i="4"/>
  <c r="F124" i="6"/>
  <c r="K123" i="6"/>
  <c r="H119" i="4"/>
  <c r="E55" i="9" l="1"/>
  <c r="M56" i="4"/>
  <c r="K56" i="4"/>
  <c r="L56" i="4" s="1"/>
  <c r="C61" i="9"/>
  <c r="D59" i="9"/>
  <c r="AJ121" i="6"/>
  <c r="AJ122" i="3"/>
  <c r="AH122" i="6"/>
  <c r="F121" i="11"/>
  <c r="X123" i="6"/>
  <c r="V123" i="6"/>
  <c r="C123" i="4" s="1"/>
  <c r="H121" i="4"/>
  <c r="F125" i="6"/>
  <c r="K124" i="6"/>
  <c r="U125" i="3"/>
  <c r="C123" i="11"/>
  <c r="W124" i="6"/>
  <c r="G124" i="6"/>
  <c r="F122" i="4"/>
  <c r="P122" i="4" s="1"/>
  <c r="E122" i="11"/>
  <c r="F124" i="3"/>
  <c r="G124" i="3" s="1"/>
  <c r="W123" i="3"/>
  <c r="Z123" i="3" s="1"/>
  <c r="AH123" i="3" s="1"/>
  <c r="I125" i="6"/>
  <c r="H126" i="6"/>
  <c r="I125" i="3"/>
  <c r="K125" i="3" s="1"/>
  <c r="X124" i="3"/>
  <c r="V124" i="3"/>
  <c r="M125" i="6"/>
  <c r="N125" i="6" s="1"/>
  <c r="O125" i="6" s="1"/>
  <c r="T125" i="6" s="1"/>
  <c r="L126" i="6"/>
  <c r="D122" i="11"/>
  <c r="Z122" i="6"/>
  <c r="AF62" i="3"/>
  <c r="AD62" i="3"/>
  <c r="AE62" i="3" s="1"/>
  <c r="M126" i="3"/>
  <c r="N126" i="3" s="1"/>
  <c r="O126" i="3" s="1"/>
  <c r="T126" i="3" s="1"/>
  <c r="L127" i="3"/>
  <c r="U124" i="6"/>
  <c r="AF60" i="6"/>
  <c r="AD60" i="6"/>
  <c r="AE60" i="6" s="1"/>
  <c r="N56" i="4" l="1"/>
  <c r="E56" i="9" s="1"/>
  <c r="AJ122" i="6"/>
  <c r="AJ123" i="3"/>
  <c r="AH123" i="6"/>
  <c r="AG60" i="6"/>
  <c r="AA61" i="6" s="1"/>
  <c r="AC61" i="6" s="1"/>
  <c r="F122" i="11"/>
  <c r="AG62" i="3"/>
  <c r="AA63" i="3" s="1"/>
  <c r="AC63" i="3" s="1"/>
  <c r="X125" i="3"/>
  <c r="V125" i="3"/>
  <c r="C124" i="11"/>
  <c r="M127" i="3"/>
  <c r="N127" i="3" s="1"/>
  <c r="O127" i="3" s="1"/>
  <c r="T127" i="3" s="1"/>
  <c r="L128" i="3"/>
  <c r="W125" i="6"/>
  <c r="G125" i="6"/>
  <c r="I126" i="3"/>
  <c r="K126" i="3" s="1"/>
  <c r="I126" i="6"/>
  <c r="H127" i="6"/>
  <c r="D123" i="11"/>
  <c r="Z123" i="6"/>
  <c r="X124" i="6"/>
  <c r="V124" i="6"/>
  <c r="U126" i="3"/>
  <c r="M126" i="6"/>
  <c r="N126" i="6" s="1"/>
  <c r="O126" i="6" s="1"/>
  <c r="T126" i="6" s="1"/>
  <c r="L127" i="6"/>
  <c r="W124" i="3"/>
  <c r="Z124" i="3" s="1"/>
  <c r="H122" i="4"/>
  <c r="E123" i="11"/>
  <c r="F123" i="4"/>
  <c r="P123" i="4" s="1"/>
  <c r="F125" i="3"/>
  <c r="G125" i="3" s="1"/>
  <c r="F126" i="6"/>
  <c r="K125" i="6"/>
  <c r="U125" i="6"/>
  <c r="G57" i="4" l="1"/>
  <c r="J57" i="4" s="1"/>
  <c r="M57" i="4" s="1"/>
  <c r="D60" i="9"/>
  <c r="AJ123" i="6"/>
  <c r="AH124" i="3"/>
  <c r="AJ124" i="3" s="1"/>
  <c r="AH124" i="6"/>
  <c r="C62" i="9"/>
  <c r="C7" i="10" s="1"/>
  <c r="F123" i="11"/>
  <c r="X126" i="3"/>
  <c r="V126" i="3"/>
  <c r="X125" i="6"/>
  <c r="V125" i="6"/>
  <c r="C125" i="4" s="1"/>
  <c r="U127" i="3"/>
  <c r="Z124" i="6"/>
  <c r="D124" i="11"/>
  <c r="C124" i="4"/>
  <c r="C125" i="11"/>
  <c r="W126" i="6"/>
  <c r="G126" i="6"/>
  <c r="W125" i="3"/>
  <c r="Z125" i="3" s="1"/>
  <c r="H123" i="4"/>
  <c r="I127" i="6"/>
  <c r="H128" i="6"/>
  <c r="F127" i="6"/>
  <c r="K126" i="6"/>
  <c r="I127" i="3"/>
  <c r="K127" i="3" s="1"/>
  <c r="AD61" i="6"/>
  <c r="AE61" i="6" s="1"/>
  <c r="AF61" i="6"/>
  <c r="M128" i="3"/>
  <c r="N128" i="3" s="1"/>
  <c r="O128" i="3" s="1"/>
  <c r="T128" i="3" s="1"/>
  <c r="L129" i="3"/>
  <c r="M127" i="6"/>
  <c r="N127" i="6" s="1"/>
  <c r="O127" i="6" s="1"/>
  <c r="T127" i="6" s="1"/>
  <c r="L128" i="6"/>
  <c r="F126" i="3"/>
  <c r="G126" i="3" s="1"/>
  <c r="U126" i="6"/>
  <c r="AD63" i="3"/>
  <c r="AE63" i="3" s="1"/>
  <c r="AF63" i="3"/>
  <c r="AJ124" i="6" l="1"/>
  <c r="K57" i="4"/>
  <c r="L57" i="4" s="1"/>
  <c r="N57" i="4" s="1"/>
  <c r="AH125" i="6"/>
  <c r="AH125" i="3"/>
  <c r="AJ125" i="3" s="1"/>
  <c r="AG61" i="6"/>
  <c r="AA62" i="6" s="1"/>
  <c r="AC62" i="6" s="1"/>
  <c r="AG63" i="3"/>
  <c r="C63" i="9" s="1"/>
  <c r="X127" i="3"/>
  <c r="V127" i="3"/>
  <c r="I128" i="3"/>
  <c r="K128" i="3" s="1"/>
  <c r="F124" i="4"/>
  <c r="P124" i="4" s="1"/>
  <c r="E124" i="11"/>
  <c r="F124" i="11" s="1"/>
  <c r="W127" i="6"/>
  <c r="G127" i="6"/>
  <c r="F127" i="3"/>
  <c r="G127" i="3" s="1"/>
  <c r="X126" i="6"/>
  <c r="V126" i="6"/>
  <c r="F128" i="6"/>
  <c r="K127" i="6"/>
  <c r="W126" i="3"/>
  <c r="Z126" i="3" s="1"/>
  <c r="Z125" i="6"/>
  <c r="D125" i="11"/>
  <c r="C126" i="11"/>
  <c r="I128" i="6"/>
  <c r="H129" i="6"/>
  <c r="U127" i="6"/>
  <c r="U128" i="3"/>
  <c r="M129" i="3"/>
  <c r="N129" i="3" s="1"/>
  <c r="O129" i="3" s="1"/>
  <c r="T129" i="3" s="1"/>
  <c r="L130" i="3"/>
  <c r="E125" i="11"/>
  <c r="F125" i="4"/>
  <c r="P125" i="4" s="1"/>
  <c r="M128" i="6"/>
  <c r="N128" i="6" s="1"/>
  <c r="O128" i="6" s="1"/>
  <c r="T128" i="6" s="1"/>
  <c r="L129" i="6"/>
  <c r="AJ125" i="6" l="1"/>
  <c r="E57" i="9"/>
  <c r="G58" i="4"/>
  <c r="J58" i="4" s="1"/>
  <c r="AH126" i="3"/>
  <c r="AJ126" i="3" s="1"/>
  <c r="AH126" i="6"/>
  <c r="F125" i="11"/>
  <c r="AA64" i="3"/>
  <c r="AC64" i="3" s="1"/>
  <c r="AD64" i="3" s="1"/>
  <c r="AE64" i="3" s="1"/>
  <c r="D61" i="9"/>
  <c r="X128" i="3"/>
  <c r="V128" i="3"/>
  <c r="X127" i="6"/>
  <c r="V127" i="6"/>
  <c r="C127" i="4" s="1"/>
  <c r="M129" i="6"/>
  <c r="N129" i="6" s="1"/>
  <c r="O129" i="6" s="1"/>
  <c r="T129" i="6" s="1"/>
  <c r="L130" i="6"/>
  <c r="H124" i="4"/>
  <c r="I129" i="3"/>
  <c r="K129" i="3" s="1"/>
  <c r="W127" i="3"/>
  <c r="Z127" i="3" s="1"/>
  <c r="AH127" i="6" s="1"/>
  <c r="H125" i="4"/>
  <c r="F128" i="3"/>
  <c r="G128" i="3" s="1"/>
  <c r="U128" i="6"/>
  <c r="M130" i="3"/>
  <c r="N130" i="3" s="1"/>
  <c r="O130" i="3" s="1"/>
  <c r="T130" i="3" s="1"/>
  <c r="L131" i="3"/>
  <c r="F129" i="6"/>
  <c r="K128" i="6"/>
  <c r="U129" i="3"/>
  <c r="C127" i="11"/>
  <c r="W128" i="6"/>
  <c r="G128" i="6"/>
  <c r="D126" i="11"/>
  <c r="Z126" i="6"/>
  <c r="C126" i="4"/>
  <c r="AF62" i="6"/>
  <c r="AD62" i="6"/>
  <c r="AE62" i="6" s="1"/>
  <c r="I129" i="6"/>
  <c r="H130" i="6"/>
  <c r="K58" i="4" l="1"/>
  <c r="L58" i="4" s="1"/>
  <c r="AJ126" i="6"/>
  <c r="AH127" i="3"/>
  <c r="AJ127" i="3" s="1"/>
  <c r="AF64" i="3"/>
  <c r="AG64" i="3" s="1"/>
  <c r="AA65" i="3" s="1"/>
  <c r="AC65" i="3" s="1"/>
  <c r="AG62" i="6"/>
  <c r="AA63" i="6" s="1"/>
  <c r="AC63" i="6" s="1"/>
  <c r="X129" i="3"/>
  <c r="V129" i="3"/>
  <c r="X128" i="6"/>
  <c r="V128" i="6"/>
  <c r="C128" i="4" s="1"/>
  <c r="F126" i="4"/>
  <c r="P126" i="4" s="1"/>
  <c r="E126" i="11"/>
  <c r="F126" i="11" s="1"/>
  <c r="I130" i="6"/>
  <c r="H131" i="6"/>
  <c r="F129" i="3"/>
  <c r="G129" i="3" s="1"/>
  <c r="W129" i="6"/>
  <c r="G129" i="6"/>
  <c r="U130" i="3"/>
  <c r="U129" i="6"/>
  <c r="M131" i="3"/>
  <c r="N131" i="3" s="1"/>
  <c r="O131" i="3" s="1"/>
  <c r="T131" i="3" s="1"/>
  <c r="L132" i="3"/>
  <c r="M130" i="6"/>
  <c r="N130" i="6" s="1"/>
  <c r="O130" i="6" s="1"/>
  <c r="T130" i="6" s="1"/>
  <c r="L131" i="6"/>
  <c r="D127" i="11"/>
  <c r="Z127" i="6"/>
  <c r="AJ127" i="6" s="1"/>
  <c r="W128" i="3"/>
  <c r="Z128" i="3" s="1"/>
  <c r="F130" i="6"/>
  <c r="K129" i="6"/>
  <c r="C128" i="11"/>
  <c r="E127" i="11"/>
  <c r="F127" i="4"/>
  <c r="P127" i="4" s="1"/>
  <c r="I130" i="3"/>
  <c r="K130" i="3" s="1"/>
  <c r="M58" i="4" l="1"/>
  <c r="N58" i="4" s="1"/>
  <c r="AH128" i="6"/>
  <c r="AH128" i="3"/>
  <c r="AJ128" i="3" s="1"/>
  <c r="C64" i="9"/>
  <c r="D62" i="9"/>
  <c r="H7" i="10" s="1"/>
  <c r="F127" i="11"/>
  <c r="X130" i="3"/>
  <c r="V130" i="3"/>
  <c r="W129" i="3"/>
  <c r="Z129" i="3" s="1"/>
  <c r="I131" i="6"/>
  <c r="H132" i="6"/>
  <c r="F131" i="6"/>
  <c r="K130" i="6"/>
  <c r="H126" i="4"/>
  <c r="Z128" i="6"/>
  <c r="D128" i="11"/>
  <c r="I131" i="3"/>
  <c r="K131" i="3" s="1"/>
  <c r="F130" i="3"/>
  <c r="G130" i="3" s="1"/>
  <c r="AF63" i="6"/>
  <c r="AD63" i="6"/>
  <c r="AE63" i="6" s="1"/>
  <c r="M131" i="6"/>
  <c r="N131" i="6" s="1"/>
  <c r="O131" i="6" s="1"/>
  <c r="T131" i="6" s="1"/>
  <c r="L132" i="6"/>
  <c r="M132" i="3"/>
  <c r="N132" i="3" s="1"/>
  <c r="O132" i="3" s="1"/>
  <c r="T132" i="3" s="1"/>
  <c r="L133" i="3"/>
  <c r="U131" i="3"/>
  <c r="F128" i="4"/>
  <c r="P128" i="4" s="1"/>
  <c r="E128" i="11"/>
  <c r="X129" i="6"/>
  <c r="V129" i="6"/>
  <c r="C129" i="4" s="1"/>
  <c r="C129" i="11"/>
  <c r="W130" i="6"/>
  <c r="G130" i="6"/>
  <c r="H127" i="4"/>
  <c r="AD65" i="3"/>
  <c r="AE65" i="3" s="1"/>
  <c r="AF65" i="3"/>
  <c r="U130" i="6"/>
  <c r="E58" i="9" l="1"/>
  <c r="G59" i="4"/>
  <c r="J59" i="4" s="1"/>
  <c r="AH129" i="3"/>
  <c r="AJ129" i="3" s="1"/>
  <c r="AJ128" i="6"/>
  <c r="AH129" i="6"/>
  <c r="F128" i="11"/>
  <c r="AG63" i="6"/>
  <c r="AA64" i="6" s="1"/>
  <c r="AC64" i="6" s="1"/>
  <c r="AG65" i="3"/>
  <c r="AA66" i="3" s="1"/>
  <c r="AC66" i="3" s="1"/>
  <c r="X131" i="3"/>
  <c r="V131" i="3"/>
  <c r="X130" i="6"/>
  <c r="V130" i="6"/>
  <c r="C130" i="4" s="1"/>
  <c r="W131" i="6"/>
  <c r="G131" i="6"/>
  <c r="H128" i="4"/>
  <c r="I132" i="6"/>
  <c r="H133" i="6"/>
  <c r="M133" i="3"/>
  <c r="N133" i="3" s="1"/>
  <c r="O133" i="3" s="1"/>
  <c r="T133" i="3" s="1"/>
  <c r="L134" i="3"/>
  <c r="U132" i="3"/>
  <c r="M132" i="6"/>
  <c r="N132" i="6" s="1"/>
  <c r="O132" i="6" s="1"/>
  <c r="T132" i="6" s="1"/>
  <c r="L133" i="6"/>
  <c r="U131" i="6"/>
  <c r="F132" i="6"/>
  <c r="K131" i="6"/>
  <c r="W130" i="3"/>
  <c r="Z130" i="3" s="1"/>
  <c r="E129" i="11"/>
  <c r="F129" i="4"/>
  <c r="P129" i="4" s="1"/>
  <c r="D129" i="11"/>
  <c r="Z129" i="6"/>
  <c r="I132" i="3"/>
  <c r="K132" i="3" s="1"/>
  <c r="C130" i="11"/>
  <c r="F131" i="3"/>
  <c r="G131" i="3" s="1"/>
  <c r="AJ129" i="6" l="1"/>
  <c r="AH130" i="6"/>
  <c r="AH130" i="3"/>
  <c r="AJ130" i="3" s="1"/>
  <c r="D63" i="9"/>
  <c r="F129" i="11"/>
  <c r="C65" i="9"/>
  <c r="X131" i="6"/>
  <c r="V131" i="6"/>
  <c r="C131" i="4" s="1"/>
  <c r="U132" i="6"/>
  <c r="I133" i="6"/>
  <c r="H134" i="6"/>
  <c r="F133" i="6"/>
  <c r="K132" i="6"/>
  <c r="W131" i="3"/>
  <c r="Z131" i="3" s="1"/>
  <c r="AH131" i="3" s="1"/>
  <c r="W132" i="6"/>
  <c r="G132" i="6"/>
  <c r="I133" i="3"/>
  <c r="K133" i="3" s="1"/>
  <c r="F132" i="3"/>
  <c r="G132" i="3" s="1"/>
  <c r="M133" i="6"/>
  <c r="N133" i="6" s="1"/>
  <c r="O133" i="6" s="1"/>
  <c r="T133" i="6" s="1"/>
  <c r="L134" i="6"/>
  <c r="Z130" i="6"/>
  <c r="D130" i="11"/>
  <c r="H129" i="4"/>
  <c r="C131" i="11"/>
  <c r="M134" i="3"/>
  <c r="N134" i="3" s="1"/>
  <c r="O134" i="3" s="1"/>
  <c r="T134" i="3" s="1"/>
  <c r="L135" i="3"/>
  <c r="U133" i="3"/>
  <c r="X132" i="3"/>
  <c r="V132" i="3"/>
  <c r="E130" i="11"/>
  <c r="F130" i="4"/>
  <c r="P130" i="4" s="1"/>
  <c r="AD66" i="3"/>
  <c r="AE66" i="3" s="1"/>
  <c r="AF66" i="3"/>
  <c r="AD64" i="6"/>
  <c r="AE64" i="6" s="1"/>
  <c r="AF64" i="6"/>
  <c r="M59" i="4" l="1"/>
  <c r="K59" i="4"/>
  <c r="L59" i="4" s="1"/>
  <c r="AJ130" i="6"/>
  <c r="AH131" i="6"/>
  <c r="AJ131" i="3"/>
  <c r="AG66" i="3"/>
  <c r="AA67" i="3" s="1"/>
  <c r="AC67" i="3" s="1"/>
  <c r="AG64" i="6"/>
  <c r="D64" i="9" s="1"/>
  <c r="F130" i="11"/>
  <c r="X133" i="3"/>
  <c r="V133" i="3"/>
  <c r="X132" i="6"/>
  <c r="V132" i="6"/>
  <c r="C132" i="4" s="1"/>
  <c r="E131" i="11"/>
  <c r="F131" i="4"/>
  <c r="P131" i="4" s="1"/>
  <c r="W133" i="6"/>
  <c r="G133" i="6"/>
  <c r="I134" i="6"/>
  <c r="H135" i="6"/>
  <c r="U134" i="3"/>
  <c r="F134" i="6"/>
  <c r="K133" i="6"/>
  <c r="H130" i="4"/>
  <c r="M134" i="6"/>
  <c r="N134" i="6" s="1"/>
  <c r="O134" i="6" s="1"/>
  <c r="T134" i="6" s="1"/>
  <c r="L135" i="6"/>
  <c r="U133" i="6"/>
  <c r="W132" i="3"/>
  <c r="Z132" i="3" s="1"/>
  <c r="D131" i="11"/>
  <c r="Z131" i="6"/>
  <c r="I134" i="3"/>
  <c r="K134" i="3" s="1"/>
  <c r="F133" i="3"/>
  <c r="G133" i="3" s="1"/>
  <c r="C132" i="11"/>
  <c r="M135" i="3"/>
  <c r="N135" i="3" s="1"/>
  <c r="O135" i="3" s="1"/>
  <c r="T135" i="3" s="1"/>
  <c r="L136" i="3"/>
  <c r="N59" i="4" l="1"/>
  <c r="E59" i="9" s="1"/>
  <c r="AJ131" i="6"/>
  <c r="AH132" i="6"/>
  <c r="AH132" i="3"/>
  <c r="AJ132" i="3" s="1"/>
  <c r="C66" i="9"/>
  <c r="AA65" i="6"/>
  <c r="AC65" i="6" s="1"/>
  <c r="AF65" i="6" s="1"/>
  <c r="F131" i="11"/>
  <c r="X134" i="3"/>
  <c r="V134" i="3"/>
  <c r="X133" i="6"/>
  <c r="V133" i="6"/>
  <c r="C133" i="4" s="1"/>
  <c r="F134" i="3"/>
  <c r="G134" i="3" s="1"/>
  <c r="F135" i="6"/>
  <c r="K134" i="6"/>
  <c r="H131" i="4"/>
  <c r="E132" i="11"/>
  <c r="F132" i="4"/>
  <c r="P132" i="4" s="1"/>
  <c r="M136" i="3"/>
  <c r="N136" i="3" s="1"/>
  <c r="O136" i="3" s="1"/>
  <c r="T136" i="3" s="1"/>
  <c r="L137" i="3"/>
  <c r="AD67" i="3"/>
  <c r="AE67" i="3" s="1"/>
  <c r="AF67" i="3"/>
  <c r="M135" i="6"/>
  <c r="N135" i="6" s="1"/>
  <c r="O135" i="6" s="1"/>
  <c r="T135" i="6" s="1"/>
  <c r="L136" i="6"/>
  <c r="U134" i="6"/>
  <c r="D132" i="11"/>
  <c r="Z132" i="6"/>
  <c r="W134" i="6"/>
  <c r="G134" i="6"/>
  <c r="W133" i="3"/>
  <c r="Z133" i="3" s="1"/>
  <c r="AH133" i="6" s="1"/>
  <c r="C133" i="11"/>
  <c r="U135" i="3"/>
  <c r="I135" i="3"/>
  <c r="K135" i="3" s="1"/>
  <c r="I135" i="6"/>
  <c r="H136" i="6"/>
  <c r="G60" i="4" l="1"/>
  <c r="J60" i="4" s="1"/>
  <c r="M60" i="4" s="1"/>
  <c r="AJ132" i="6"/>
  <c r="F132" i="11"/>
  <c r="AH133" i="3"/>
  <c r="AJ133" i="3" s="1"/>
  <c r="AD65" i="6"/>
  <c r="AE65" i="6" s="1"/>
  <c r="AG65" i="6" s="1"/>
  <c r="AG67" i="3"/>
  <c r="C67" i="9" s="1"/>
  <c r="X135" i="3"/>
  <c r="V135" i="3"/>
  <c r="X134" i="6"/>
  <c r="V134" i="6"/>
  <c r="C134" i="4" s="1"/>
  <c r="M137" i="3"/>
  <c r="N137" i="3" s="1"/>
  <c r="O137" i="3" s="1"/>
  <c r="T137" i="3" s="1"/>
  <c r="L138" i="3"/>
  <c r="I136" i="3"/>
  <c r="K136" i="3" s="1"/>
  <c r="F136" i="6"/>
  <c r="K135" i="6"/>
  <c r="W135" i="6"/>
  <c r="G135" i="6"/>
  <c r="F135" i="3"/>
  <c r="G135" i="3" s="1"/>
  <c r="W134" i="3"/>
  <c r="Z134" i="3" s="1"/>
  <c r="D133" i="11"/>
  <c r="Z133" i="6"/>
  <c r="AJ133" i="6" s="1"/>
  <c r="U136" i="3"/>
  <c r="E133" i="11"/>
  <c r="F133" i="4"/>
  <c r="P133" i="4" s="1"/>
  <c r="U135" i="6"/>
  <c r="C134" i="11"/>
  <c r="H132" i="4"/>
  <c r="I136" i="6"/>
  <c r="H137" i="6"/>
  <c r="M136" i="6"/>
  <c r="N136" i="6" s="1"/>
  <c r="O136" i="6" s="1"/>
  <c r="T136" i="6" s="1"/>
  <c r="L137" i="6"/>
  <c r="K60" i="4" l="1"/>
  <c r="L60" i="4" s="1"/>
  <c r="N60" i="4" s="1"/>
  <c r="G61" i="4" s="1"/>
  <c r="J61" i="4" s="1"/>
  <c r="AH134" i="3"/>
  <c r="AJ134" i="3" s="1"/>
  <c r="AH134" i="6"/>
  <c r="AA68" i="3"/>
  <c r="AC68" i="3" s="1"/>
  <c r="AD68" i="3" s="1"/>
  <c r="AE68" i="3" s="1"/>
  <c r="D65" i="9"/>
  <c r="AA66" i="6"/>
  <c r="AC66" i="6" s="1"/>
  <c r="AF66" i="6" s="1"/>
  <c r="F133" i="11"/>
  <c r="X135" i="6"/>
  <c r="V135" i="6"/>
  <c r="C135" i="4" s="1"/>
  <c r="X136" i="3"/>
  <c r="V136" i="3"/>
  <c r="W136" i="6"/>
  <c r="G136" i="6"/>
  <c r="M137" i="6"/>
  <c r="N137" i="6" s="1"/>
  <c r="O137" i="6" s="1"/>
  <c r="T137" i="6" s="1"/>
  <c r="L138" i="6"/>
  <c r="F136" i="3"/>
  <c r="G136" i="3" s="1"/>
  <c r="M138" i="3"/>
  <c r="N138" i="3" s="1"/>
  <c r="O138" i="3" s="1"/>
  <c r="T138" i="3" s="1"/>
  <c r="L139" i="3"/>
  <c r="U137" i="3"/>
  <c r="U136" i="6"/>
  <c r="D134" i="11"/>
  <c r="Z134" i="6"/>
  <c r="I137" i="3"/>
  <c r="K137" i="3" s="1"/>
  <c r="H133" i="4"/>
  <c r="F134" i="4"/>
  <c r="P134" i="4" s="1"/>
  <c r="E134" i="11"/>
  <c r="C135" i="11"/>
  <c r="I137" i="6"/>
  <c r="H138" i="6"/>
  <c r="W135" i="3"/>
  <c r="Z135" i="3" s="1"/>
  <c r="AH135" i="3" s="1"/>
  <c r="F137" i="6"/>
  <c r="K136" i="6"/>
  <c r="E60" i="9" l="1"/>
  <c r="M61" i="4"/>
  <c r="K61" i="4"/>
  <c r="L61" i="4" s="1"/>
  <c r="AJ134" i="6"/>
  <c r="AH135" i="6"/>
  <c r="AJ135" i="3"/>
  <c r="AF68" i="3"/>
  <c r="AG68" i="3" s="1"/>
  <c r="AA69" i="3" s="1"/>
  <c r="AC69" i="3" s="1"/>
  <c r="AD66" i="6"/>
  <c r="AE66" i="6" s="1"/>
  <c r="AG66" i="6" s="1"/>
  <c r="AA67" i="6" s="1"/>
  <c r="AC67" i="6" s="1"/>
  <c r="F134" i="11"/>
  <c r="U138" i="3"/>
  <c r="W136" i="3"/>
  <c r="Z136" i="3" s="1"/>
  <c r="M138" i="6"/>
  <c r="N138" i="6" s="1"/>
  <c r="O138" i="6" s="1"/>
  <c r="T138" i="6" s="1"/>
  <c r="L139" i="6"/>
  <c r="U137" i="6"/>
  <c r="F137" i="3"/>
  <c r="G137" i="3" s="1"/>
  <c r="C136" i="11"/>
  <c r="X136" i="6"/>
  <c r="V136" i="6"/>
  <c r="Z135" i="6"/>
  <c r="D135" i="11"/>
  <c r="I138" i="3"/>
  <c r="K138" i="3" s="1"/>
  <c r="W137" i="6"/>
  <c r="G137" i="6"/>
  <c r="X137" i="3"/>
  <c r="V137" i="3"/>
  <c r="I138" i="6"/>
  <c r="H139" i="6"/>
  <c r="F135" i="4"/>
  <c r="P135" i="4" s="1"/>
  <c r="E135" i="11"/>
  <c r="H134" i="4"/>
  <c r="F138" i="6"/>
  <c r="K137" i="6"/>
  <c r="M139" i="3"/>
  <c r="N139" i="3" s="1"/>
  <c r="O139" i="3" s="1"/>
  <c r="T139" i="3" s="1"/>
  <c r="L140" i="3"/>
  <c r="N61" i="4" l="1"/>
  <c r="E61" i="9" s="1"/>
  <c r="AJ135" i="6"/>
  <c r="C68" i="9"/>
  <c r="AH136" i="6"/>
  <c r="AH136" i="3"/>
  <c r="AJ136" i="3" s="1"/>
  <c r="D66" i="9"/>
  <c r="F135" i="11"/>
  <c r="F138" i="3"/>
  <c r="G138" i="3" s="1"/>
  <c r="X137" i="6"/>
  <c r="V137" i="6"/>
  <c r="M139" i="6"/>
  <c r="N139" i="6" s="1"/>
  <c r="O139" i="6" s="1"/>
  <c r="T139" i="6" s="1"/>
  <c r="L140" i="6"/>
  <c r="M140" i="3"/>
  <c r="N140" i="3" s="1"/>
  <c r="O140" i="3" s="1"/>
  <c r="T140" i="3" s="1"/>
  <c r="L141" i="3"/>
  <c r="W138" i="6"/>
  <c r="G138" i="6"/>
  <c r="AD67" i="6"/>
  <c r="AE67" i="6" s="1"/>
  <c r="AF67" i="6"/>
  <c r="U138" i="6"/>
  <c r="U139" i="3"/>
  <c r="D136" i="11"/>
  <c r="Z136" i="6"/>
  <c r="W137" i="3"/>
  <c r="Z137" i="3" s="1"/>
  <c r="X138" i="3"/>
  <c r="V138" i="3"/>
  <c r="I139" i="6"/>
  <c r="H140" i="6"/>
  <c r="I139" i="3"/>
  <c r="K139" i="3" s="1"/>
  <c r="H135" i="4"/>
  <c r="F139" i="6"/>
  <c r="K138" i="6"/>
  <c r="C137" i="11"/>
  <c r="C136" i="4"/>
  <c r="AD69" i="3"/>
  <c r="AE69" i="3" s="1"/>
  <c r="AF69" i="3"/>
  <c r="G62" i="4" l="1"/>
  <c r="J62" i="4" s="1"/>
  <c r="K62" i="4" s="1"/>
  <c r="L62" i="4" s="1"/>
  <c r="AJ136" i="6"/>
  <c r="AH137" i="3"/>
  <c r="AJ137" i="3" s="1"/>
  <c r="AH137" i="6"/>
  <c r="AG67" i="6"/>
  <c r="D67" i="9" s="1"/>
  <c r="AG69" i="3"/>
  <c r="AA70" i="3" s="1"/>
  <c r="AC70" i="3" s="1"/>
  <c r="F140" i="6"/>
  <c r="K139" i="6"/>
  <c r="M141" i="3"/>
  <c r="N141" i="3" s="1"/>
  <c r="O141" i="3" s="1"/>
  <c r="T141" i="3" s="1"/>
  <c r="L142" i="3"/>
  <c r="U140" i="3"/>
  <c r="M140" i="6"/>
  <c r="N140" i="6" s="1"/>
  <c r="O140" i="6" s="1"/>
  <c r="T140" i="6" s="1"/>
  <c r="L141" i="6"/>
  <c r="C138" i="11"/>
  <c r="U139" i="6"/>
  <c r="Z137" i="6"/>
  <c r="AJ137" i="6" s="1"/>
  <c r="D137" i="11"/>
  <c r="X139" i="3"/>
  <c r="V139" i="3"/>
  <c r="W139" i="6"/>
  <c r="G139" i="6"/>
  <c r="W138" i="3"/>
  <c r="Z138" i="3" s="1"/>
  <c r="X138" i="6"/>
  <c r="V138" i="6"/>
  <c r="C138" i="4" s="1"/>
  <c r="F136" i="4"/>
  <c r="P136" i="4" s="1"/>
  <c r="E136" i="11"/>
  <c r="F136" i="11" s="1"/>
  <c r="C137" i="4"/>
  <c r="I140" i="3"/>
  <c r="K140" i="3" s="1"/>
  <c r="F139" i="3"/>
  <c r="G139" i="3" s="1"/>
  <c r="I140" i="6"/>
  <c r="H141" i="6"/>
  <c r="M62" i="4" l="1"/>
  <c r="N62" i="4" s="1"/>
  <c r="AA68" i="6"/>
  <c r="AC68" i="6" s="1"/>
  <c r="AH138" i="6"/>
  <c r="AH138" i="3"/>
  <c r="AJ138" i="3" s="1"/>
  <c r="C69" i="9"/>
  <c r="X139" i="6"/>
  <c r="V139" i="6"/>
  <c r="C139" i="4" s="1"/>
  <c r="H136" i="4"/>
  <c r="Z138" i="6"/>
  <c r="D138" i="11"/>
  <c r="E138" i="11"/>
  <c r="F138" i="4"/>
  <c r="P138" i="4" s="1"/>
  <c r="I141" i="6"/>
  <c r="H142" i="6"/>
  <c r="M141" i="6"/>
  <c r="N141" i="6" s="1"/>
  <c r="O141" i="6" s="1"/>
  <c r="T141" i="6" s="1"/>
  <c r="L142" i="6"/>
  <c r="U140" i="6"/>
  <c r="X140" i="3"/>
  <c r="V140" i="3"/>
  <c r="I141" i="3"/>
  <c r="K141" i="3" s="1"/>
  <c r="F140" i="3"/>
  <c r="G140" i="3" s="1"/>
  <c r="M142" i="3"/>
  <c r="N142" i="3" s="1"/>
  <c r="O142" i="3" s="1"/>
  <c r="T142" i="3" s="1"/>
  <c r="L143" i="3"/>
  <c r="W139" i="3"/>
  <c r="Z139" i="3" s="1"/>
  <c r="AH139" i="6" s="1"/>
  <c r="C139" i="11"/>
  <c r="U141" i="3"/>
  <c r="F141" i="6"/>
  <c r="K140" i="6"/>
  <c r="W140" i="6"/>
  <c r="G140" i="6"/>
  <c r="AD68" i="6"/>
  <c r="AE68" i="6" s="1"/>
  <c r="AF68" i="6"/>
  <c r="F137" i="4"/>
  <c r="P137" i="4" s="1"/>
  <c r="E137" i="11"/>
  <c r="F137" i="11" s="1"/>
  <c r="AD70" i="3"/>
  <c r="AE70" i="3" s="1"/>
  <c r="AF70" i="3"/>
  <c r="AJ138" i="6" l="1"/>
  <c r="E62" i="9"/>
  <c r="M7" i="10" s="1"/>
  <c r="G63" i="4"/>
  <c r="J63" i="4" s="1"/>
  <c r="AH139" i="3"/>
  <c r="AJ139" i="3" s="1"/>
  <c r="F138" i="11"/>
  <c r="AG68" i="6"/>
  <c r="D68" i="9" s="1"/>
  <c r="AG70" i="3"/>
  <c r="AA71" i="3" s="1"/>
  <c r="AC71" i="3" s="1"/>
  <c r="U141" i="6"/>
  <c r="I142" i="6"/>
  <c r="H143" i="6"/>
  <c r="H137" i="4"/>
  <c r="F142" i="6"/>
  <c r="K141" i="6"/>
  <c r="M143" i="3"/>
  <c r="N143" i="3" s="1"/>
  <c r="O143" i="3" s="1"/>
  <c r="T143" i="3" s="1"/>
  <c r="L144" i="3"/>
  <c r="H138" i="4"/>
  <c r="U142" i="3"/>
  <c r="F141" i="3"/>
  <c r="G141" i="3" s="1"/>
  <c r="I142" i="3"/>
  <c r="K142" i="3" s="1"/>
  <c r="C140" i="11"/>
  <c r="Z139" i="6"/>
  <c r="AJ139" i="6" s="1"/>
  <c r="D139" i="11"/>
  <c r="W140" i="3"/>
  <c r="Z140" i="3" s="1"/>
  <c r="AH140" i="3" s="1"/>
  <c r="X141" i="3"/>
  <c r="V141" i="3"/>
  <c r="X140" i="6"/>
  <c r="V140" i="6"/>
  <c r="C140" i="4" s="1"/>
  <c r="W141" i="6"/>
  <c r="G141" i="6"/>
  <c r="E139" i="11"/>
  <c r="F139" i="4"/>
  <c r="P139" i="4" s="1"/>
  <c r="M142" i="6"/>
  <c r="N142" i="6" s="1"/>
  <c r="O142" i="6" s="1"/>
  <c r="T142" i="6" s="1"/>
  <c r="L143" i="6"/>
  <c r="M63" i="4" l="1"/>
  <c r="AJ140" i="3"/>
  <c r="AH140" i="6"/>
  <c r="C70" i="9"/>
  <c r="AA69" i="6"/>
  <c r="AC69" i="6" s="1"/>
  <c r="AF69" i="6" s="1"/>
  <c r="F139" i="11"/>
  <c r="E140" i="11"/>
  <c r="F140" i="4"/>
  <c r="P140" i="4" s="1"/>
  <c r="X142" i="3"/>
  <c r="V142" i="3"/>
  <c r="X141" i="6"/>
  <c r="V141" i="6"/>
  <c r="C141" i="4" s="1"/>
  <c r="M143" i="6"/>
  <c r="N143" i="6" s="1"/>
  <c r="O143" i="6" s="1"/>
  <c r="T143" i="6" s="1"/>
  <c r="L144" i="6"/>
  <c r="H139" i="4"/>
  <c r="M144" i="3"/>
  <c r="N144" i="3" s="1"/>
  <c r="O144" i="3" s="1"/>
  <c r="T144" i="3" s="1"/>
  <c r="L145" i="3"/>
  <c r="U143" i="3"/>
  <c r="W142" i="6"/>
  <c r="G142" i="6"/>
  <c r="U142" i="6"/>
  <c r="I143" i="3"/>
  <c r="K143" i="3" s="1"/>
  <c r="F142" i="3"/>
  <c r="G142" i="3" s="1"/>
  <c r="I143" i="6"/>
  <c r="H144" i="6"/>
  <c r="F143" i="6"/>
  <c r="K142" i="6"/>
  <c r="Z140" i="6"/>
  <c r="D140" i="11"/>
  <c r="W141" i="3"/>
  <c r="Z141" i="3" s="1"/>
  <c r="C141" i="11"/>
  <c r="AF71" i="3"/>
  <c r="AD71" i="3"/>
  <c r="AE71" i="3" s="1"/>
  <c r="AJ140" i="6" l="1"/>
  <c r="K63" i="4"/>
  <c r="L63" i="4" s="1"/>
  <c r="N63" i="4" s="1"/>
  <c r="AD69" i="6"/>
  <c r="AE69" i="6" s="1"/>
  <c r="AG69" i="6" s="1"/>
  <c r="AA70" i="6" s="1"/>
  <c r="AC70" i="6" s="1"/>
  <c r="AH141" i="6"/>
  <c r="AH141" i="3"/>
  <c r="AJ141" i="3" s="1"/>
  <c r="F140" i="11"/>
  <c r="AG71" i="3"/>
  <c r="AA72" i="3" s="1"/>
  <c r="AC72" i="3" s="1"/>
  <c r="X143" i="3"/>
  <c r="V143" i="3"/>
  <c r="I144" i="3"/>
  <c r="K144" i="3" s="1"/>
  <c r="M145" i="3"/>
  <c r="N145" i="3" s="1"/>
  <c r="O145" i="3" s="1"/>
  <c r="T145" i="3" s="1"/>
  <c r="L146" i="3"/>
  <c r="F143" i="3"/>
  <c r="G143" i="3" s="1"/>
  <c r="F141" i="4"/>
  <c r="P141" i="4" s="1"/>
  <c r="E141" i="11"/>
  <c r="D141" i="11"/>
  <c r="Z141" i="6"/>
  <c r="W142" i="3"/>
  <c r="Z142" i="3" s="1"/>
  <c r="U144" i="3"/>
  <c r="C142" i="11"/>
  <c r="U143" i="6"/>
  <c r="W143" i="6"/>
  <c r="G143" i="6"/>
  <c r="M144" i="6"/>
  <c r="N144" i="6" s="1"/>
  <c r="O144" i="6" s="1"/>
  <c r="T144" i="6" s="1"/>
  <c r="L145" i="6"/>
  <c r="X142" i="6"/>
  <c r="V142" i="6"/>
  <c r="C142" i="4" s="1"/>
  <c r="I144" i="6"/>
  <c r="H145" i="6"/>
  <c r="H140" i="4"/>
  <c r="F144" i="6"/>
  <c r="K143" i="6"/>
  <c r="G64" i="4" l="1"/>
  <c r="J64" i="4" s="1"/>
  <c r="E63" i="9"/>
  <c r="AJ141" i="6"/>
  <c r="D69" i="9"/>
  <c r="C71" i="9"/>
  <c r="AH142" i="6"/>
  <c r="AH142" i="3"/>
  <c r="AJ142" i="3" s="1"/>
  <c r="F141" i="11"/>
  <c r="X143" i="6"/>
  <c r="V143" i="6"/>
  <c r="C143" i="4" s="1"/>
  <c r="H141" i="4"/>
  <c r="M146" i="3"/>
  <c r="N146" i="3" s="1"/>
  <c r="O146" i="3" s="1"/>
  <c r="T146" i="3" s="1"/>
  <c r="L147" i="3"/>
  <c r="U145" i="3"/>
  <c r="I145" i="3"/>
  <c r="K145" i="3" s="1"/>
  <c r="W143" i="3"/>
  <c r="Z143" i="3" s="1"/>
  <c r="AH143" i="3" s="1"/>
  <c r="I145" i="6"/>
  <c r="H146" i="6"/>
  <c r="F144" i="3"/>
  <c r="G144" i="3" s="1"/>
  <c r="AF70" i="6"/>
  <c r="AD70" i="6"/>
  <c r="AE70" i="6" s="1"/>
  <c r="F145" i="6"/>
  <c r="K144" i="6"/>
  <c r="AF72" i="3"/>
  <c r="AD72" i="3"/>
  <c r="AE72" i="3" s="1"/>
  <c r="C143" i="11"/>
  <c r="W144" i="6"/>
  <c r="G144" i="6"/>
  <c r="X144" i="3"/>
  <c r="V144" i="3"/>
  <c r="D142" i="11"/>
  <c r="Z142" i="6"/>
  <c r="M145" i="6"/>
  <c r="N145" i="6" s="1"/>
  <c r="O145" i="6" s="1"/>
  <c r="T145" i="6" s="1"/>
  <c r="L146" i="6"/>
  <c r="U144" i="6"/>
  <c r="F142" i="4"/>
  <c r="P142" i="4" s="1"/>
  <c r="E142" i="11"/>
  <c r="M64" i="4" l="1"/>
  <c r="K64" i="4"/>
  <c r="L64" i="4" s="1"/>
  <c r="AJ142" i="6"/>
  <c r="AJ143" i="3"/>
  <c r="AH143" i="6"/>
  <c r="AG70" i="6"/>
  <c r="AA71" i="6" s="1"/>
  <c r="AC71" i="6" s="1"/>
  <c r="F142" i="11"/>
  <c r="AG72" i="3"/>
  <c r="AA73" i="3" s="1"/>
  <c r="AC73" i="3" s="1"/>
  <c r="X145" i="3"/>
  <c r="V145" i="3"/>
  <c r="I146" i="3"/>
  <c r="K146" i="3" s="1"/>
  <c r="F145" i="3"/>
  <c r="G145" i="3" s="1"/>
  <c r="W145" i="6"/>
  <c r="G145" i="6"/>
  <c r="M147" i="3"/>
  <c r="N147" i="3" s="1"/>
  <c r="O147" i="3" s="1"/>
  <c r="T147" i="3" s="1"/>
  <c r="L148" i="3"/>
  <c r="U146" i="3"/>
  <c r="H142" i="4"/>
  <c r="W144" i="3"/>
  <c r="Z144" i="3" s="1"/>
  <c r="C144" i="11"/>
  <c r="I146" i="6"/>
  <c r="H147" i="6"/>
  <c r="D143" i="11"/>
  <c r="Z143" i="6"/>
  <c r="F146" i="6"/>
  <c r="K145" i="6"/>
  <c r="X144" i="6"/>
  <c r="V144" i="6"/>
  <c r="C144" i="4" s="1"/>
  <c r="M146" i="6"/>
  <c r="N146" i="6" s="1"/>
  <c r="O146" i="6" s="1"/>
  <c r="T146" i="6" s="1"/>
  <c r="L147" i="6"/>
  <c r="U145" i="6"/>
  <c r="E143" i="11"/>
  <c r="F143" i="4"/>
  <c r="P143" i="4" s="1"/>
  <c r="N64" i="4" l="1"/>
  <c r="E64" i="9" s="1"/>
  <c r="AJ143" i="6"/>
  <c r="D70" i="9"/>
  <c r="C72" i="9"/>
  <c r="AH144" i="6"/>
  <c r="AH144" i="3"/>
  <c r="AJ144" i="3" s="1"/>
  <c r="F143" i="11"/>
  <c r="X145" i="6"/>
  <c r="V145" i="6"/>
  <c r="C145" i="4" s="1"/>
  <c r="X146" i="3"/>
  <c r="V146" i="3"/>
  <c r="M148" i="3"/>
  <c r="N148" i="3" s="1"/>
  <c r="O148" i="3" s="1"/>
  <c r="T148" i="3" s="1"/>
  <c r="L149" i="3"/>
  <c r="F147" i="6"/>
  <c r="K146" i="6"/>
  <c r="H143" i="4"/>
  <c r="W145" i="3"/>
  <c r="Z145" i="3" s="1"/>
  <c r="U147" i="3"/>
  <c r="I147" i="3"/>
  <c r="K147" i="3" s="1"/>
  <c r="M147" i="6"/>
  <c r="N147" i="6" s="1"/>
  <c r="O147" i="6" s="1"/>
  <c r="T147" i="6" s="1"/>
  <c r="L148" i="6"/>
  <c r="F146" i="3"/>
  <c r="G146" i="3" s="1"/>
  <c r="I147" i="6"/>
  <c r="H148" i="6"/>
  <c r="E144" i="11"/>
  <c r="F144" i="4"/>
  <c r="P144" i="4" s="1"/>
  <c r="AD71" i="6"/>
  <c r="AE71" i="6" s="1"/>
  <c r="AF71" i="6"/>
  <c r="U146" i="6"/>
  <c r="AD73" i="3"/>
  <c r="AE73" i="3" s="1"/>
  <c r="AF73" i="3"/>
  <c r="C145" i="11"/>
  <c r="Z144" i="6"/>
  <c r="D144" i="11"/>
  <c r="G146" i="6"/>
  <c r="W146" i="6"/>
  <c r="G65" i="4" l="1"/>
  <c r="J65" i="4" s="1"/>
  <c r="M65" i="4" s="1"/>
  <c r="AJ144" i="6"/>
  <c r="AH145" i="6"/>
  <c r="AH145" i="3"/>
  <c r="AJ145" i="3" s="1"/>
  <c r="AG73" i="3"/>
  <c r="AA74" i="3" s="1"/>
  <c r="AC74" i="3" s="1"/>
  <c r="AG71" i="6"/>
  <c r="D71" i="9" s="1"/>
  <c r="F144" i="11"/>
  <c r="H144" i="4"/>
  <c r="W146" i="3"/>
  <c r="Z146" i="3" s="1"/>
  <c r="F148" i="6"/>
  <c r="K147" i="6"/>
  <c r="M148" i="6"/>
  <c r="N148" i="6" s="1"/>
  <c r="O148" i="6" s="1"/>
  <c r="T148" i="6" s="1"/>
  <c r="L149" i="6"/>
  <c r="U147" i="6"/>
  <c r="C146" i="11"/>
  <c r="U148" i="3"/>
  <c r="I148" i="6"/>
  <c r="H149" i="6"/>
  <c r="F147" i="3"/>
  <c r="G147" i="3" s="1"/>
  <c r="E145" i="11"/>
  <c r="F145" i="4"/>
  <c r="P145" i="4" s="1"/>
  <c r="X147" i="3"/>
  <c r="V147" i="3"/>
  <c r="Z145" i="6"/>
  <c r="D145" i="11"/>
  <c r="W147" i="6"/>
  <c r="G147" i="6"/>
  <c r="M149" i="3"/>
  <c r="N149" i="3" s="1"/>
  <c r="O149" i="3" s="1"/>
  <c r="T149" i="3" s="1"/>
  <c r="L150" i="3"/>
  <c r="I148" i="3"/>
  <c r="K148" i="3" s="1"/>
  <c r="X146" i="6"/>
  <c r="V146" i="6"/>
  <c r="AJ145" i="6" l="1"/>
  <c r="K65" i="4"/>
  <c r="L65" i="4" s="1"/>
  <c r="N65" i="4" s="1"/>
  <c r="AA72" i="6"/>
  <c r="AC72" i="6" s="1"/>
  <c r="AF72" i="6" s="1"/>
  <c r="C73" i="9"/>
  <c r="AH146" i="6"/>
  <c r="AH146" i="3"/>
  <c r="AJ146" i="3" s="1"/>
  <c r="F145" i="11"/>
  <c r="X147" i="6"/>
  <c r="V147" i="6"/>
  <c r="C147" i="4" s="1"/>
  <c r="X148" i="3"/>
  <c r="V148" i="3"/>
  <c r="I149" i="3"/>
  <c r="K149" i="3" s="1"/>
  <c r="F149" i="6"/>
  <c r="K148" i="6"/>
  <c r="I149" i="6"/>
  <c r="H150" i="6"/>
  <c r="F148" i="3"/>
  <c r="G148" i="3" s="1"/>
  <c r="M150" i="3"/>
  <c r="N150" i="3" s="1"/>
  <c r="O150" i="3" s="1"/>
  <c r="T150" i="3" s="1"/>
  <c r="L151" i="3"/>
  <c r="D146" i="11"/>
  <c r="Z146" i="6"/>
  <c r="U149" i="3"/>
  <c r="C146" i="4"/>
  <c r="W148" i="6"/>
  <c r="G148" i="6"/>
  <c r="W147" i="3"/>
  <c r="Z147" i="3" s="1"/>
  <c r="AH147" i="6" s="1"/>
  <c r="C147" i="11"/>
  <c r="U148" i="6"/>
  <c r="H145" i="4"/>
  <c r="M149" i="6"/>
  <c r="N149" i="6" s="1"/>
  <c r="O149" i="6" s="1"/>
  <c r="T149" i="6" s="1"/>
  <c r="L150" i="6"/>
  <c r="AF74" i="3"/>
  <c r="AD74" i="3"/>
  <c r="AE74" i="3" s="1"/>
  <c r="AD72" i="6" l="1"/>
  <c r="AE72" i="6" s="1"/>
  <c r="AJ146" i="6"/>
  <c r="G66" i="4"/>
  <c r="J66" i="4" s="1"/>
  <c r="E65" i="9"/>
  <c r="AH147" i="3"/>
  <c r="AJ147" i="3" s="1"/>
  <c r="AG74" i="3"/>
  <c r="AA75" i="3" s="1"/>
  <c r="AC75" i="3" s="1"/>
  <c r="AG72" i="6"/>
  <c r="AA73" i="6" s="1"/>
  <c r="AC73" i="6" s="1"/>
  <c r="I150" i="6"/>
  <c r="H151" i="6"/>
  <c r="W149" i="6"/>
  <c r="G149" i="6"/>
  <c r="I150" i="3"/>
  <c r="K150" i="3" s="1"/>
  <c r="F146" i="4"/>
  <c r="P146" i="4" s="1"/>
  <c r="E146" i="11"/>
  <c r="F146" i="11" s="1"/>
  <c r="F149" i="3"/>
  <c r="G149" i="3" s="1"/>
  <c r="C148" i="11"/>
  <c r="X149" i="3"/>
  <c r="V149" i="3"/>
  <c r="X148" i="6"/>
  <c r="V148" i="6"/>
  <c r="C148" i="4" s="1"/>
  <c r="F150" i="6"/>
  <c r="K149" i="6"/>
  <c r="M151" i="3"/>
  <c r="N151" i="3" s="1"/>
  <c r="O151" i="3" s="1"/>
  <c r="T151" i="3" s="1"/>
  <c r="L152" i="3"/>
  <c r="M150" i="6"/>
  <c r="N150" i="6" s="1"/>
  <c r="O150" i="6" s="1"/>
  <c r="T150" i="6" s="1"/>
  <c r="L151" i="6"/>
  <c r="U150" i="3"/>
  <c r="D147" i="11"/>
  <c r="Z147" i="6"/>
  <c r="AJ147" i="6" s="1"/>
  <c r="U149" i="6"/>
  <c r="E147" i="11"/>
  <c r="F147" i="4"/>
  <c r="P147" i="4" s="1"/>
  <c r="W148" i="3"/>
  <c r="Z148" i="3" s="1"/>
  <c r="C74" i="9" l="1"/>
  <c r="C8" i="10" s="1"/>
  <c r="M66" i="4"/>
  <c r="K66" i="4"/>
  <c r="L66" i="4" s="1"/>
  <c r="AH148" i="3"/>
  <c r="AJ148" i="3" s="1"/>
  <c r="AH148" i="6"/>
  <c r="D72" i="9"/>
  <c r="F147" i="11"/>
  <c r="X150" i="3"/>
  <c r="V150" i="3"/>
  <c r="E148" i="11"/>
  <c r="F148" i="4"/>
  <c r="P148" i="4" s="1"/>
  <c r="M152" i="3"/>
  <c r="N152" i="3" s="1"/>
  <c r="O152" i="3" s="1"/>
  <c r="T152" i="3" s="1"/>
  <c r="L153" i="3"/>
  <c r="W149" i="3"/>
  <c r="Z149" i="3" s="1"/>
  <c r="F150" i="3"/>
  <c r="G150" i="3" s="1"/>
  <c r="U150" i="6"/>
  <c r="H146" i="4"/>
  <c r="U151" i="3"/>
  <c r="X149" i="6"/>
  <c r="V149" i="6"/>
  <c r="C149" i="4" s="1"/>
  <c r="M151" i="6"/>
  <c r="N151" i="6" s="1"/>
  <c r="O151" i="6" s="1"/>
  <c r="T151" i="6" s="1"/>
  <c r="L152" i="6"/>
  <c r="H147" i="4"/>
  <c r="W150" i="6"/>
  <c r="G150" i="6"/>
  <c r="D148" i="11"/>
  <c r="Z148" i="6"/>
  <c r="I151" i="6"/>
  <c r="H152" i="6"/>
  <c r="AD75" i="3"/>
  <c r="AE75" i="3" s="1"/>
  <c r="AF75" i="3"/>
  <c r="C149" i="11"/>
  <c r="F151" i="6"/>
  <c r="K150" i="6"/>
  <c r="I151" i="3"/>
  <c r="K151" i="3" s="1"/>
  <c r="AD73" i="6"/>
  <c r="AE73" i="6" s="1"/>
  <c r="AF73" i="6"/>
  <c r="N66" i="4" l="1"/>
  <c r="E66" i="9" s="1"/>
  <c r="AJ148" i="6"/>
  <c r="AH149" i="6"/>
  <c r="AH149" i="3"/>
  <c r="AJ149" i="3" s="1"/>
  <c r="F148" i="11"/>
  <c r="AG75" i="3"/>
  <c r="C75" i="9" s="1"/>
  <c r="AG73" i="6"/>
  <c r="AA74" i="6" s="1"/>
  <c r="AC74" i="6" s="1"/>
  <c r="X150" i="6"/>
  <c r="V150" i="6"/>
  <c r="C150" i="4" s="1"/>
  <c r="W150" i="3"/>
  <c r="Z150" i="3" s="1"/>
  <c r="F151" i="3"/>
  <c r="G151" i="3" s="1"/>
  <c r="M152" i="6"/>
  <c r="N152" i="6" s="1"/>
  <c r="O152" i="6" s="1"/>
  <c r="T152" i="6" s="1"/>
  <c r="L153" i="6"/>
  <c r="U151" i="6"/>
  <c r="I152" i="3"/>
  <c r="K152" i="3" s="1"/>
  <c r="W151" i="6"/>
  <c r="G151" i="6"/>
  <c r="F149" i="4"/>
  <c r="P149" i="4" s="1"/>
  <c r="E149" i="11"/>
  <c r="D149" i="11"/>
  <c r="Z149" i="6"/>
  <c r="M153" i="3"/>
  <c r="N153" i="3" s="1"/>
  <c r="O153" i="3" s="1"/>
  <c r="T153" i="3" s="1"/>
  <c r="L154" i="3"/>
  <c r="U152" i="3"/>
  <c r="H148" i="4"/>
  <c r="C150" i="11"/>
  <c r="I152" i="6"/>
  <c r="H153" i="6"/>
  <c r="X151" i="3"/>
  <c r="V151" i="3"/>
  <c r="F152" i="6"/>
  <c r="K151" i="6"/>
  <c r="G67" i="4" l="1"/>
  <c r="J67" i="4" s="1"/>
  <c r="K67" i="4" s="1"/>
  <c r="L67" i="4" s="1"/>
  <c r="AJ149" i="6"/>
  <c r="AH150" i="3"/>
  <c r="AJ150" i="3" s="1"/>
  <c r="AH150" i="6"/>
  <c r="F149" i="11"/>
  <c r="D73" i="9"/>
  <c r="AA76" i="3"/>
  <c r="AC76" i="3" s="1"/>
  <c r="AD76" i="3" s="1"/>
  <c r="AE76" i="3" s="1"/>
  <c r="M153" i="6"/>
  <c r="N153" i="6" s="1"/>
  <c r="O153" i="6" s="1"/>
  <c r="T153" i="6" s="1"/>
  <c r="L154" i="6"/>
  <c r="W152" i="6"/>
  <c r="G152" i="6"/>
  <c r="C151" i="11"/>
  <c r="X152" i="3"/>
  <c r="V152" i="3"/>
  <c r="U152" i="6"/>
  <c r="M154" i="3"/>
  <c r="N154" i="3" s="1"/>
  <c r="O154" i="3" s="1"/>
  <c r="T154" i="3" s="1"/>
  <c r="L155" i="3"/>
  <c r="U153" i="3"/>
  <c r="W151" i="3"/>
  <c r="Z151" i="3" s="1"/>
  <c r="I153" i="6"/>
  <c r="H154" i="6"/>
  <c r="X151" i="6"/>
  <c r="V151" i="6"/>
  <c r="F153" i="6"/>
  <c r="K152" i="6"/>
  <c r="F150" i="4"/>
  <c r="P150" i="4" s="1"/>
  <c r="E150" i="11"/>
  <c r="H149" i="4"/>
  <c r="AD74" i="6"/>
  <c r="AE74" i="6" s="1"/>
  <c r="AF74" i="6"/>
  <c r="D150" i="11"/>
  <c r="Z150" i="6"/>
  <c r="I153" i="3"/>
  <c r="K153" i="3" s="1"/>
  <c r="F152" i="3"/>
  <c r="G152" i="3" s="1"/>
  <c r="M67" i="4" l="1"/>
  <c r="N67" i="4" s="1"/>
  <c r="AJ150" i="6"/>
  <c r="AH151" i="3"/>
  <c r="AJ151" i="3" s="1"/>
  <c r="AH151" i="6"/>
  <c r="AF76" i="3"/>
  <c r="AG76" i="3" s="1"/>
  <c r="AA77" i="3" s="1"/>
  <c r="AC77" i="3" s="1"/>
  <c r="F150" i="11"/>
  <c r="AG74" i="6"/>
  <c r="AA75" i="6" s="1"/>
  <c r="AC75" i="6" s="1"/>
  <c r="X153" i="3"/>
  <c r="V153" i="3"/>
  <c r="U154" i="3"/>
  <c r="C152" i="11"/>
  <c r="W153" i="6"/>
  <c r="G153" i="6"/>
  <c r="D151" i="11"/>
  <c r="Z151" i="6"/>
  <c r="C151" i="4"/>
  <c r="I154" i="3"/>
  <c r="K154" i="3" s="1"/>
  <c r="F154" i="6"/>
  <c r="K153" i="6"/>
  <c r="W152" i="3"/>
  <c r="Z152" i="3" s="1"/>
  <c r="F153" i="3"/>
  <c r="G153" i="3" s="1"/>
  <c r="I154" i="6"/>
  <c r="H155" i="6"/>
  <c r="M154" i="6"/>
  <c r="N154" i="6" s="1"/>
  <c r="O154" i="6" s="1"/>
  <c r="T154" i="6" s="1"/>
  <c r="L155" i="6"/>
  <c r="U153" i="6"/>
  <c r="M155" i="3"/>
  <c r="N155" i="3" s="1"/>
  <c r="O155" i="3" s="1"/>
  <c r="T155" i="3" s="1"/>
  <c r="L156" i="3"/>
  <c r="X152" i="6"/>
  <c r="V152" i="6"/>
  <c r="C152" i="4" s="1"/>
  <c r="H150" i="4"/>
  <c r="E67" i="9" l="1"/>
  <c r="G68" i="4"/>
  <c r="J68" i="4" s="1"/>
  <c r="AH152" i="6"/>
  <c r="AJ151" i="6"/>
  <c r="AH152" i="3"/>
  <c r="AJ152" i="3" s="1"/>
  <c r="D74" i="9"/>
  <c r="H8" i="10" s="1"/>
  <c r="C76" i="9"/>
  <c r="X153" i="6"/>
  <c r="V153" i="6"/>
  <c r="C153" i="4" s="1"/>
  <c r="X154" i="3"/>
  <c r="V154" i="3"/>
  <c r="U155" i="3"/>
  <c r="M155" i="6"/>
  <c r="N155" i="6" s="1"/>
  <c r="O155" i="6" s="1"/>
  <c r="T155" i="6" s="1"/>
  <c r="L156" i="6"/>
  <c r="U154" i="6"/>
  <c r="I155" i="6"/>
  <c r="H156" i="6"/>
  <c r="E152" i="11"/>
  <c r="F152" i="4"/>
  <c r="P152" i="4" s="1"/>
  <c r="F155" i="6"/>
  <c r="K154" i="6"/>
  <c r="W153" i="3"/>
  <c r="Z153" i="3" s="1"/>
  <c r="AH153" i="6" s="1"/>
  <c r="D152" i="11"/>
  <c r="Z152" i="6"/>
  <c r="C153" i="11"/>
  <c r="W154" i="6"/>
  <c r="G154" i="6"/>
  <c r="M156" i="3"/>
  <c r="N156" i="3" s="1"/>
  <c r="O156" i="3" s="1"/>
  <c r="T156" i="3" s="1"/>
  <c r="L157" i="3"/>
  <c r="I155" i="3"/>
  <c r="K155" i="3" s="1"/>
  <c r="F154" i="3"/>
  <c r="G154" i="3" s="1"/>
  <c r="E151" i="11"/>
  <c r="F151" i="11" s="1"/>
  <c r="F151" i="4"/>
  <c r="P151" i="4" s="1"/>
  <c r="AF77" i="3"/>
  <c r="AD77" i="3"/>
  <c r="AE77" i="3" s="1"/>
  <c r="AF75" i="6"/>
  <c r="AD75" i="6"/>
  <c r="AE75" i="6" s="1"/>
  <c r="M68" i="4" l="1"/>
  <c r="AJ152" i="6"/>
  <c r="AH153" i="3"/>
  <c r="AJ153" i="3" s="1"/>
  <c r="AG75" i="6"/>
  <c r="AA76" i="6" s="1"/>
  <c r="AC76" i="6" s="1"/>
  <c r="F152" i="11"/>
  <c r="AG77" i="3"/>
  <c r="AA78" i="3" s="1"/>
  <c r="AC78" i="3" s="1"/>
  <c r="X155" i="3"/>
  <c r="V155" i="3"/>
  <c r="U156" i="3"/>
  <c r="I156" i="6"/>
  <c r="H157" i="6"/>
  <c r="F156" i="6"/>
  <c r="K155" i="6"/>
  <c r="X154" i="6"/>
  <c r="V154" i="6"/>
  <c r="C154" i="4" s="1"/>
  <c r="M156" i="6"/>
  <c r="N156" i="6" s="1"/>
  <c r="O156" i="6" s="1"/>
  <c r="T156" i="6" s="1"/>
  <c r="L157" i="6"/>
  <c r="U155" i="6"/>
  <c r="H151" i="4"/>
  <c r="C154" i="11"/>
  <c r="W154" i="3"/>
  <c r="Z154" i="3" s="1"/>
  <c r="AH154" i="3" s="1"/>
  <c r="W155" i="6"/>
  <c r="G155" i="6"/>
  <c r="I156" i="3"/>
  <c r="K156" i="3" s="1"/>
  <c r="F153" i="4"/>
  <c r="P153" i="4" s="1"/>
  <c r="E153" i="11"/>
  <c r="Z153" i="6"/>
  <c r="AJ153" i="6" s="1"/>
  <c r="D153" i="11"/>
  <c r="F155" i="3"/>
  <c r="G155" i="3" s="1"/>
  <c r="M157" i="3"/>
  <c r="N157" i="3" s="1"/>
  <c r="O157" i="3" s="1"/>
  <c r="T157" i="3" s="1"/>
  <c r="L158" i="3"/>
  <c r="H152" i="4"/>
  <c r="D75" i="9" l="1"/>
  <c r="K68" i="4"/>
  <c r="L68" i="4" s="1"/>
  <c r="N68" i="4" s="1"/>
  <c r="AJ154" i="3"/>
  <c r="AH154" i="6"/>
  <c r="C77" i="9"/>
  <c r="F153" i="11"/>
  <c r="X155" i="6"/>
  <c r="V155" i="6"/>
  <c r="C155" i="4" s="1"/>
  <c r="E154" i="11"/>
  <c r="F154" i="4"/>
  <c r="P154" i="4" s="1"/>
  <c r="X156" i="3"/>
  <c r="V156" i="3"/>
  <c r="AD78" i="3"/>
  <c r="AE78" i="3" s="1"/>
  <c r="AF78" i="3"/>
  <c r="M157" i="6"/>
  <c r="N157" i="6" s="1"/>
  <c r="O157" i="6" s="1"/>
  <c r="T157" i="6" s="1"/>
  <c r="L158" i="6"/>
  <c r="U156" i="6"/>
  <c r="I157" i="3"/>
  <c r="K157" i="3" s="1"/>
  <c r="Z154" i="6"/>
  <c r="D154" i="11"/>
  <c r="M158" i="3"/>
  <c r="N158" i="3" s="1"/>
  <c r="O158" i="3" s="1"/>
  <c r="T158" i="3" s="1"/>
  <c r="L159" i="3"/>
  <c r="U157" i="3"/>
  <c r="W155" i="3"/>
  <c r="Z155" i="3" s="1"/>
  <c r="W156" i="6"/>
  <c r="G156" i="6"/>
  <c r="I157" i="6"/>
  <c r="H158" i="6"/>
  <c r="F157" i="6"/>
  <c r="K156" i="6"/>
  <c r="H153" i="4"/>
  <c r="C155" i="11"/>
  <c r="F156" i="3"/>
  <c r="G156" i="3" s="1"/>
  <c r="AD76" i="6"/>
  <c r="AE76" i="6" s="1"/>
  <c r="AF76" i="6"/>
  <c r="E68" i="9" l="1"/>
  <c r="G69" i="4"/>
  <c r="J69" i="4" s="1"/>
  <c r="AJ154" i="6"/>
  <c r="AH155" i="3"/>
  <c r="AJ155" i="3" s="1"/>
  <c r="AH155" i="6"/>
  <c r="AG78" i="3"/>
  <c r="AA79" i="3" s="1"/>
  <c r="AC79" i="3" s="1"/>
  <c r="F154" i="11"/>
  <c r="AG76" i="6"/>
  <c r="AA77" i="6" s="1"/>
  <c r="AC77" i="6" s="1"/>
  <c r="X157" i="3"/>
  <c r="V157" i="3"/>
  <c r="X156" i="6"/>
  <c r="V156" i="6"/>
  <c r="C156" i="4" s="1"/>
  <c r="E155" i="11"/>
  <c r="F155" i="4"/>
  <c r="P155" i="4" s="1"/>
  <c r="W157" i="6"/>
  <c r="G157" i="6"/>
  <c r="I158" i="6"/>
  <c r="H159" i="6"/>
  <c r="F157" i="3"/>
  <c r="G157" i="3" s="1"/>
  <c r="M158" i="6"/>
  <c r="N158" i="6" s="1"/>
  <c r="O158" i="6" s="1"/>
  <c r="T158" i="6" s="1"/>
  <c r="L159" i="6"/>
  <c r="U157" i="6"/>
  <c r="U158" i="3"/>
  <c r="W156" i="3"/>
  <c r="Z156" i="3" s="1"/>
  <c r="AH156" i="6" s="1"/>
  <c r="M159" i="3"/>
  <c r="N159" i="3" s="1"/>
  <c r="O159" i="3" s="1"/>
  <c r="T159" i="3" s="1"/>
  <c r="L160" i="3"/>
  <c r="C156" i="11"/>
  <c r="H154" i="4"/>
  <c r="Z155" i="6"/>
  <c r="D155" i="11"/>
  <c r="F158" i="6"/>
  <c r="K157" i="6"/>
  <c r="I158" i="3"/>
  <c r="K158" i="3" s="1"/>
  <c r="K69" i="4" l="1"/>
  <c r="L69" i="4" s="1"/>
  <c r="M69" i="4"/>
  <c r="AH156" i="3"/>
  <c r="AJ156" i="3" s="1"/>
  <c r="AJ155" i="6"/>
  <c r="C78" i="9"/>
  <c r="D76" i="9"/>
  <c r="F155" i="11"/>
  <c r="X158" i="3"/>
  <c r="V158" i="3"/>
  <c r="X157" i="6"/>
  <c r="V157" i="6"/>
  <c r="C157" i="4" s="1"/>
  <c r="M160" i="3"/>
  <c r="N160" i="3" s="1"/>
  <c r="O160" i="3" s="1"/>
  <c r="T160" i="3" s="1"/>
  <c r="L161" i="3"/>
  <c r="I159" i="3"/>
  <c r="K159" i="3" s="1"/>
  <c r="F158" i="3"/>
  <c r="G158" i="3" s="1"/>
  <c r="W157" i="3"/>
  <c r="Z157" i="3" s="1"/>
  <c r="I159" i="6"/>
  <c r="H160" i="6"/>
  <c r="U159" i="3"/>
  <c r="F159" i="6"/>
  <c r="K158" i="6"/>
  <c r="H155" i="4"/>
  <c r="D156" i="11"/>
  <c r="Z156" i="6"/>
  <c r="AJ156" i="6" s="1"/>
  <c r="W158" i="6"/>
  <c r="G158" i="6"/>
  <c r="AF79" i="3"/>
  <c r="AD79" i="3"/>
  <c r="AE79" i="3" s="1"/>
  <c r="AD77" i="6"/>
  <c r="AE77" i="6" s="1"/>
  <c r="AF77" i="6"/>
  <c r="C157" i="11"/>
  <c r="M159" i="6"/>
  <c r="N159" i="6" s="1"/>
  <c r="O159" i="6" s="1"/>
  <c r="T159" i="6" s="1"/>
  <c r="L160" i="6"/>
  <c r="E156" i="11"/>
  <c r="F156" i="4"/>
  <c r="P156" i="4" s="1"/>
  <c r="U158" i="6"/>
  <c r="N69" i="4" l="1"/>
  <c r="G70" i="4" s="1"/>
  <c r="J70" i="4" s="1"/>
  <c r="AH157" i="6"/>
  <c r="AH157" i="3"/>
  <c r="AJ157" i="3" s="1"/>
  <c r="AG77" i="6"/>
  <c r="D77" i="9" s="1"/>
  <c r="F156" i="11"/>
  <c r="AG79" i="3"/>
  <c r="AA80" i="3" s="1"/>
  <c r="AC80" i="3" s="1"/>
  <c r="X158" i="6"/>
  <c r="V158" i="6"/>
  <c r="C158" i="4" s="1"/>
  <c r="W158" i="3"/>
  <c r="Z158" i="3" s="1"/>
  <c r="AH158" i="3" s="1"/>
  <c r="I160" i="3"/>
  <c r="K160" i="3" s="1"/>
  <c r="F159" i="3"/>
  <c r="G159" i="3" s="1"/>
  <c r="M161" i="3"/>
  <c r="N161" i="3" s="1"/>
  <c r="O161" i="3" s="1"/>
  <c r="T161" i="3" s="1"/>
  <c r="L162" i="3"/>
  <c r="M160" i="6"/>
  <c r="N160" i="6" s="1"/>
  <c r="O160" i="6" s="1"/>
  <c r="T160" i="6" s="1"/>
  <c r="L161" i="6"/>
  <c r="U160" i="3"/>
  <c r="Z157" i="6"/>
  <c r="D157" i="11"/>
  <c r="W159" i="6"/>
  <c r="G159" i="6"/>
  <c r="H156" i="4"/>
  <c r="X159" i="3"/>
  <c r="V159" i="3"/>
  <c r="C158" i="11"/>
  <c r="I160" i="6"/>
  <c r="H161" i="6"/>
  <c r="U159" i="6"/>
  <c r="E157" i="11"/>
  <c r="F157" i="4"/>
  <c r="P157" i="4" s="1"/>
  <c r="F160" i="6"/>
  <c r="K159" i="6"/>
  <c r="E69" i="9" l="1"/>
  <c r="AJ157" i="6"/>
  <c r="K70" i="4"/>
  <c r="L70" i="4" s="1"/>
  <c r="AH158" i="6"/>
  <c r="AJ158" i="3"/>
  <c r="C79" i="9"/>
  <c r="AA78" i="6"/>
  <c r="AC78" i="6" s="1"/>
  <c r="AF78" i="6" s="1"/>
  <c r="F157" i="11"/>
  <c r="U161" i="3"/>
  <c r="C159" i="11"/>
  <c r="F160" i="3"/>
  <c r="G160" i="3" s="1"/>
  <c r="I161" i="3"/>
  <c r="K161" i="3" s="1"/>
  <c r="X159" i="6"/>
  <c r="V159" i="6"/>
  <c r="W160" i="6"/>
  <c r="G160" i="6"/>
  <c r="F161" i="6"/>
  <c r="K160" i="6"/>
  <c r="X160" i="3"/>
  <c r="V160" i="3"/>
  <c r="D158" i="11"/>
  <c r="Z158" i="6"/>
  <c r="W159" i="3"/>
  <c r="Z159" i="3" s="1"/>
  <c r="H157" i="4"/>
  <c r="I161" i="6"/>
  <c r="H162" i="6"/>
  <c r="E158" i="11"/>
  <c r="F158" i="4"/>
  <c r="P158" i="4" s="1"/>
  <c r="M161" i="6"/>
  <c r="N161" i="6" s="1"/>
  <c r="O161" i="6" s="1"/>
  <c r="T161" i="6" s="1"/>
  <c r="L162" i="6"/>
  <c r="U160" i="6"/>
  <c r="M162" i="3"/>
  <c r="N162" i="3" s="1"/>
  <c r="O162" i="3" s="1"/>
  <c r="T162" i="3" s="1"/>
  <c r="L163" i="3"/>
  <c r="AD80" i="3"/>
  <c r="AE80" i="3" s="1"/>
  <c r="AF80" i="3"/>
  <c r="M70" i="4" l="1"/>
  <c r="N70" i="4" s="1"/>
  <c r="F158" i="11"/>
  <c r="AJ158" i="6"/>
  <c r="AH159" i="3"/>
  <c r="AJ159" i="3" s="1"/>
  <c r="AH159" i="6"/>
  <c r="AD78" i="6"/>
  <c r="AE78" i="6" s="1"/>
  <c r="AG78" i="6" s="1"/>
  <c r="AA79" i="6" s="1"/>
  <c r="AC79" i="6" s="1"/>
  <c r="AG80" i="3"/>
  <c r="AA81" i="3" s="1"/>
  <c r="AC81" i="3" s="1"/>
  <c r="X161" i="3"/>
  <c r="V161" i="3"/>
  <c r="D159" i="11"/>
  <c r="Z159" i="6"/>
  <c r="I162" i="6"/>
  <c r="H163" i="6"/>
  <c r="W160" i="3"/>
  <c r="Z160" i="3" s="1"/>
  <c r="AH160" i="3" s="1"/>
  <c r="I162" i="3"/>
  <c r="K162" i="3" s="1"/>
  <c r="U162" i="3"/>
  <c r="C160" i="11"/>
  <c r="C159" i="4"/>
  <c r="F161" i="3"/>
  <c r="G161" i="3" s="1"/>
  <c r="F162" i="6"/>
  <c r="K161" i="6"/>
  <c r="W161" i="6"/>
  <c r="G161" i="6"/>
  <c r="X160" i="6"/>
  <c r="V160" i="6"/>
  <c r="C160" i="4" s="1"/>
  <c r="M162" i="6"/>
  <c r="N162" i="6" s="1"/>
  <c r="O162" i="6" s="1"/>
  <c r="T162" i="6" s="1"/>
  <c r="L163" i="6"/>
  <c r="M163" i="3"/>
  <c r="N163" i="3" s="1"/>
  <c r="O163" i="3" s="1"/>
  <c r="T163" i="3" s="1"/>
  <c r="L164" i="3"/>
  <c r="U161" i="6"/>
  <c r="H158" i="4"/>
  <c r="G71" i="4" l="1"/>
  <c r="J71" i="4" s="1"/>
  <c r="E70" i="9"/>
  <c r="AJ159" i="6"/>
  <c r="AH160" i="6"/>
  <c r="AJ160" i="3"/>
  <c r="C80" i="9"/>
  <c r="D78" i="9"/>
  <c r="X161" i="6"/>
  <c r="V161" i="6"/>
  <c r="C161" i="4" s="1"/>
  <c r="E160" i="11"/>
  <c r="F160" i="4"/>
  <c r="P160" i="4" s="1"/>
  <c r="F162" i="3"/>
  <c r="G162" i="3" s="1"/>
  <c r="F163" i="6"/>
  <c r="K162" i="6"/>
  <c r="W161" i="3"/>
  <c r="Z161" i="3" s="1"/>
  <c r="I163" i="6"/>
  <c r="H164" i="6"/>
  <c r="M164" i="3"/>
  <c r="N164" i="3" s="1"/>
  <c r="O164" i="3" s="1"/>
  <c r="T164" i="3" s="1"/>
  <c r="L165" i="3"/>
  <c r="U163" i="3"/>
  <c r="C161" i="11"/>
  <c r="E159" i="11"/>
  <c r="F159" i="11" s="1"/>
  <c r="F159" i="4"/>
  <c r="P159" i="4" s="1"/>
  <c r="W162" i="6"/>
  <c r="G162" i="6"/>
  <c r="M163" i="6"/>
  <c r="N163" i="6" s="1"/>
  <c r="O163" i="6" s="1"/>
  <c r="T163" i="6" s="1"/>
  <c r="L164" i="6"/>
  <c r="AF81" i="3"/>
  <c r="AD81" i="3"/>
  <c r="AE81" i="3" s="1"/>
  <c r="U162" i="6"/>
  <c r="D160" i="11"/>
  <c r="Z160" i="6"/>
  <c r="AJ160" i="6" s="1"/>
  <c r="X162" i="3"/>
  <c r="V162" i="3"/>
  <c r="I163" i="3"/>
  <c r="K163" i="3" s="1"/>
  <c r="AF79" i="6"/>
  <c r="AD79" i="6"/>
  <c r="AE79" i="6" s="1"/>
  <c r="M71" i="4" l="1"/>
  <c r="K71" i="4"/>
  <c r="L71" i="4" s="1"/>
  <c r="AH161" i="6"/>
  <c r="F160" i="11"/>
  <c r="AH161" i="3"/>
  <c r="AJ161" i="3" s="1"/>
  <c r="AG81" i="3"/>
  <c r="AA82" i="3" s="1"/>
  <c r="AC82" i="3" s="1"/>
  <c r="AG79" i="6"/>
  <c r="AA80" i="6" s="1"/>
  <c r="AC80" i="6" s="1"/>
  <c r="X162" i="6"/>
  <c r="V162" i="6"/>
  <c r="C162" i="4" s="1"/>
  <c r="X163" i="3"/>
  <c r="V163" i="3"/>
  <c r="U164" i="3"/>
  <c r="M165" i="3"/>
  <c r="N165" i="3" s="1"/>
  <c r="O165" i="3" s="1"/>
  <c r="T165" i="3" s="1"/>
  <c r="L166" i="3"/>
  <c r="U163" i="6"/>
  <c r="G163" i="6"/>
  <c r="W163" i="6"/>
  <c r="F163" i="3"/>
  <c r="G163" i="3" s="1"/>
  <c r="H159" i="4"/>
  <c r="F164" i="6"/>
  <c r="K163" i="6"/>
  <c r="E161" i="11"/>
  <c r="F161" i="4"/>
  <c r="P161" i="4" s="1"/>
  <c r="W162" i="3"/>
  <c r="Z162" i="3" s="1"/>
  <c r="H160" i="4"/>
  <c r="I164" i="6"/>
  <c r="H165" i="6"/>
  <c r="I164" i="3"/>
  <c r="K164" i="3" s="1"/>
  <c r="D161" i="11"/>
  <c r="Z161" i="6"/>
  <c r="AJ161" i="6" s="1"/>
  <c r="C162" i="11"/>
  <c r="M164" i="6"/>
  <c r="N164" i="6" s="1"/>
  <c r="O164" i="6" s="1"/>
  <c r="T164" i="6" s="1"/>
  <c r="L165" i="6"/>
  <c r="N71" i="4" l="1"/>
  <c r="E71" i="9"/>
  <c r="G72" i="4"/>
  <c r="J72" i="4" s="1"/>
  <c r="D79" i="9"/>
  <c r="AH162" i="6"/>
  <c r="AH162" i="3"/>
  <c r="AJ162" i="3" s="1"/>
  <c r="C81" i="9"/>
  <c r="F161" i="11"/>
  <c r="H161" i="4"/>
  <c r="M166" i="3"/>
  <c r="N166" i="3" s="1"/>
  <c r="O166" i="3" s="1"/>
  <c r="T166" i="3" s="1"/>
  <c r="L167" i="3"/>
  <c r="U165" i="3"/>
  <c r="X164" i="3"/>
  <c r="V164" i="3"/>
  <c r="U164" i="6"/>
  <c r="AD80" i="6"/>
  <c r="AE80" i="6" s="1"/>
  <c r="AF80" i="6"/>
  <c r="W164" i="6"/>
  <c r="G164" i="6"/>
  <c r="C163" i="11"/>
  <c r="M165" i="6"/>
  <c r="N165" i="6" s="1"/>
  <c r="O165" i="6" s="1"/>
  <c r="T165" i="6" s="1"/>
  <c r="L166" i="6"/>
  <c r="W163" i="3"/>
  <c r="Z163" i="3" s="1"/>
  <c r="F165" i="6"/>
  <c r="K164" i="6"/>
  <c r="AD82" i="3"/>
  <c r="AE82" i="3" s="1"/>
  <c r="AF82" i="3"/>
  <c r="F164" i="3"/>
  <c r="G164" i="3" s="1"/>
  <c r="Z162" i="6"/>
  <c r="D162" i="11"/>
  <c r="E162" i="11"/>
  <c r="F162" i="4"/>
  <c r="P162" i="4" s="1"/>
  <c r="X163" i="6"/>
  <c r="V163" i="6"/>
  <c r="C163" i="4" s="1"/>
  <c r="I165" i="3"/>
  <c r="K165" i="3" s="1"/>
  <c r="I165" i="6"/>
  <c r="H166" i="6"/>
  <c r="AJ162" i="6" l="1"/>
  <c r="K72" i="4"/>
  <c r="L72" i="4" s="1"/>
  <c r="M72" i="4"/>
  <c r="AH163" i="6"/>
  <c r="AH163" i="3"/>
  <c r="AJ163" i="3" s="1"/>
  <c r="F162" i="11"/>
  <c r="AG82" i="3"/>
  <c r="AA83" i="3" s="1"/>
  <c r="AC83" i="3" s="1"/>
  <c r="AG80" i="6"/>
  <c r="D80" i="9" s="1"/>
  <c r="F163" i="4"/>
  <c r="P163" i="4" s="1"/>
  <c r="E163" i="11"/>
  <c r="X164" i="6"/>
  <c r="V164" i="6"/>
  <c r="X165" i="3"/>
  <c r="V165" i="3"/>
  <c r="I166" i="6"/>
  <c r="H167" i="6"/>
  <c r="F166" i="6"/>
  <c r="K165" i="6"/>
  <c r="F165" i="3"/>
  <c r="G165" i="3" s="1"/>
  <c r="I166" i="3"/>
  <c r="K166" i="3" s="1"/>
  <c r="M167" i="3"/>
  <c r="N167" i="3" s="1"/>
  <c r="O167" i="3" s="1"/>
  <c r="T167" i="3" s="1"/>
  <c r="L168" i="3"/>
  <c r="U166" i="3"/>
  <c r="C164" i="11"/>
  <c r="H162" i="4"/>
  <c r="W164" i="3"/>
  <c r="Z164" i="3" s="1"/>
  <c r="Z163" i="6"/>
  <c r="D163" i="11"/>
  <c r="M166" i="6"/>
  <c r="N166" i="6" s="1"/>
  <c r="O166" i="6" s="1"/>
  <c r="T166" i="6" s="1"/>
  <c r="L167" i="6"/>
  <c r="W165" i="6"/>
  <c r="G165" i="6"/>
  <c r="U165" i="6"/>
  <c r="AJ163" i="6" l="1"/>
  <c r="N72" i="4"/>
  <c r="G73" i="4" s="1"/>
  <c r="J73" i="4" s="1"/>
  <c r="C82" i="9"/>
  <c r="AA81" i="6"/>
  <c r="AC81" i="6" s="1"/>
  <c r="AF81" i="6" s="1"/>
  <c r="AH164" i="3"/>
  <c r="AJ164" i="3" s="1"/>
  <c r="AH164" i="6"/>
  <c r="F163" i="11"/>
  <c r="X165" i="6"/>
  <c r="V165" i="6"/>
  <c r="I167" i="6"/>
  <c r="H168" i="6"/>
  <c r="F167" i="6"/>
  <c r="K166" i="6"/>
  <c r="C165" i="11"/>
  <c r="W166" i="6"/>
  <c r="G166" i="6"/>
  <c r="X166" i="3"/>
  <c r="V166" i="3"/>
  <c r="Z164" i="6"/>
  <c r="D164" i="11"/>
  <c r="C164" i="4"/>
  <c r="M168" i="3"/>
  <c r="N168" i="3" s="1"/>
  <c r="O168" i="3" s="1"/>
  <c r="T168" i="3" s="1"/>
  <c r="L169" i="3"/>
  <c r="U167" i="3"/>
  <c r="I167" i="3"/>
  <c r="K167" i="3" s="1"/>
  <c r="M167" i="6"/>
  <c r="N167" i="6" s="1"/>
  <c r="O167" i="6" s="1"/>
  <c r="T167" i="6" s="1"/>
  <c r="L168" i="6"/>
  <c r="U166" i="6"/>
  <c r="F166" i="3"/>
  <c r="G166" i="3" s="1"/>
  <c r="AD83" i="3"/>
  <c r="AE83" i="3" s="1"/>
  <c r="AF83" i="3"/>
  <c r="W165" i="3"/>
  <c r="Z165" i="3" s="1"/>
  <c r="H163" i="4"/>
  <c r="E72" i="9" l="1"/>
  <c r="AJ164" i="6"/>
  <c r="AH165" i="6"/>
  <c r="AD81" i="6"/>
  <c r="AE81" i="6" s="1"/>
  <c r="AG81" i="6" s="1"/>
  <c r="AA82" i="6" s="1"/>
  <c r="AC82" i="6" s="1"/>
  <c r="AH165" i="3"/>
  <c r="AJ165" i="3" s="1"/>
  <c r="AG83" i="3"/>
  <c r="C83" i="9" s="1"/>
  <c r="X166" i="6"/>
  <c r="V166" i="6"/>
  <c r="C166" i="4" s="1"/>
  <c r="X167" i="3"/>
  <c r="V167" i="3"/>
  <c r="I168" i="3"/>
  <c r="K168" i="3" s="1"/>
  <c r="F164" i="4"/>
  <c r="P164" i="4" s="1"/>
  <c r="E164" i="11"/>
  <c r="F164" i="11" s="1"/>
  <c r="F167" i="3"/>
  <c r="G167" i="3" s="1"/>
  <c r="W167" i="6"/>
  <c r="G167" i="6"/>
  <c r="I168" i="6"/>
  <c r="H169" i="6"/>
  <c r="F168" i="6"/>
  <c r="K167" i="6"/>
  <c r="C166" i="11"/>
  <c r="U168" i="3"/>
  <c r="Z165" i="6"/>
  <c r="AJ165" i="6" s="1"/>
  <c r="D165" i="11"/>
  <c r="M169" i="3"/>
  <c r="N169" i="3" s="1"/>
  <c r="O169" i="3" s="1"/>
  <c r="T169" i="3" s="1"/>
  <c r="L170" i="3"/>
  <c r="W166" i="3"/>
  <c r="Z166" i="3" s="1"/>
  <c r="AH166" i="6" s="1"/>
  <c r="M168" i="6"/>
  <c r="N168" i="6" s="1"/>
  <c r="O168" i="6" s="1"/>
  <c r="T168" i="6" s="1"/>
  <c r="L169" i="6"/>
  <c r="U167" i="6"/>
  <c r="C165" i="4"/>
  <c r="M73" i="4" l="1"/>
  <c r="K73" i="4"/>
  <c r="L73" i="4" s="1"/>
  <c r="AA84" i="3"/>
  <c r="AC84" i="3" s="1"/>
  <c r="D81" i="9"/>
  <c r="AH166" i="3"/>
  <c r="AJ166" i="3" s="1"/>
  <c r="X168" i="3"/>
  <c r="V168" i="3"/>
  <c r="X167" i="6"/>
  <c r="V167" i="6"/>
  <c r="C167" i="4" s="1"/>
  <c r="F165" i="4"/>
  <c r="P165" i="4" s="1"/>
  <c r="E165" i="11"/>
  <c r="F165" i="11" s="1"/>
  <c r="H164" i="4"/>
  <c r="M169" i="6"/>
  <c r="N169" i="6" s="1"/>
  <c r="O169" i="6" s="1"/>
  <c r="T169" i="6" s="1"/>
  <c r="L170" i="6"/>
  <c r="AF84" i="3"/>
  <c r="AD84" i="3"/>
  <c r="AE84" i="3" s="1"/>
  <c r="I169" i="3"/>
  <c r="K169" i="3" s="1"/>
  <c r="F168" i="3"/>
  <c r="G168" i="3" s="1"/>
  <c r="C167" i="11"/>
  <c r="F166" i="4"/>
  <c r="P166" i="4" s="1"/>
  <c r="E166" i="11"/>
  <c r="AD82" i="6"/>
  <c r="AE82" i="6" s="1"/>
  <c r="AF82" i="6"/>
  <c r="W167" i="3"/>
  <c r="Z167" i="3" s="1"/>
  <c r="AH167" i="6" s="1"/>
  <c r="U169" i="3"/>
  <c r="W168" i="6"/>
  <c r="G168" i="6"/>
  <c r="Z166" i="6"/>
  <c r="AJ166" i="6" s="1"/>
  <c r="D166" i="11"/>
  <c r="U168" i="6"/>
  <c r="M170" i="3"/>
  <c r="N170" i="3" s="1"/>
  <c r="O170" i="3" s="1"/>
  <c r="T170" i="3" s="1"/>
  <c r="L171" i="3"/>
  <c r="I169" i="6"/>
  <c r="H170" i="6"/>
  <c r="F169" i="6"/>
  <c r="K168" i="6"/>
  <c r="N73" i="4" l="1"/>
  <c r="E73" i="9" s="1"/>
  <c r="AH167" i="3"/>
  <c r="AJ167" i="3" s="1"/>
  <c r="F166" i="11"/>
  <c r="AG84" i="3"/>
  <c r="AA85" i="3" s="1"/>
  <c r="AC85" i="3" s="1"/>
  <c r="AG82" i="6"/>
  <c r="AA83" i="6" s="1"/>
  <c r="AC83" i="6" s="1"/>
  <c r="X169" i="3"/>
  <c r="V169" i="3"/>
  <c r="W169" i="6"/>
  <c r="G169" i="6"/>
  <c r="I170" i="6"/>
  <c r="H171" i="6"/>
  <c r="M170" i="6"/>
  <c r="N170" i="6" s="1"/>
  <c r="O170" i="6" s="1"/>
  <c r="T170" i="6" s="1"/>
  <c r="L171" i="6"/>
  <c r="U169" i="6"/>
  <c r="F170" i="6"/>
  <c r="K169" i="6"/>
  <c r="M171" i="3"/>
  <c r="N171" i="3" s="1"/>
  <c r="O171" i="3" s="1"/>
  <c r="T171" i="3" s="1"/>
  <c r="L172" i="3"/>
  <c r="X168" i="6"/>
  <c r="V168" i="6"/>
  <c r="C168" i="4" s="1"/>
  <c r="H165" i="4"/>
  <c r="Z167" i="6"/>
  <c r="AJ167" i="6" s="1"/>
  <c r="D167" i="11"/>
  <c r="U170" i="3"/>
  <c r="W168" i="3"/>
  <c r="Z168" i="3" s="1"/>
  <c r="E167" i="11"/>
  <c r="F167" i="4"/>
  <c r="P167" i="4" s="1"/>
  <c r="H166" i="4"/>
  <c r="I170" i="3"/>
  <c r="K170" i="3" s="1"/>
  <c r="C168" i="11"/>
  <c r="F169" i="3"/>
  <c r="G169" i="3" s="1"/>
  <c r="G74" i="4" l="1"/>
  <c r="J74" i="4" s="1"/>
  <c r="C84" i="9"/>
  <c r="M74" i="4"/>
  <c r="D82" i="9"/>
  <c r="AH168" i="6"/>
  <c r="AH168" i="3"/>
  <c r="AJ168" i="3" s="1"/>
  <c r="F167" i="11"/>
  <c r="X169" i="6"/>
  <c r="V169" i="6"/>
  <c r="C169" i="4" s="1"/>
  <c r="X170" i="3"/>
  <c r="V170" i="3"/>
  <c r="M171" i="6"/>
  <c r="N171" i="6" s="1"/>
  <c r="O171" i="6" s="1"/>
  <c r="T171" i="6" s="1"/>
  <c r="L172" i="6"/>
  <c r="U170" i="6"/>
  <c r="I171" i="6"/>
  <c r="H172" i="6"/>
  <c r="F171" i="6"/>
  <c r="K170" i="6"/>
  <c r="W169" i="3"/>
  <c r="Z169" i="3" s="1"/>
  <c r="Z168" i="6"/>
  <c r="D168" i="11"/>
  <c r="I171" i="3"/>
  <c r="K171" i="3" s="1"/>
  <c r="F170" i="3"/>
  <c r="G170" i="3" s="1"/>
  <c r="M172" i="3"/>
  <c r="N172" i="3" s="1"/>
  <c r="O172" i="3" s="1"/>
  <c r="T172" i="3" s="1"/>
  <c r="L173" i="3"/>
  <c r="AD83" i="6"/>
  <c r="AE83" i="6" s="1"/>
  <c r="AF83" i="6"/>
  <c r="U171" i="3"/>
  <c r="C169" i="11"/>
  <c r="E168" i="11"/>
  <c r="F168" i="4"/>
  <c r="P168" i="4" s="1"/>
  <c r="H167" i="4"/>
  <c r="W170" i="6"/>
  <c r="G170" i="6"/>
  <c r="AD85" i="3"/>
  <c r="AE85" i="3" s="1"/>
  <c r="AF85" i="3"/>
  <c r="K74" i="4" l="1"/>
  <c r="L74" i="4" s="1"/>
  <c r="N74" i="4" s="1"/>
  <c r="AJ168" i="6"/>
  <c r="AH169" i="3"/>
  <c r="AJ169" i="3" s="1"/>
  <c r="AH169" i="6"/>
  <c r="AG85" i="3"/>
  <c r="AA86" i="3" s="1"/>
  <c r="AC86" i="3" s="1"/>
  <c r="F168" i="11"/>
  <c r="AG83" i="6"/>
  <c r="AA84" i="6" s="1"/>
  <c r="AC84" i="6" s="1"/>
  <c r="X171" i="3"/>
  <c r="V171" i="3"/>
  <c r="W171" i="6"/>
  <c r="G171" i="6"/>
  <c r="U172" i="3"/>
  <c r="X170" i="6"/>
  <c r="V170" i="6"/>
  <c r="C170" i="11"/>
  <c r="M173" i="3"/>
  <c r="N173" i="3" s="1"/>
  <c r="O173" i="3" s="1"/>
  <c r="T173" i="3" s="1"/>
  <c r="L174" i="3"/>
  <c r="I172" i="3"/>
  <c r="K172" i="3" s="1"/>
  <c r="F172" i="6"/>
  <c r="K171" i="6"/>
  <c r="F171" i="3"/>
  <c r="G171" i="3" s="1"/>
  <c r="W170" i="3"/>
  <c r="Z170" i="3" s="1"/>
  <c r="D169" i="11"/>
  <c r="Z169" i="6"/>
  <c r="AJ169" i="6" s="1"/>
  <c r="M172" i="6"/>
  <c r="N172" i="6" s="1"/>
  <c r="O172" i="6" s="1"/>
  <c r="T172" i="6" s="1"/>
  <c r="L173" i="6"/>
  <c r="H168" i="4"/>
  <c r="I172" i="6"/>
  <c r="H173" i="6"/>
  <c r="U171" i="6"/>
  <c r="E169" i="11"/>
  <c r="F169" i="4"/>
  <c r="P169" i="4" s="1"/>
  <c r="E74" i="9" l="1"/>
  <c r="M8" i="10" s="1"/>
  <c r="G75" i="4"/>
  <c r="J75" i="4" s="1"/>
  <c r="C85" i="9"/>
  <c r="F169" i="11"/>
  <c r="AH170" i="3"/>
  <c r="AJ170" i="3" s="1"/>
  <c r="AH170" i="6"/>
  <c r="D83" i="9"/>
  <c r="X172" i="3"/>
  <c r="V172" i="3"/>
  <c r="U172" i="6"/>
  <c r="W171" i="3"/>
  <c r="Z171" i="3" s="1"/>
  <c r="Z170" i="6"/>
  <c r="D170" i="11"/>
  <c r="AD86" i="3"/>
  <c r="AE86" i="3" s="1"/>
  <c r="AF86" i="3"/>
  <c r="C170" i="4"/>
  <c r="C171" i="11"/>
  <c r="H169" i="4"/>
  <c r="I173" i="3"/>
  <c r="K173" i="3" s="1"/>
  <c r="U173" i="3"/>
  <c r="W172" i="6"/>
  <c r="G172" i="6"/>
  <c r="F173" i="6"/>
  <c r="K172" i="6"/>
  <c r="X171" i="6"/>
  <c r="V171" i="6"/>
  <c r="C171" i="4" s="1"/>
  <c r="I173" i="6"/>
  <c r="H174" i="6"/>
  <c r="F172" i="3"/>
  <c r="G172" i="3" s="1"/>
  <c r="M174" i="3"/>
  <c r="N174" i="3" s="1"/>
  <c r="O174" i="3" s="1"/>
  <c r="T174" i="3" s="1"/>
  <c r="L175" i="3"/>
  <c r="M173" i="6"/>
  <c r="N173" i="6" s="1"/>
  <c r="O173" i="6" s="1"/>
  <c r="T173" i="6" s="1"/>
  <c r="L174" i="6"/>
  <c r="AD84" i="6"/>
  <c r="AE84" i="6" s="1"/>
  <c r="AF84" i="6"/>
  <c r="M75" i="4" l="1"/>
  <c r="AJ170" i="6"/>
  <c r="AH171" i="3"/>
  <c r="AJ171" i="3" s="1"/>
  <c r="AH171" i="6"/>
  <c r="AG86" i="3"/>
  <c r="AA87" i="3" s="1"/>
  <c r="AC87" i="3" s="1"/>
  <c r="AG84" i="6"/>
  <c r="AA85" i="6" s="1"/>
  <c r="AC85" i="6" s="1"/>
  <c r="X173" i="3"/>
  <c r="V173" i="3"/>
  <c r="M174" i="6"/>
  <c r="N174" i="6" s="1"/>
  <c r="O174" i="6" s="1"/>
  <c r="T174" i="6" s="1"/>
  <c r="L175" i="6"/>
  <c r="M175" i="3"/>
  <c r="N175" i="3" s="1"/>
  <c r="O175" i="3" s="1"/>
  <c r="T175" i="3" s="1"/>
  <c r="L176" i="3"/>
  <c r="F170" i="4"/>
  <c r="P170" i="4" s="1"/>
  <c r="E170" i="11"/>
  <c r="F170" i="11" s="1"/>
  <c r="U173" i="6"/>
  <c r="I174" i="3"/>
  <c r="K174" i="3" s="1"/>
  <c r="I174" i="6"/>
  <c r="H175" i="6"/>
  <c r="F173" i="3"/>
  <c r="G173" i="3" s="1"/>
  <c r="F174" i="6"/>
  <c r="K173" i="6"/>
  <c r="C172" i="11"/>
  <c r="W172" i="3"/>
  <c r="Z172" i="3" s="1"/>
  <c r="AH172" i="3" s="1"/>
  <c r="W173" i="6"/>
  <c r="G173" i="6"/>
  <c r="U174" i="3"/>
  <c r="X172" i="6"/>
  <c r="V172" i="6"/>
  <c r="C172" i="4" s="1"/>
  <c r="E171" i="11"/>
  <c r="F171" i="4"/>
  <c r="P171" i="4" s="1"/>
  <c r="D171" i="11"/>
  <c r="Z171" i="6"/>
  <c r="K75" i="4" l="1"/>
  <c r="L75" i="4" s="1"/>
  <c r="N75" i="4" s="1"/>
  <c r="C86" i="9"/>
  <c r="C9" i="10" s="1"/>
  <c r="AJ171" i="6"/>
  <c r="AJ172" i="3"/>
  <c r="AH172" i="6"/>
  <c r="F171" i="11"/>
  <c r="D84" i="9"/>
  <c r="X174" i="3"/>
  <c r="V174" i="3"/>
  <c r="F172" i="4"/>
  <c r="P172" i="4" s="1"/>
  <c r="E172" i="11"/>
  <c r="AF85" i="6"/>
  <c r="AD85" i="6"/>
  <c r="AE85" i="6" s="1"/>
  <c r="H171" i="4"/>
  <c r="Z172" i="6"/>
  <c r="D172" i="11"/>
  <c r="W173" i="3"/>
  <c r="Z173" i="3" s="1"/>
  <c r="AH173" i="6" s="1"/>
  <c r="AD87" i="3"/>
  <c r="AE87" i="3" s="1"/>
  <c r="AF87" i="3"/>
  <c r="H170" i="4"/>
  <c r="M176" i="3"/>
  <c r="N176" i="3" s="1"/>
  <c r="O176" i="3" s="1"/>
  <c r="T176" i="3" s="1"/>
  <c r="L177" i="3"/>
  <c r="U174" i="6"/>
  <c r="I175" i="6"/>
  <c r="H176" i="6"/>
  <c r="C173" i="11"/>
  <c r="U175" i="3"/>
  <c r="F175" i="6"/>
  <c r="K174" i="6"/>
  <c r="I175" i="3"/>
  <c r="K175" i="3" s="1"/>
  <c r="X173" i="6"/>
  <c r="V173" i="6"/>
  <c r="C173" i="4" s="1"/>
  <c r="W174" i="6"/>
  <c r="G174" i="6"/>
  <c r="M175" i="6"/>
  <c r="N175" i="6" s="1"/>
  <c r="O175" i="6" s="1"/>
  <c r="T175" i="6" s="1"/>
  <c r="L176" i="6"/>
  <c r="F174" i="3"/>
  <c r="G174" i="3" s="1"/>
  <c r="E75" i="9" l="1"/>
  <c r="G76" i="4"/>
  <c r="J76" i="4" s="1"/>
  <c r="AJ172" i="6"/>
  <c r="AH173" i="3"/>
  <c r="AJ173" i="3" s="1"/>
  <c r="F172" i="11"/>
  <c r="AG85" i="6"/>
  <c r="D85" i="9" s="1"/>
  <c r="AG87" i="3"/>
  <c r="AA88" i="3" s="1"/>
  <c r="AC88" i="3" s="1"/>
  <c r="X175" i="3"/>
  <c r="V175" i="3"/>
  <c r="X174" i="6"/>
  <c r="V174" i="6"/>
  <c r="C174" i="4" s="1"/>
  <c r="W174" i="3"/>
  <c r="Z174" i="3" s="1"/>
  <c r="U175" i="6"/>
  <c r="F176" i="6"/>
  <c r="K175" i="6"/>
  <c r="Z173" i="6"/>
  <c r="AJ173" i="6" s="1"/>
  <c r="D173" i="11"/>
  <c r="M177" i="3"/>
  <c r="N177" i="3" s="1"/>
  <c r="O177" i="3" s="1"/>
  <c r="T177" i="3" s="1"/>
  <c r="L178" i="3"/>
  <c r="M176" i="6"/>
  <c r="N176" i="6" s="1"/>
  <c r="O176" i="6" s="1"/>
  <c r="T176" i="6" s="1"/>
  <c r="L177" i="6"/>
  <c r="U176" i="3"/>
  <c r="H172" i="4"/>
  <c r="I176" i="3"/>
  <c r="K176" i="3" s="1"/>
  <c r="F173" i="4"/>
  <c r="P173" i="4" s="1"/>
  <c r="E173" i="11"/>
  <c r="I176" i="6"/>
  <c r="H177" i="6"/>
  <c r="W175" i="6"/>
  <c r="G175" i="6"/>
  <c r="C174" i="11"/>
  <c r="F175" i="3"/>
  <c r="G175" i="3" s="1"/>
  <c r="M76" i="4" l="1"/>
  <c r="AH174" i="6"/>
  <c r="AH174" i="3"/>
  <c r="AJ174" i="3" s="1"/>
  <c r="AA86" i="6"/>
  <c r="AC86" i="6" s="1"/>
  <c r="AD86" i="6" s="1"/>
  <c r="AE86" i="6" s="1"/>
  <c r="C87" i="9"/>
  <c r="F173" i="11"/>
  <c r="C175" i="11"/>
  <c r="X175" i="6"/>
  <c r="V175" i="6"/>
  <c r="C175" i="4" s="1"/>
  <c r="W175" i="3"/>
  <c r="Z175" i="3" s="1"/>
  <c r="F176" i="3"/>
  <c r="G176" i="3" s="1"/>
  <c r="X176" i="3"/>
  <c r="V176" i="3"/>
  <c r="M177" i="6"/>
  <c r="N177" i="6" s="1"/>
  <c r="O177" i="6" s="1"/>
  <c r="T177" i="6" s="1"/>
  <c r="L178" i="6"/>
  <c r="Z174" i="6"/>
  <c r="D174" i="11"/>
  <c r="E174" i="11"/>
  <c r="F174" i="4"/>
  <c r="P174" i="4" s="1"/>
  <c r="I177" i="6"/>
  <c r="H178" i="6"/>
  <c r="U176" i="6"/>
  <c r="I177" i="3"/>
  <c r="K177" i="3" s="1"/>
  <c r="F177" i="6"/>
  <c r="K176" i="6"/>
  <c r="M178" i="3"/>
  <c r="N178" i="3" s="1"/>
  <c r="O178" i="3" s="1"/>
  <c r="T178" i="3" s="1"/>
  <c r="L179" i="3"/>
  <c r="U177" i="3"/>
  <c r="H173" i="4"/>
  <c r="W176" i="6"/>
  <c r="G176" i="6"/>
  <c r="AF88" i="3"/>
  <c r="AD88" i="3"/>
  <c r="AE88" i="3" s="1"/>
  <c r="K76" i="4" l="1"/>
  <c r="L76" i="4" s="1"/>
  <c r="N76" i="4" s="1"/>
  <c r="AJ174" i="6"/>
  <c r="AH175" i="3"/>
  <c r="AJ175" i="3" s="1"/>
  <c r="AF86" i="6"/>
  <c r="AG86" i="6" s="1"/>
  <c r="D86" i="9" s="1"/>
  <c r="H9" i="10" s="1"/>
  <c r="AH175" i="6"/>
  <c r="F174" i="11"/>
  <c r="AG88" i="3"/>
  <c r="AA89" i="3" s="1"/>
  <c r="AC89" i="3" s="1"/>
  <c r="X177" i="3"/>
  <c r="V177" i="3"/>
  <c r="X176" i="6"/>
  <c r="V176" i="6"/>
  <c r="C176" i="4" s="1"/>
  <c r="I178" i="3"/>
  <c r="K178" i="3" s="1"/>
  <c r="F177" i="3"/>
  <c r="G177" i="3" s="1"/>
  <c r="W176" i="3"/>
  <c r="Z176" i="3" s="1"/>
  <c r="AH176" i="6" s="1"/>
  <c r="F178" i="6"/>
  <c r="K177" i="6"/>
  <c r="H174" i="4"/>
  <c r="D175" i="11"/>
  <c r="Z175" i="6"/>
  <c r="I178" i="6"/>
  <c r="H179" i="6"/>
  <c r="M178" i="6"/>
  <c r="N178" i="6" s="1"/>
  <c r="O178" i="6" s="1"/>
  <c r="T178" i="6" s="1"/>
  <c r="L179" i="6"/>
  <c r="U177" i="6"/>
  <c r="U178" i="3"/>
  <c r="C176" i="11"/>
  <c r="E175" i="11"/>
  <c r="F175" i="4"/>
  <c r="P175" i="4" s="1"/>
  <c r="M179" i="3"/>
  <c r="N179" i="3" s="1"/>
  <c r="O179" i="3" s="1"/>
  <c r="T179" i="3" s="1"/>
  <c r="L180" i="3"/>
  <c r="W177" i="6"/>
  <c r="G177" i="6"/>
  <c r="G77" i="4" l="1"/>
  <c r="J77" i="4" s="1"/>
  <c r="E76" i="9"/>
  <c r="AJ175" i="6"/>
  <c r="AH176" i="3"/>
  <c r="AJ176" i="3" s="1"/>
  <c r="AA87" i="6"/>
  <c r="AC87" i="6" s="1"/>
  <c r="AD87" i="6" s="1"/>
  <c r="AE87" i="6" s="1"/>
  <c r="F175" i="11"/>
  <c r="C88" i="9"/>
  <c r="X178" i="3"/>
  <c r="V178" i="3"/>
  <c r="X177" i="6"/>
  <c r="V177" i="6"/>
  <c r="C177" i="4" s="1"/>
  <c r="W177" i="3"/>
  <c r="Z177" i="3" s="1"/>
  <c r="M179" i="6"/>
  <c r="N179" i="6" s="1"/>
  <c r="O179" i="6" s="1"/>
  <c r="T179" i="6" s="1"/>
  <c r="L180" i="6"/>
  <c r="I179" i="3"/>
  <c r="K179" i="3" s="1"/>
  <c r="U178" i="6"/>
  <c r="F178" i="3"/>
  <c r="G178" i="3" s="1"/>
  <c r="U179" i="3"/>
  <c r="I179" i="6"/>
  <c r="H180" i="6"/>
  <c r="AF89" i="3"/>
  <c r="AD89" i="3"/>
  <c r="AE89" i="3" s="1"/>
  <c r="F179" i="6"/>
  <c r="K178" i="6"/>
  <c r="H175" i="4"/>
  <c r="Z176" i="6"/>
  <c r="AJ176" i="6" s="1"/>
  <c r="D176" i="11"/>
  <c r="M180" i="3"/>
  <c r="N180" i="3" s="1"/>
  <c r="O180" i="3" s="1"/>
  <c r="T180" i="3" s="1"/>
  <c r="L181" i="3"/>
  <c r="F176" i="4"/>
  <c r="P176" i="4" s="1"/>
  <c r="E176" i="11"/>
  <c r="W178" i="6"/>
  <c r="G178" i="6"/>
  <c r="C177" i="11"/>
  <c r="M77" i="4" l="1"/>
  <c r="K77" i="4"/>
  <c r="L77" i="4" s="1"/>
  <c r="AH177" i="6"/>
  <c r="AH177" i="3"/>
  <c r="AJ177" i="3" s="1"/>
  <c r="AF87" i="6"/>
  <c r="AG87" i="6" s="1"/>
  <c r="AA88" i="6" s="1"/>
  <c r="AC88" i="6" s="1"/>
  <c r="AG89" i="3"/>
  <c r="AA90" i="3" s="1"/>
  <c r="AC90" i="3" s="1"/>
  <c r="F176" i="11"/>
  <c r="X179" i="3"/>
  <c r="V179" i="3"/>
  <c r="X178" i="6"/>
  <c r="V178" i="6"/>
  <c r="C178" i="4" s="1"/>
  <c r="I180" i="3"/>
  <c r="K180" i="3" s="1"/>
  <c r="F179" i="3"/>
  <c r="G179" i="3" s="1"/>
  <c r="M180" i="6"/>
  <c r="N180" i="6" s="1"/>
  <c r="O180" i="6" s="1"/>
  <c r="T180" i="6" s="1"/>
  <c r="L181" i="6"/>
  <c r="W179" i="6"/>
  <c r="G179" i="6"/>
  <c r="U179" i="6"/>
  <c r="Z177" i="6"/>
  <c r="D177" i="11"/>
  <c r="I180" i="6"/>
  <c r="H181" i="6"/>
  <c r="F177" i="4"/>
  <c r="P177" i="4" s="1"/>
  <c r="E177" i="11"/>
  <c r="F180" i="6"/>
  <c r="K179" i="6"/>
  <c r="H176" i="4"/>
  <c r="M181" i="3"/>
  <c r="N181" i="3" s="1"/>
  <c r="O181" i="3" s="1"/>
  <c r="T181" i="3" s="1"/>
  <c r="L182" i="3"/>
  <c r="W178" i="3"/>
  <c r="Z178" i="3" s="1"/>
  <c r="AH178" i="3" s="1"/>
  <c r="C178" i="11"/>
  <c r="U180" i="3"/>
  <c r="N77" i="4" l="1"/>
  <c r="G78" i="4" s="1"/>
  <c r="J78" i="4" s="1"/>
  <c r="AJ177" i="6"/>
  <c r="AH178" i="6"/>
  <c r="AJ178" i="3"/>
  <c r="C89" i="9"/>
  <c r="D87" i="9"/>
  <c r="F177" i="11"/>
  <c r="X179" i="6"/>
  <c r="V179" i="6"/>
  <c r="U180" i="6"/>
  <c r="I181" i="3"/>
  <c r="K181" i="3" s="1"/>
  <c r="H177" i="4"/>
  <c r="M181" i="6"/>
  <c r="N181" i="6" s="1"/>
  <c r="O181" i="6" s="1"/>
  <c r="T181" i="6" s="1"/>
  <c r="L182" i="6"/>
  <c r="W180" i="6"/>
  <c r="G180" i="6"/>
  <c r="W179" i="3"/>
  <c r="Z179" i="3" s="1"/>
  <c r="AH179" i="3" s="1"/>
  <c r="F178" i="4"/>
  <c r="P178" i="4" s="1"/>
  <c r="E178" i="11"/>
  <c r="I181" i="6"/>
  <c r="H182" i="6"/>
  <c r="F180" i="3"/>
  <c r="G180" i="3" s="1"/>
  <c r="F181" i="6"/>
  <c r="K180" i="6"/>
  <c r="D178" i="11"/>
  <c r="Z178" i="6"/>
  <c r="M182" i="3"/>
  <c r="N182" i="3" s="1"/>
  <c r="O182" i="3" s="1"/>
  <c r="T182" i="3" s="1"/>
  <c r="L183" i="3"/>
  <c r="U181" i="3"/>
  <c r="C179" i="11"/>
  <c r="X180" i="3"/>
  <c r="V180" i="3"/>
  <c r="AD90" i="3"/>
  <c r="AE90" i="3" s="1"/>
  <c r="AF90" i="3"/>
  <c r="AD88" i="6"/>
  <c r="AE88" i="6" s="1"/>
  <c r="AF88" i="6"/>
  <c r="E77" i="9" l="1"/>
  <c r="M78" i="4"/>
  <c r="K78" i="4"/>
  <c r="L78" i="4" s="1"/>
  <c r="AJ178" i="6"/>
  <c r="AH179" i="6"/>
  <c r="AJ179" i="3"/>
  <c r="AG88" i="6"/>
  <c r="AA89" i="6" s="1"/>
  <c r="AC89" i="6" s="1"/>
  <c r="F178" i="11"/>
  <c r="AG90" i="3"/>
  <c r="AA91" i="3" s="1"/>
  <c r="AC91" i="3" s="1"/>
  <c r="X181" i="3"/>
  <c r="V181" i="3"/>
  <c r="M182" i="6"/>
  <c r="N182" i="6" s="1"/>
  <c r="O182" i="6" s="1"/>
  <c r="T182" i="6" s="1"/>
  <c r="L183" i="6"/>
  <c r="U181" i="6"/>
  <c r="M183" i="3"/>
  <c r="N183" i="3" s="1"/>
  <c r="O183" i="3" s="1"/>
  <c r="T183" i="3" s="1"/>
  <c r="L184" i="3"/>
  <c r="W180" i="3"/>
  <c r="Z180" i="3" s="1"/>
  <c r="I182" i="3"/>
  <c r="K182" i="3" s="1"/>
  <c r="U182" i="3"/>
  <c r="F181" i="3"/>
  <c r="G181" i="3" s="1"/>
  <c r="C180" i="11"/>
  <c r="I182" i="6"/>
  <c r="H183" i="6"/>
  <c r="F182" i="6"/>
  <c r="K181" i="6"/>
  <c r="X180" i="6"/>
  <c r="V180" i="6"/>
  <c r="Z179" i="6"/>
  <c r="D179" i="11"/>
  <c r="W181" i="6"/>
  <c r="G181" i="6"/>
  <c r="H178" i="4"/>
  <c r="C179" i="4"/>
  <c r="N78" i="4" l="1"/>
  <c r="G79" i="4" s="1"/>
  <c r="J79" i="4" s="1"/>
  <c r="AJ179" i="6"/>
  <c r="AH180" i="3"/>
  <c r="AJ180" i="3" s="1"/>
  <c r="AH180" i="6"/>
  <c r="D88" i="9"/>
  <c r="C90" i="9"/>
  <c r="X182" i="3"/>
  <c r="V182" i="3"/>
  <c r="X181" i="6"/>
  <c r="V181" i="6"/>
  <c r="C181" i="4" s="1"/>
  <c r="F182" i="3"/>
  <c r="G182" i="3" s="1"/>
  <c r="M184" i="3"/>
  <c r="N184" i="3" s="1"/>
  <c r="O184" i="3" s="1"/>
  <c r="T184" i="3" s="1"/>
  <c r="L185" i="3"/>
  <c r="AD89" i="6"/>
  <c r="AE89" i="6" s="1"/>
  <c r="AF89" i="6"/>
  <c r="I183" i="3"/>
  <c r="K183" i="3" s="1"/>
  <c r="U183" i="3"/>
  <c r="I183" i="6"/>
  <c r="H184" i="6"/>
  <c r="Z180" i="6"/>
  <c r="D180" i="11"/>
  <c r="W182" i="6"/>
  <c r="G182" i="6"/>
  <c r="F183" i="6"/>
  <c r="K182" i="6"/>
  <c r="U182" i="6"/>
  <c r="M183" i="6"/>
  <c r="N183" i="6" s="1"/>
  <c r="O183" i="6" s="1"/>
  <c r="T183" i="6" s="1"/>
  <c r="L184" i="6"/>
  <c r="AF91" i="3"/>
  <c r="AD91" i="3"/>
  <c r="AE91" i="3" s="1"/>
  <c r="C180" i="4"/>
  <c r="W181" i="3"/>
  <c r="Z181" i="3" s="1"/>
  <c r="AH181" i="3" s="1"/>
  <c r="C181" i="11"/>
  <c r="E179" i="11"/>
  <c r="F179" i="11" s="1"/>
  <c r="F179" i="4"/>
  <c r="P179" i="4" s="1"/>
  <c r="E78" i="9" l="1"/>
  <c r="K79" i="4"/>
  <c r="L79" i="4" s="1"/>
  <c r="M79" i="4"/>
  <c r="AJ180" i="6"/>
  <c r="AH181" i="6"/>
  <c r="AJ181" i="3"/>
  <c r="AG91" i="3"/>
  <c r="AA92" i="3" s="1"/>
  <c r="AC92" i="3" s="1"/>
  <c r="AG89" i="6"/>
  <c r="D89" i="9" s="1"/>
  <c r="X183" i="3"/>
  <c r="V183" i="3"/>
  <c r="X182" i="6"/>
  <c r="V182" i="6"/>
  <c r="F183" i="3"/>
  <c r="G183" i="3" s="1"/>
  <c r="M185" i="3"/>
  <c r="N185" i="3" s="1"/>
  <c r="O185" i="3" s="1"/>
  <c r="T185" i="3" s="1"/>
  <c r="L186" i="3"/>
  <c r="M184" i="6"/>
  <c r="N184" i="6" s="1"/>
  <c r="O184" i="6" s="1"/>
  <c r="T184" i="6" s="1"/>
  <c r="L185" i="6"/>
  <c r="W183" i="6"/>
  <c r="G183" i="6"/>
  <c r="H179" i="4"/>
  <c r="W182" i="3"/>
  <c r="Z182" i="3" s="1"/>
  <c r="D181" i="11"/>
  <c r="Z181" i="6"/>
  <c r="E181" i="11"/>
  <c r="F181" i="4"/>
  <c r="P181" i="4" s="1"/>
  <c r="I184" i="6"/>
  <c r="H185" i="6"/>
  <c r="U183" i="6"/>
  <c r="X183" i="6" s="1"/>
  <c r="C182" i="11"/>
  <c r="U184" i="3"/>
  <c r="F184" i="6"/>
  <c r="K183" i="6"/>
  <c r="F180" i="4"/>
  <c r="P180" i="4" s="1"/>
  <c r="E180" i="11"/>
  <c r="F180" i="11" s="1"/>
  <c r="I184" i="3"/>
  <c r="K184" i="3" s="1"/>
  <c r="N79" i="4" l="1"/>
  <c r="E79" i="9" s="1"/>
  <c r="AJ181" i="6"/>
  <c r="AH182" i="6"/>
  <c r="AH182" i="3"/>
  <c r="AJ182" i="3" s="1"/>
  <c r="AA90" i="6"/>
  <c r="AC90" i="6" s="1"/>
  <c r="AF90" i="6" s="1"/>
  <c r="C91" i="9"/>
  <c r="F181" i="11"/>
  <c r="M185" i="6"/>
  <c r="N185" i="6" s="1"/>
  <c r="O185" i="6" s="1"/>
  <c r="T185" i="6" s="1"/>
  <c r="L186" i="6"/>
  <c r="U184" i="6"/>
  <c r="M186" i="3"/>
  <c r="N186" i="3" s="1"/>
  <c r="O186" i="3" s="1"/>
  <c r="T186" i="3" s="1"/>
  <c r="L187" i="3"/>
  <c r="U185" i="3"/>
  <c r="I185" i="6"/>
  <c r="H186" i="6"/>
  <c r="W183" i="3"/>
  <c r="Z183" i="3" s="1"/>
  <c r="AH183" i="3" s="1"/>
  <c r="W184" i="6"/>
  <c r="G184" i="6"/>
  <c r="D182" i="11"/>
  <c r="Z182" i="6"/>
  <c r="AD92" i="3"/>
  <c r="AE92" i="3" s="1"/>
  <c r="AF92" i="3"/>
  <c r="F184" i="3"/>
  <c r="G184" i="3" s="1"/>
  <c r="H180" i="4"/>
  <c r="I185" i="3"/>
  <c r="K185" i="3" s="1"/>
  <c r="F185" i="6"/>
  <c r="K184" i="6"/>
  <c r="C182" i="4"/>
  <c r="C183" i="11"/>
  <c r="H181" i="4"/>
  <c r="X184" i="3"/>
  <c r="V184" i="3"/>
  <c r="V183" i="6"/>
  <c r="Z183" i="6" s="1"/>
  <c r="G80" i="4" l="1"/>
  <c r="J80" i="4" s="1"/>
  <c r="AJ182" i="6"/>
  <c r="AD90" i="6"/>
  <c r="AE90" i="6" s="1"/>
  <c r="AG90" i="6" s="1"/>
  <c r="AA91" i="6" s="1"/>
  <c r="AC91" i="6" s="1"/>
  <c r="AJ183" i="3"/>
  <c r="AH183" i="6"/>
  <c r="AJ183" i="6" s="1"/>
  <c r="AG92" i="3"/>
  <c r="AA93" i="3" s="1"/>
  <c r="AC93" i="3" s="1"/>
  <c r="E182" i="11"/>
  <c r="F182" i="11" s="1"/>
  <c r="F182" i="4"/>
  <c r="P182" i="4" s="1"/>
  <c r="D183" i="11"/>
  <c r="F185" i="3"/>
  <c r="G185" i="3" s="1"/>
  <c r="F186" i="6"/>
  <c r="K185" i="6"/>
  <c r="X185" i="3"/>
  <c r="V185" i="3"/>
  <c r="W184" i="3"/>
  <c r="Z184" i="3" s="1"/>
  <c r="AH184" i="6" s="1"/>
  <c r="M187" i="3"/>
  <c r="N187" i="3" s="1"/>
  <c r="O187" i="3" s="1"/>
  <c r="T187" i="3" s="1"/>
  <c r="L188" i="3"/>
  <c r="U186" i="3"/>
  <c r="X184" i="6"/>
  <c r="V184" i="6"/>
  <c r="C184" i="4" s="1"/>
  <c r="W185" i="6"/>
  <c r="G185" i="6"/>
  <c r="C184" i="11"/>
  <c r="M186" i="6"/>
  <c r="N186" i="6" s="1"/>
  <c r="O186" i="6" s="1"/>
  <c r="T186" i="6" s="1"/>
  <c r="L187" i="6"/>
  <c r="U185" i="6"/>
  <c r="I186" i="6"/>
  <c r="H187" i="6"/>
  <c r="C183" i="4"/>
  <c r="I186" i="3"/>
  <c r="K186" i="3" s="1"/>
  <c r="M80" i="4" l="1"/>
  <c r="K80" i="4"/>
  <c r="L80" i="4" s="1"/>
  <c r="AH184" i="3"/>
  <c r="AJ184" i="3" s="1"/>
  <c r="C92" i="9"/>
  <c r="D90" i="9"/>
  <c r="X185" i="6"/>
  <c r="V185" i="6"/>
  <c r="C185" i="4" s="1"/>
  <c r="U186" i="6"/>
  <c r="C185" i="11"/>
  <c r="U187" i="3"/>
  <c r="W186" i="6"/>
  <c r="G186" i="6"/>
  <c r="F184" i="4"/>
  <c r="P184" i="4" s="1"/>
  <c r="E184" i="11"/>
  <c r="F186" i="3"/>
  <c r="G186" i="3" s="1"/>
  <c r="D184" i="11"/>
  <c r="Z184" i="6"/>
  <c r="AJ184" i="6" s="1"/>
  <c r="W185" i="3"/>
  <c r="Z185" i="3" s="1"/>
  <c r="AH185" i="3" s="1"/>
  <c r="E183" i="11"/>
  <c r="F183" i="11" s="1"/>
  <c r="F183" i="4"/>
  <c r="P183" i="4" s="1"/>
  <c r="AD93" i="3"/>
  <c r="AE93" i="3" s="1"/>
  <c r="AF93" i="3"/>
  <c r="I187" i="3"/>
  <c r="K187" i="3" s="1"/>
  <c r="I187" i="6"/>
  <c r="H188" i="6"/>
  <c r="H182" i="4"/>
  <c r="X186" i="3"/>
  <c r="V186" i="3"/>
  <c r="M187" i="6"/>
  <c r="N187" i="6" s="1"/>
  <c r="O187" i="6" s="1"/>
  <c r="T187" i="6" s="1"/>
  <c r="L188" i="6"/>
  <c r="F187" i="6"/>
  <c r="K186" i="6"/>
  <c r="M188" i="3"/>
  <c r="N188" i="3" s="1"/>
  <c r="O188" i="3" s="1"/>
  <c r="T188" i="3" s="1"/>
  <c r="L189" i="3"/>
  <c r="AD91" i="6"/>
  <c r="AE91" i="6" s="1"/>
  <c r="AF91" i="6"/>
  <c r="N80" i="4" l="1"/>
  <c r="E80" i="9"/>
  <c r="G81" i="4"/>
  <c r="J81" i="4" s="1"/>
  <c r="AJ185" i="3"/>
  <c r="AH185" i="6"/>
  <c r="F184" i="11"/>
  <c r="AG91" i="6"/>
  <c r="AA92" i="6" s="1"/>
  <c r="AC92" i="6" s="1"/>
  <c r="AG93" i="3"/>
  <c r="AA94" i="3" s="1"/>
  <c r="AC94" i="3" s="1"/>
  <c r="X186" i="6"/>
  <c r="V186" i="6"/>
  <c r="C186" i="4" s="1"/>
  <c r="I188" i="3"/>
  <c r="K188" i="3" s="1"/>
  <c r="H184" i="4"/>
  <c r="U188" i="3"/>
  <c r="F187" i="3"/>
  <c r="G187" i="3" s="1"/>
  <c r="M189" i="3"/>
  <c r="N189" i="3" s="1"/>
  <c r="O189" i="3" s="1"/>
  <c r="T189" i="3" s="1"/>
  <c r="L190" i="3"/>
  <c r="X187" i="3"/>
  <c r="V187" i="3"/>
  <c r="U187" i="6"/>
  <c r="E185" i="11"/>
  <c r="F185" i="4"/>
  <c r="P185" i="4" s="1"/>
  <c r="W187" i="6"/>
  <c r="G187" i="6"/>
  <c r="M188" i="6"/>
  <c r="N188" i="6" s="1"/>
  <c r="O188" i="6" s="1"/>
  <c r="T188" i="6" s="1"/>
  <c r="L189" i="6"/>
  <c r="H183" i="4"/>
  <c r="C186" i="11"/>
  <c r="W186" i="3"/>
  <c r="Z186" i="3" s="1"/>
  <c r="AH186" i="6" s="1"/>
  <c r="D185" i="11"/>
  <c r="Z185" i="6"/>
  <c r="I188" i="6"/>
  <c r="H189" i="6"/>
  <c r="F188" i="6"/>
  <c r="K187" i="6"/>
  <c r="AJ185" i="6" l="1"/>
  <c r="K81" i="4"/>
  <c r="L81" i="4" s="1"/>
  <c r="D91" i="9"/>
  <c r="AH186" i="3"/>
  <c r="AJ186" i="3" s="1"/>
  <c r="F185" i="11"/>
  <c r="C93" i="9"/>
  <c r="X187" i="6"/>
  <c r="V187" i="6"/>
  <c r="C187" i="4" s="1"/>
  <c r="X188" i="3"/>
  <c r="V188" i="3"/>
  <c r="W188" i="6"/>
  <c r="G188" i="6"/>
  <c r="I189" i="6"/>
  <c r="H190" i="6"/>
  <c r="H185" i="4"/>
  <c r="F188" i="3"/>
  <c r="G188" i="3" s="1"/>
  <c r="W187" i="3"/>
  <c r="Z187" i="3" s="1"/>
  <c r="M189" i="6"/>
  <c r="N189" i="6" s="1"/>
  <c r="O189" i="6" s="1"/>
  <c r="T189" i="6" s="1"/>
  <c r="L190" i="6"/>
  <c r="D186" i="11"/>
  <c r="Z186" i="6"/>
  <c r="AJ186" i="6" s="1"/>
  <c r="I189" i="3"/>
  <c r="K189" i="3" s="1"/>
  <c r="C187" i="11"/>
  <c r="U188" i="6"/>
  <c r="AD92" i="6"/>
  <c r="AE92" i="6" s="1"/>
  <c r="AF92" i="6"/>
  <c r="F186" i="4"/>
  <c r="P186" i="4" s="1"/>
  <c r="E186" i="11"/>
  <c r="M190" i="3"/>
  <c r="N190" i="3" s="1"/>
  <c r="O190" i="3" s="1"/>
  <c r="T190" i="3" s="1"/>
  <c r="L191" i="3"/>
  <c r="F189" i="6"/>
  <c r="K188" i="6"/>
  <c r="U189" i="3"/>
  <c r="AD94" i="3"/>
  <c r="AE94" i="3" s="1"/>
  <c r="AF94" i="3"/>
  <c r="M81" i="4" l="1"/>
  <c r="N81" i="4" s="1"/>
  <c r="AH187" i="3"/>
  <c r="AJ187" i="3" s="1"/>
  <c r="F186" i="11"/>
  <c r="AH187" i="6"/>
  <c r="AG92" i="6"/>
  <c r="AA93" i="6" s="1"/>
  <c r="AC93" i="6" s="1"/>
  <c r="AG94" i="3"/>
  <c r="AA95" i="3" s="1"/>
  <c r="AC95" i="3" s="1"/>
  <c r="X189" i="3"/>
  <c r="V189" i="3"/>
  <c r="E187" i="11"/>
  <c r="F187" i="4"/>
  <c r="P187" i="4" s="1"/>
  <c r="F190" i="6"/>
  <c r="K189" i="6"/>
  <c r="I190" i="3"/>
  <c r="K190" i="3" s="1"/>
  <c r="U190" i="3"/>
  <c r="C188" i="11"/>
  <c r="F189" i="3"/>
  <c r="G189" i="3" s="1"/>
  <c r="X188" i="6"/>
  <c r="V188" i="6"/>
  <c r="C188" i="4" s="1"/>
  <c r="H186" i="4"/>
  <c r="I190" i="6"/>
  <c r="H191" i="6"/>
  <c r="M190" i="6"/>
  <c r="N190" i="6" s="1"/>
  <c r="O190" i="6" s="1"/>
  <c r="T190" i="6" s="1"/>
  <c r="L191" i="6"/>
  <c r="W189" i="6"/>
  <c r="G189" i="6"/>
  <c r="Z187" i="6"/>
  <c r="D187" i="11"/>
  <c r="U189" i="6"/>
  <c r="M191" i="3"/>
  <c r="N191" i="3" s="1"/>
  <c r="O191" i="3" s="1"/>
  <c r="T191" i="3" s="1"/>
  <c r="L192" i="3"/>
  <c r="W188" i="3"/>
  <c r="Z188" i="3" s="1"/>
  <c r="E81" i="9" l="1"/>
  <c r="G82" i="4"/>
  <c r="J82" i="4" s="1"/>
  <c r="AJ187" i="6"/>
  <c r="F187" i="11"/>
  <c r="D92" i="9"/>
  <c r="AH188" i="3"/>
  <c r="AJ188" i="3" s="1"/>
  <c r="AH188" i="6"/>
  <c r="C94" i="9"/>
  <c r="X189" i="6"/>
  <c r="V189" i="6"/>
  <c r="C189" i="4" s="1"/>
  <c r="X190" i="3"/>
  <c r="V190" i="3"/>
  <c r="E188" i="11"/>
  <c r="F188" i="4"/>
  <c r="P188" i="4" s="1"/>
  <c r="I191" i="3"/>
  <c r="K191" i="3" s="1"/>
  <c r="F190" i="3"/>
  <c r="G190" i="3" s="1"/>
  <c r="W190" i="6"/>
  <c r="G190" i="6"/>
  <c r="H187" i="4"/>
  <c r="I191" i="6"/>
  <c r="H192" i="6"/>
  <c r="D188" i="11"/>
  <c r="Z188" i="6"/>
  <c r="C189" i="11"/>
  <c r="F191" i="6"/>
  <c r="K190" i="6"/>
  <c r="AF93" i="6"/>
  <c r="AD93" i="6"/>
  <c r="AE93" i="6" s="1"/>
  <c r="W189" i="3"/>
  <c r="Z189" i="3" s="1"/>
  <c r="AH189" i="3" s="1"/>
  <c r="M191" i="6"/>
  <c r="N191" i="6" s="1"/>
  <c r="O191" i="6" s="1"/>
  <c r="T191" i="6" s="1"/>
  <c r="L192" i="6"/>
  <c r="M192" i="3"/>
  <c r="N192" i="3" s="1"/>
  <c r="O192" i="3" s="1"/>
  <c r="T192" i="3" s="1"/>
  <c r="L193" i="3"/>
  <c r="U190" i="6"/>
  <c r="U191" i="3"/>
  <c r="AF95" i="3"/>
  <c r="AD95" i="3"/>
  <c r="AE95" i="3" s="1"/>
  <c r="M82" i="4" l="1"/>
  <c r="K82" i="4"/>
  <c r="L82" i="4" s="1"/>
  <c r="AJ188" i="6"/>
  <c r="AH189" i="6"/>
  <c r="AJ189" i="3"/>
  <c r="AG93" i="6"/>
  <c r="AA94" i="6" s="1"/>
  <c r="AC94" i="6" s="1"/>
  <c r="F188" i="11"/>
  <c r="AG95" i="3"/>
  <c r="AA96" i="3" s="1"/>
  <c r="AC96" i="3" s="1"/>
  <c r="X190" i="6"/>
  <c r="V190" i="6"/>
  <c r="C190" i="4" s="1"/>
  <c r="I192" i="3"/>
  <c r="K192" i="3" s="1"/>
  <c r="F191" i="3"/>
  <c r="G191" i="3" s="1"/>
  <c r="H188" i="4"/>
  <c r="W190" i="3"/>
  <c r="Z190" i="3" s="1"/>
  <c r="AH190" i="3" s="1"/>
  <c r="C190" i="11"/>
  <c r="X191" i="3"/>
  <c r="V191" i="3"/>
  <c r="M193" i="3"/>
  <c r="N193" i="3" s="1"/>
  <c r="O193" i="3" s="1"/>
  <c r="T193" i="3" s="1"/>
  <c r="L194" i="3"/>
  <c r="I192" i="6"/>
  <c r="H193" i="6"/>
  <c r="E189" i="11"/>
  <c r="F189" i="4"/>
  <c r="P189" i="4" s="1"/>
  <c r="U192" i="3"/>
  <c r="F192" i="6"/>
  <c r="K191" i="6"/>
  <c r="D189" i="11"/>
  <c r="Z189" i="6"/>
  <c r="U191" i="6"/>
  <c r="W191" i="6"/>
  <c r="G191" i="6"/>
  <c r="M192" i="6"/>
  <c r="N192" i="6" s="1"/>
  <c r="O192" i="6" s="1"/>
  <c r="T192" i="6" s="1"/>
  <c r="L193" i="6"/>
  <c r="AJ189" i="6" l="1"/>
  <c r="N82" i="4"/>
  <c r="G83" i="4" s="1"/>
  <c r="J83" i="4" s="1"/>
  <c r="C95" i="9"/>
  <c r="D93" i="9"/>
  <c r="AH190" i="6"/>
  <c r="AJ190" i="3"/>
  <c r="F189" i="11"/>
  <c r="X192" i="3"/>
  <c r="V192" i="3"/>
  <c r="W192" i="6"/>
  <c r="G192" i="6"/>
  <c r="I193" i="6"/>
  <c r="H194" i="6"/>
  <c r="F193" i="6"/>
  <c r="K192" i="6"/>
  <c r="W191" i="3"/>
  <c r="Z191" i="3" s="1"/>
  <c r="M194" i="3"/>
  <c r="N194" i="3" s="1"/>
  <c r="O194" i="3" s="1"/>
  <c r="T194" i="3" s="1"/>
  <c r="L195" i="3"/>
  <c r="U193" i="3"/>
  <c r="I193" i="3"/>
  <c r="K193" i="3" s="1"/>
  <c r="U192" i="6"/>
  <c r="F192" i="3"/>
  <c r="G192" i="3" s="1"/>
  <c r="X191" i="6"/>
  <c r="V191" i="6"/>
  <c r="Z190" i="6"/>
  <c r="D190" i="11"/>
  <c r="AD94" i="6"/>
  <c r="AE94" i="6" s="1"/>
  <c r="AF94" i="6"/>
  <c r="M193" i="6"/>
  <c r="N193" i="6" s="1"/>
  <c r="O193" i="6" s="1"/>
  <c r="T193" i="6" s="1"/>
  <c r="L194" i="6"/>
  <c r="E190" i="11"/>
  <c r="F190" i="4"/>
  <c r="P190" i="4" s="1"/>
  <c r="H189" i="4"/>
  <c r="C191" i="11"/>
  <c r="AD96" i="3"/>
  <c r="AE96" i="3" s="1"/>
  <c r="AF96" i="3"/>
  <c r="E82" i="9" l="1"/>
  <c r="AJ190" i="6"/>
  <c r="K83" i="4"/>
  <c r="L83" i="4" s="1"/>
  <c r="M83" i="4"/>
  <c r="AH191" i="3"/>
  <c r="AJ191" i="3" s="1"/>
  <c r="AH191" i="6"/>
  <c r="AG94" i="6"/>
  <c r="D94" i="9" s="1"/>
  <c r="F190" i="11"/>
  <c r="AG96" i="3"/>
  <c r="C96" i="9" s="1"/>
  <c r="X192" i="6"/>
  <c r="V192" i="6"/>
  <c r="C192" i="4" s="1"/>
  <c r="X193" i="3"/>
  <c r="V193" i="3"/>
  <c r="M195" i="3"/>
  <c r="N195" i="3" s="1"/>
  <c r="O195" i="3" s="1"/>
  <c r="T195" i="3" s="1"/>
  <c r="L196" i="3"/>
  <c r="U194" i="3"/>
  <c r="W193" i="6"/>
  <c r="G193" i="6"/>
  <c r="Z191" i="6"/>
  <c r="D191" i="11"/>
  <c r="I194" i="6"/>
  <c r="H195" i="6"/>
  <c r="F194" i="6"/>
  <c r="K193" i="6"/>
  <c r="C191" i="4"/>
  <c r="C192" i="11"/>
  <c r="W192" i="3"/>
  <c r="Z192" i="3" s="1"/>
  <c r="U193" i="6"/>
  <c r="I194" i="3"/>
  <c r="K194" i="3" s="1"/>
  <c r="H190" i="4"/>
  <c r="M194" i="6"/>
  <c r="N194" i="6" s="1"/>
  <c r="O194" i="6" s="1"/>
  <c r="T194" i="6" s="1"/>
  <c r="L195" i="6"/>
  <c r="F193" i="3"/>
  <c r="G193" i="3" s="1"/>
  <c r="N83" i="4" l="1"/>
  <c r="E83" i="9" s="1"/>
  <c r="AH192" i="6"/>
  <c r="AJ191" i="6"/>
  <c r="AH192" i="3"/>
  <c r="AJ192" i="3" s="1"/>
  <c r="AA97" i="3"/>
  <c r="AC97" i="3" s="1"/>
  <c r="AF97" i="3" s="1"/>
  <c r="AA95" i="6"/>
  <c r="AC95" i="6" s="1"/>
  <c r="AF95" i="6" s="1"/>
  <c r="X193" i="6"/>
  <c r="V193" i="6"/>
  <c r="C193" i="4" s="1"/>
  <c r="E191" i="11"/>
  <c r="F191" i="11" s="1"/>
  <c r="F191" i="4"/>
  <c r="P191" i="4" s="1"/>
  <c r="M196" i="3"/>
  <c r="N196" i="3" s="1"/>
  <c r="O196" i="3" s="1"/>
  <c r="T196" i="3" s="1"/>
  <c r="L197" i="3"/>
  <c r="W193" i="3"/>
  <c r="Z193" i="3" s="1"/>
  <c r="AH193" i="3" s="1"/>
  <c r="U195" i="3"/>
  <c r="M195" i="6"/>
  <c r="N195" i="6" s="1"/>
  <c r="O195" i="6" s="1"/>
  <c r="T195" i="6" s="1"/>
  <c r="L196" i="6"/>
  <c r="F195" i="6"/>
  <c r="K194" i="6"/>
  <c r="D192" i="11"/>
  <c r="Z192" i="6"/>
  <c r="U194" i="6"/>
  <c r="I195" i="3"/>
  <c r="K195" i="3" s="1"/>
  <c r="E192" i="11"/>
  <c r="F192" i="4"/>
  <c r="P192" i="4" s="1"/>
  <c r="C193" i="11"/>
  <c r="G194" i="6"/>
  <c r="W194" i="6"/>
  <c r="X194" i="3"/>
  <c r="V194" i="3"/>
  <c r="I195" i="6"/>
  <c r="H196" i="6"/>
  <c r="F194" i="3"/>
  <c r="G194" i="3" s="1"/>
  <c r="G84" i="4" l="1"/>
  <c r="J84" i="4" s="1"/>
  <c r="AJ192" i="6"/>
  <c r="F192" i="11"/>
  <c r="AD97" i="3"/>
  <c r="AE97" i="3" s="1"/>
  <c r="AG97" i="3" s="1"/>
  <c r="C97" i="9" s="1"/>
  <c r="AD95" i="6"/>
  <c r="AE95" i="6" s="1"/>
  <c r="AG95" i="6" s="1"/>
  <c r="AH193" i="6"/>
  <c r="AJ193" i="3"/>
  <c r="X195" i="3"/>
  <c r="V195" i="3"/>
  <c r="X194" i="6"/>
  <c r="V194" i="6"/>
  <c r="E193" i="11"/>
  <c r="F193" i="4"/>
  <c r="P193" i="4" s="1"/>
  <c r="F196" i="6"/>
  <c r="K195" i="6"/>
  <c r="C194" i="11"/>
  <c r="H191" i="4"/>
  <c r="M197" i="3"/>
  <c r="N197" i="3" s="1"/>
  <c r="O197" i="3" s="1"/>
  <c r="T197" i="3" s="1"/>
  <c r="L198" i="3"/>
  <c r="I196" i="6"/>
  <c r="H197" i="6"/>
  <c r="U196" i="3"/>
  <c r="I196" i="3"/>
  <c r="K196" i="3" s="1"/>
  <c r="Z193" i="6"/>
  <c r="D193" i="11"/>
  <c r="U195" i="6"/>
  <c r="H192" i="4"/>
  <c r="M196" i="6"/>
  <c r="N196" i="6" s="1"/>
  <c r="O196" i="6" s="1"/>
  <c r="T196" i="6" s="1"/>
  <c r="L197" i="6"/>
  <c r="W194" i="3"/>
  <c r="Z194" i="3" s="1"/>
  <c r="F195" i="3"/>
  <c r="G195" i="3" s="1"/>
  <c r="W195" i="6"/>
  <c r="G195" i="6"/>
  <c r="M84" i="4" l="1"/>
  <c r="K84" i="4"/>
  <c r="L84" i="4" s="1"/>
  <c r="AJ193" i="6"/>
  <c r="AA96" i="6"/>
  <c r="AC96" i="6" s="1"/>
  <c r="AD96" i="6" s="1"/>
  <c r="AE96" i="6" s="1"/>
  <c r="D95" i="9"/>
  <c r="AA98" i="3"/>
  <c r="AC98" i="3" s="1"/>
  <c r="AF98" i="3" s="1"/>
  <c r="AH194" i="6"/>
  <c r="AH194" i="3"/>
  <c r="AJ194" i="3" s="1"/>
  <c r="F193" i="11"/>
  <c r="F196" i="3"/>
  <c r="G196" i="3" s="1"/>
  <c r="I197" i="3"/>
  <c r="K197" i="3" s="1"/>
  <c r="W196" i="6"/>
  <c r="G196" i="6"/>
  <c r="W195" i="3"/>
  <c r="Z195" i="3" s="1"/>
  <c r="AH195" i="6" s="1"/>
  <c r="F197" i="6"/>
  <c r="K196" i="6"/>
  <c r="I197" i="6"/>
  <c r="H198" i="6"/>
  <c r="U196" i="6"/>
  <c r="M198" i="3"/>
  <c r="N198" i="3" s="1"/>
  <c r="O198" i="3" s="1"/>
  <c r="T198" i="3" s="1"/>
  <c r="L199" i="3"/>
  <c r="U197" i="3"/>
  <c r="Z194" i="6"/>
  <c r="D194" i="11"/>
  <c r="C195" i="11"/>
  <c r="X195" i="6"/>
  <c r="V195" i="6"/>
  <c r="C195" i="4" s="1"/>
  <c r="X196" i="3"/>
  <c r="V196" i="3"/>
  <c r="H193" i="4"/>
  <c r="M197" i="6"/>
  <c r="N197" i="6" s="1"/>
  <c r="O197" i="6" s="1"/>
  <c r="T197" i="6" s="1"/>
  <c r="L198" i="6"/>
  <c r="C194" i="4"/>
  <c r="N84" i="4" l="1"/>
  <c r="E84" i="9" s="1"/>
  <c r="AF96" i="6"/>
  <c r="AJ194" i="6"/>
  <c r="AD98" i="3"/>
  <c r="AE98" i="3" s="1"/>
  <c r="AG98" i="3" s="1"/>
  <c r="AA99" i="3" s="1"/>
  <c r="AC99" i="3" s="1"/>
  <c r="AH195" i="3"/>
  <c r="AJ195" i="3" s="1"/>
  <c r="AG96" i="6"/>
  <c r="D96" i="9" s="1"/>
  <c r="X196" i="6"/>
  <c r="V196" i="6"/>
  <c r="C196" i="4" s="1"/>
  <c r="F198" i="6"/>
  <c r="K197" i="6"/>
  <c r="D195" i="11"/>
  <c r="Z195" i="6"/>
  <c r="AJ195" i="6" s="1"/>
  <c r="I198" i="6"/>
  <c r="H199" i="6"/>
  <c r="W197" i="6"/>
  <c r="G197" i="6"/>
  <c r="X197" i="3"/>
  <c r="V197" i="3"/>
  <c r="E195" i="11"/>
  <c r="F195" i="4"/>
  <c r="P195" i="4" s="1"/>
  <c r="U197" i="6"/>
  <c r="I198" i="3"/>
  <c r="K198" i="3" s="1"/>
  <c r="E194" i="11"/>
  <c r="F194" i="11" s="1"/>
  <c r="F194" i="4"/>
  <c r="P194" i="4" s="1"/>
  <c r="C196" i="11"/>
  <c r="M199" i="3"/>
  <c r="N199" i="3" s="1"/>
  <c r="O199" i="3" s="1"/>
  <c r="T199" i="3" s="1"/>
  <c r="L200" i="3"/>
  <c r="F197" i="3"/>
  <c r="G197" i="3" s="1"/>
  <c r="M198" i="6"/>
  <c r="N198" i="6" s="1"/>
  <c r="O198" i="6" s="1"/>
  <c r="T198" i="6" s="1"/>
  <c r="L199" i="6"/>
  <c r="U198" i="3"/>
  <c r="W196" i="3"/>
  <c r="Z196" i="3" s="1"/>
  <c r="AH196" i="3" s="1"/>
  <c r="G85" i="4" l="1"/>
  <c r="J85" i="4" s="1"/>
  <c r="K85" i="4" s="1"/>
  <c r="L85" i="4" s="1"/>
  <c r="C98" i="9"/>
  <c r="C10" i="10" s="1"/>
  <c r="AJ196" i="3"/>
  <c r="AH196" i="6"/>
  <c r="AA97" i="6"/>
  <c r="AC97" i="6" s="1"/>
  <c r="AD97" i="6" s="1"/>
  <c r="AE97" i="6" s="1"/>
  <c r="F195" i="11"/>
  <c r="F196" i="4"/>
  <c r="P196" i="4" s="1"/>
  <c r="E196" i="11"/>
  <c r="H194" i="4"/>
  <c r="I199" i="6"/>
  <c r="H200" i="6"/>
  <c r="I199" i="3"/>
  <c r="K199" i="3" s="1"/>
  <c r="F199" i="6"/>
  <c r="K198" i="6"/>
  <c r="F198" i="3"/>
  <c r="G198" i="3" s="1"/>
  <c r="M199" i="6"/>
  <c r="N199" i="6" s="1"/>
  <c r="O199" i="6" s="1"/>
  <c r="T199" i="6" s="1"/>
  <c r="L200" i="6"/>
  <c r="H195" i="4"/>
  <c r="X198" i="3"/>
  <c r="V198" i="3"/>
  <c r="U198" i="6"/>
  <c r="W198" i="6"/>
  <c r="G198" i="6"/>
  <c r="X197" i="6"/>
  <c r="V197" i="6"/>
  <c r="Z196" i="6"/>
  <c r="D196" i="11"/>
  <c r="C197" i="11"/>
  <c r="M200" i="3"/>
  <c r="N200" i="3" s="1"/>
  <c r="O200" i="3" s="1"/>
  <c r="T200" i="3" s="1"/>
  <c r="L201" i="3"/>
  <c r="W197" i="3"/>
  <c r="Z197" i="3" s="1"/>
  <c r="AH197" i="6" s="1"/>
  <c r="U199" i="3"/>
  <c r="AD99" i="3"/>
  <c r="AE99" i="3" s="1"/>
  <c r="AF99" i="3"/>
  <c r="M85" i="4" l="1"/>
  <c r="AJ196" i="6"/>
  <c r="N85" i="4"/>
  <c r="E85" i="9"/>
  <c r="G86" i="4"/>
  <c r="J86" i="4" s="1"/>
  <c r="AF97" i="6"/>
  <c r="AG97" i="6" s="1"/>
  <c r="AA98" i="6" s="1"/>
  <c r="AC98" i="6" s="1"/>
  <c r="AH197" i="3"/>
  <c r="AJ197" i="3" s="1"/>
  <c r="F196" i="11"/>
  <c r="AG99" i="3"/>
  <c r="AA100" i="3" s="1"/>
  <c r="AC100" i="3" s="1"/>
  <c r="X198" i="6"/>
  <c r="V198" i="6"/>
  <c r="C198" i="4" s="1"/>
  <c r="W199" i="6"/>
  <c r="G199" i="6"/>
  <c r="I200" i="3"/>
  <c r="K200" i="3" s="1"/>
  <c r="W198" i="3"/>
  <c r="Z198" i="3" s="1"/>
  <c r="F199" i="3"/>
  <c r="G199" i="3" s="1"/>
  <c r="I200" i="6"/>
  <c r="H201" i="6"/>
  <c r="F200" i="6"/>
  <c r="K199" i="6"/>
  <c r="M201" i="3"/>
  <c r="N201" i="3" s="1"/>
  <c r="O201" i="3" s="1"/>
  <c r="T201" i="3" s="1"/>
  <c r="L202" i="3"/>
  <c r="Z197" i="6"/>
  <c r="AJ197" i="6" s="1"/>
  <c r="D197" i="11"/>
  <c r="C198" i="11"/>
  <c r="U200" i="3"/>
  <c r="X199" i="3"/>
  <c r="V199" i="3"/>
  <c r="C197" i="4"/>
  <c r="M200" i="6"/>
  <c r="N200" i="6" s="1"/>
  <c r="O200" i="6" s="1"/>
  <c r="T200" i="6" s="1"/>
  <c r="L201" i="6"/>
  <c r="U199" i="6"/>
  <c r="H196" i="4"/>
  <c r="M86" i="4" l="1"/>
  <c r="AH198" i="6"/>
  <c r="AH198" i="3"/>
  <c r="AJ198" i="3" s="1"/>
  <c r="D97" i="9"/>
  <c r="C99" i="9"/>
  <c r="X199" i="6"/>
  <c r="V199" i="6"/>
  <c r="C199" i="4" s="1"/>
  <c r="X200" i="3"/>
  <c r="V200" i="3"/>
  <c r="E198" i="11"/>
  <c r="F198" i="4"/>
  <c r="P198" i="4" s="1"/>
  <c r="C199" i="11"/>
  <c r="I201" i="6"/>
  <c r="H202" i="6"/>
  <c r="F201" i="6"/>
  <c r="K200" i="6"/>
  <c r="W199" i="3"/>
  <c r="Z199" i="3" s="1"/>
  <c r="I201" i="3"/>
  <c r="K201" i="3" s="1"/>
  <c r="M201" i="6"/>
  <c r="N201" i="6" s="1"/>
  <c r="O201" i="6" s="1"/>
  <c r="T201" i="6" s="1"/>
  <c r="L202" i="6"/>
  <c r="U200" i="6"/>
  <c r="M202" i="3"/>
  <c r="N202" i="3" s="1"/>
  <c r="O202" i="3" s="1"/>
  <c r="T202" i="3" s="1"/>
  <c r="L203" i="3"/>
  <c r="AD100" i="3"/>
  <c r="AE100" i="3" s="1"/>
  <c r="AF100" i="3"/>
  <c r="F200" i="3"/>
  <c r="G200" i="3" s="1"/>
  <c r="AD98" i="6"/>
  <c r="AE98" i="6" s="1"/>
  <c r="AF98" i="6"/>
  <c r="U201" i="3"/>
  <c r="D198" i="11"/>
  <c r="Z198" i="6"/>
  <c r="E197" i="11"/>
  <c r="F197" i="11" s="1"/>
  <c r="F197" i="4"/>
  <c r="P197" i="4" s="1"/>
  <c r="W200" i="6"/>
  <c r="G200" i="6"/>
  <c r="K86" i="4" l="1"/>
  <c r="L86" i="4" s="1"/>
  <c r="N86" i="4" s="1"/>
  <c r="AJ198" i="6"/>
  <c r="AH199" i="3"/>
  <c r="AJ199" i="3" s="1"/>
  <c r="AH199" i="6"/>
  <c r="AG98" i="6"/>
  <c r="D98" i="9" s="1"/>
  <c r="H10" i="10" s="1"/>
  <c r="F198" i="11"/>
  <c r="AG100" i="3"/>
  <c r="AA101" i="3" s="1"/>
  <c r="AC101" i="3" s="1"/>
  <c r="X201" i="3"/>
  <c r="V201" i="3"/>
  <c r="X200" i="6"/>
  <c r="V200" i="6"/>
  <c r="C200" i="4" s="1"/>
  <c r="I202" i="3"/>
  <c r="K202" i="3" s="1"/>
  <c r="F201" i="3"/>
  <c r="G201" i="3" s="1"/>
  <c r="M203" i="3"/>
  <c r="N203" i="3" s="1"/>
  <c r="O203" i="3" s="1"/>
  <c r="T203" i="3" s="1"/>
  <c r="L204" i="3"/>
  <c r="W201" i="6"/>
  <c r="G201" i="6"/>
  <c r="U202" i="3"/>
  <c r="I202" i="6"/>
  <c r="H203" i="6"/>
  <c r="F202" i="6"/>
  <c r="K201" i="6"/>
  <c r="F199" i="4"/>
  <c r="P199" i="4" s="1"/>
  <c r="E199" i="11"/>
  <c r="H197" i="4"/>
  <c r="M202" i="6"/>
  <c r="N202" i="6" s="1"/>
  <c r="O202" i="6" s="1"/>
  <c r="T202" i="6" s="1"/>
  <c r="L203" i="6"/>
  <c r="U201" i="6"/>
  <c r="H198" i="4"/>
  <c r="C200" i="11"/>
  <c r="Z199" i="6"/>
  <c r="D199" i="11"/>
  <c r="W200" i="3"/>
  <c r="Z200" i="3" s="1"/>
  <c r="E86" i="9" l="1"/>
  <c r="M9" i="10" s="1"/>
  <c r="G87" i="4"/>
  <c r="J87" i="4" s="1"/>
  <c r="AJ199" i="6"/>
  <c r="AH200" i="6"/>
  <c r="AH200" i="3"/>
  <c r="AJ200" i="3" s="1"/>
  <c r="AA99" i="6"/>
  <c r="AC99" i="6" s="1"/>
  <c r="AD99" i="6" s="1"/>
  <c r="AE99" i="6" s="1"/>
  <c r="C100" i="9"/>
  <c r="F199" i="11"/>
  <c r="X201" i="6"/>
  <c r="V201" i="6"/>
  <c r="C201" i="4" s="1"/>
  <c r="M203" i="6"/>
  <c r="N203" i="6" s="1"/>
  <c r="O203" i="6" s="1"/>
  <c r="T203" i="6" s="1"/>
  <c r="L204" i="6"/>
  <c r="M204" i="3"/>
  <c r="N204" i="3" s="1"/>
  <c r="O204" i="3" s="1"/>
  <c r="T204" i="3" s="1"/>
  <c r="L205" i="3"/>
  <c r="U202" i="6"/>
  <c r="U203" i="3"/>
  <c r="W201" i="3"/>
  <c r="Z201" i="3" s="1"/>
  <c r="AH201" i="6" s="1"/>
  <c r="I203" i="3"/>
  <c r="K203" i="3" s="1"/>
  <c r="F202" i="3"/>
  <c r="G202" i="3" s="1"/>
  <c r="Z200" i="6"/>
  <c r="D200" i="11"/>
  <c r="H199" i="4"/>
  <c r="W202" i="6"/>
  <c r="G202" i="6"/>
  <c r="E200" i="11"/>
  <c r="F200" i="4"/>
  <c r="P200" i="4" s="1"/>
  <c r="I203" i="6"/>
  <c r="H204" i="6"/>
  <c r="AD101" i="3"/>
  <c r="AE101" i="3" s="1"/>
  <c r="AF101" i="3"/>
  <c r="F203" i="6"/>
  <c r="K202" i="6"/>
  <c r="C201" i="11"/>
  <c r="X202" i="3"/>
  <c r="V202" i="3"/>
  <c r="K87" i="4" l="1"/>
  <c r="L87" i="4" s="1"/>
  <c r="M87" i="4"/>
  <c r="AJ200" i="6"/>
  <c r="AH201" i="3"/>
  <c r="AJ201" i="3" s="1"/>
  <c r="AF99" i="6"/>
  <c r="AG99" i="6" s="1"/>
  <c r="D99" i="9" s="1"/>
  <c r="AG101" i="3"/>
  <c r="AA102" i="3" s="1"/>
  <c r="AC102" i="3" s="1"/>
  <c r="F200" i="11"/>
  <c r="C202" i="11"/>
  <c r="X203" i="3"/>
  <c r="V203" i="3"/>
  <c r="X202" i="6"/>
  <c r="V202" i="6"/>
  <c r="M205" i="3"/>
  <c r="N205" i="3" s="1"/>
  <c r="O205" i="3" s="1"/>
  <c r="T205" i="3" s="1"/>
  <c r="L206" i="3"/>
  <c r="W203" i="6"/>
  <c r="G203" i="6"/>
  <c r="U204" i="3"/>
  <c r="M204" i="6"/>
  <c r="N204" i="6" s="1"/>
  <c r="O204" i="6" s="1"/>
  <c r="T204" i="6" s="1"/>
  <c r="L205" i="6"/>
  <c r="U203" i="6"/>
  <c r="W202" i="3"/>
  <c r="Z202" i="3" s="1"/>
  <c r="D201" i="11"/>
  <c r="Z201" i="6"/>
  <c r="AJ201" i="6" s="1"/>
  <c r="F204" i="6"/>
  <c r="K203" i="6"/>
  <c r="I204" i="3"/>
  <c r="K204" i="3" s="1"/>
  <c r="E201" i="11"/>
  <c r="F201" i="4"/>
  <c r="P201" i="4" s="1"/>
  <c r="I204" i="6"/>
  <c r="H205" i="6"/>
  <c r="H200" i="4"/>
  <c r="F203" i="3"/>
  <c r="G203" i="3" s="1"/>
  <c r="N87" i="4" l="1"/>
  <c r="AH202" i="3"/>
  <c r="AJ202" i="3" s="1"/>
  <c r="AH202" i="6"/>
  <c r="AA100" i="6"/>
  <c r="AC100" i="6" s="1"/>
  <c r="AF100" i="6" s="1"/>
  <c r="C101" i="9"/>
  <c r="F201" i="11"/>
  <c r="X203" i="6"/>
  <c r="V203" i="6"/>
  <c r="C203" i="4" s="1"/>
  <c r="M206" i="3"/>
  <c r="N206" i="3" s="1"/>
  <c r="O206" i="3" s="1"/>
  <c r="T206" i="3" s="1"/>
  <c r="L207" i="3"/>
  <c r="U204" i="6"/>
  <c r="W204" i="6"/>
  <c r="G204" i="6"/>
  <c r="U205" i="3"/>
  <c r="H201" i="4"/>
  <c r="Z202" i="6"/>
  <c r="D202" i="11"/>
  <c r="W203" i="3"/>
  <c r="Z203" i="3" s="1"/>
  <c r="AH203" i="3" s="1"/>
  <c r="I205" i="6"/>
  <c r="H206" i="6"/>
  <c r="F205" i="6"/>
  <c r="K204" i="6"/>
  <c r="C203" i="11"/>
  <c r="M205" i="6"/>
  <c r="N205" i="6" s="1"/>
  <c r="O205" i="6" s="1"/>
  <c r="T205" i="6" s="1"/>
  <c r="L206" i="6"/>
  <c r="X204" i="3"/>
  <c r="V204" i="3"/>
  <c r="C202" i="4"/>
  <c r="I205" i="3"/>
  <c r="K205" i="3" s="1"/>
  <c r="F204" i="3"/>
  <c r="G204" i="3" s="1"/>
  <c r="AD102" i="3"/>
  <c r="AE102" i="3" s="1"/>
  <c r="AF102" i="3"/>
  <c r="E87" i="9" l="1"/>
  <c r="G88" i="4"/>
  <c r="J88" i="4" s="1"/>
  <c r="AJ203" i="3"/>
  <c r="AJ202" i="6"/>
  <c r="AH203" i="6"/>
  <c r="AD100" i="6"/>
  <c r="AE100" i="6" s="1"/>
  <c r="AG100" i="6" s="1"/>
  <c r="D100" i="9" s="1"/>
  <c r="AG102" i="3"/>
  <c r="AA103" i="3" s="1"/>
  <c r="AC103" i="3" s="1"/>
  <c r="X204" i="6"/>
  <c r="V204" i="6"/>
  <c r="X205" i="3"/>
  <c r="V205" i="3"/>
  <c r="W204" i="3"/>
  <c r="Z204" i="3" s="1"/>
  <c r="I206" i="6"/>
  <c r="H207" i="6"/>
  <c r="F206" i="6"/>
  <c r="K205" i="6"/>
  <c r="I206" i="3"/>
  <c r="K206" i="3" s="1"/>
  <c r="F205" i="3"/>
  <c r="G205" i="3" s="1"/>
  <c r="M207" i="3"/>
  <c r="N207" i="3" s="1"/>
  <c r="O207" i="3" s="1"/>
  <c r="T207" i="3" s="1"/>
  <c r="L208" i="3"/>
  <c r="U206" i="3"/>
  <c r="F202" i="4"/>
  <c r="P202" i="4" s="1"/>
  <c r="E202" i="11"/>
  <c r="F202" i="11" s="1"/>
  <c r="Z203" i="6"/>
  <c r="D203" i="11"/>
  <c r="W205" i="6"/>
  <c r="G205" i="6"/>
  <c r="F203" i="4"/>
  <c r="P203" i="4" s="1"/>
  <c r="E203" i="11"/>
  <c r="C204" i="11"/>
  <c r="M206" i="6"/>
  <c r="N206" i="6" s="1"/>
  <c r="O206" i="6" s="1"/>
  <c r="T206" i="6" s="1"/>
  <c r="L207" i="6"/>
  <c r="U205" i="6"/>
  <c r="K88" i="4" l="1"/>
  <c r="L88" i="4" s="1"/>
  <c r="AJ203" i="6"/>
  <c r="AH204" i="3"/>
  <c r="AJ204" i="3" s="1"/>
  <c r="AH204" i="6"/>
  <c r="C102" i="9"/>
  <c r="AA101" i="6"/>
  <c r="AC101" i="6" s="1"/>
  <c r="AF101" i="6" s="1"/>
  <c r="F203" i="11"/>
  <c r="W206" i="6"/>
  <c r="G206" i="6"/>
  <c r="F207" i="6"/>
  <c r="K206" i="6"/>
  <c r="X205" i="6"/>
  <c r="V205" i="6"/>
  <c r="C205" i="4" s="1"/>
  <c r="C205" i="11"/>
  <c r="X206" i="3"/>
  <c r="V206" i="3"/>
  <c r="I207" i="6"/>
  <c r="H208" i="6"/>
  <c r="H202" i="4"/>
  <c r="M207" i="6"/>
  <c r="N207" i="6" s="1"/>
  <c r="O207" i="6" s="1"/>
  <c r="T207" i="6" s="1"/>
  <c r="L208" i="6"/>
  <c r="U206" i="6"/>
  <c r="D204" i="11"/>
  <c r="Z204" i="6"/>
  <c r="M208" i="3"/>
  <c r="N208" i="3" s="1"/>
  <c r="O208" i="3" s="1"/>
  <c r="T208" i="3" s="1"/>
  <c r="L209" i="3"/>
  <c r="I207" i="3"/>
  <c r="K207" i="3" s="1"/>
  <c r="U207" i="3"/>
  <c r="W205" i="3"/>
  <c r="Z205" i="3" s="1"/>
  <c r="AH205" i="6" s="1"/>
  <c r="F206" i="3"/>
  <c r="G206" i="3" s="1"/>
  <c r="C204" i="4"/>
  <c r="H203" i="4"/>
  <c r="AD103" i="3"/>
  <c r="AE103" i="3" s="1"/>
  <c r="AF103" i="3"/>
  <c r="M88" i="4" l="1"/>
  <c r="N88" i="4" s="1"/>
  <c r="AJ204" i="6"/>
  <c r="AH205" i="3"/>
  <c r="AJ205" i="3" s="1"/>
  <c r="AD101" i="6"/>
  <c r="AE101" i="6" s="1"/>
  <c r="AG101" i="6" s="1"/>
  <c r="AA102" i="6" s="1"/>
  <c r="AC102" i="6" s="1"/>
  <c r="AG103" i="3"/>
  <c r="AA104" i="3" s="1"/>
  <c r="AC104" i="3" s="1"/>
  <c r="X207" i="3"/>
  <c r="V207" i="3"/>
  <c r="F208" i="6"/>
  <c r="K207" i="6"/>
  <c r="M209" i="3"/>
  <c r="N209" i="3" s="1"/>
  <c r="O209" i="3" s="1"/>
  <c r="T209" i="3" s="1"/>
  <c r="L210" i="3"/>
  <c r="C206" i="11"/>
  <c r="E205" i="11"/>
  <c r="F205" i="4"/>
  <c r="P205" i="4" s="1"/>
  <c r="W206" i="3"/>
  <c r="Z206" i="3" s="1"/>
  <c r="AH206" i="3" s="1"/>
  <c r="D205" i="11"/>
  <c r="Z205" i="6"/>
  <c r="AJ205" i="6" s="1"/>
  <c r="X206" i="6"/>
  <c r="V206" i="6"/>
  <c r="M208" i="6"/>
  <c r="N208" i="6" s="1"/>
  <c r="O208" i="6" s="1"/>
  <c r="T208" i="6" s="1"/>
  <c r="L209" i="6"/>
  <c r="U207" i="6"/>
  <c r="W207" i="6"/>
  <c r="G207" i="6"/>
  <c r="F204" i="4"/>
  <c r="P204" i="4" s="1"/>
  <c r="E204" i="11"/>
  <c r="F204" i="11" s="1"/>
  <c r="I208" i="3"/>
  <c r="K208" i="3" s="1"/>
  <c r="U208" i="3"/>
  <c r="F207" i="3"/>
  <c r="G207" i="3" s="1"/>
  <c r="I208" i="6"/>
  <c r="H209" i="6"/>
  <c r="E88" i="9" l="1"/>
  <c r="G89" i="4"/>
  <c r="J89" i="4" s="1"/>
  <c r="AH206" i="6"/>
  <c r="AJ206" i="3"/>
  <c r="C103" i="9"/>
  <c r="D101" i="9"/>
  <c r="F205" i="11"/>
  <c r="Z206" i="6"/>
  <c r="D206" i="11"/>
  <c r="M210" i="3"/>
  <c r="N210" i="3" s="1"/>
  <c r="O210" i="3" s="1"/>
  <c r="T210" i="3" s="1"/>
  <c r="L211" i="3"/>
  <c r="U209" i="3"/>
  <c r="X207" i="6"/>
  <c r="V207" i="6"/>
  <c r="I209" i="6"/>
  <c r="H210" i="6"/>
  <c r="M209" i="6"/>
  <c r="N209" i="6" s="1"/>
  <c r="O209" i="6" s="1"/>
  <c r="T209" i="6" s="1"/>
  <c r="L210" i="6"/>
  <c r="AF104" i="3"/>
  <c r="AD104" i="3"/>
  <c r="AE104" i="3" s="1"/>
  <c r="U208" i="6"/>
  <c r="W208" i="6"/>
  <c r="G208" i="6"/>
  <c r="W207" i="3"/>
  <c r="Z207" i="3" s="1"/>
  <c r="F209" i="6"/>
  <c r="K208" i="6"/>
  <c r="AD102" i="6"/>
  <c r="AE102" i="6" s="1"/>
  <c r="AF102" i="6"/>
  <c r="H205" i="4"/>
  <c r="C207" i="11"/>
  <c r="H204" i="4"/>
  <c r="X208" i="3"/>
  <c r="V208" i="3"/>
  <c r="I209" i="3"/>
  <c r="K209" i="3" s="1"/>
  <c r="F208" i="3"/>
  <c r="G208" i="3" s="1"/>
  <c r="C206" i="4"/>
  <c r="K89" i="4" l="1"/>
  <c r="L89" i="4" s="1"/>
  <c r="AJ206" i="6"/>
  <c r="AH207" i="3"/>
  <c r="AJ207" i="3" s="1"/>
  <c r="AH207" i="6"/>
  <c r="AG104" i="3"/>
  <c r="AA105" i="3" s="1"/>
  <c r="AC105" i="3" s="1"/>
  <c r="AG102" i="6"/>
  <c r="D102" i="9" s="1"/>
  <c r="X209" i="3"/>
  <c r="V209" i="3"/>
  <c r="M210" i="6"/>
  <c r="N210" i="6" s="1"/>
  <c r="O210" i="6" s="1"/>
  <c r="T210" i="6" s="1"/>
  <c r="L211" i="6"/>
  <c r="I210" i="3"/>
  <c r="K210" i="3" s="1"/>
  <c r="I210" i="6"/>
  <c r="H211" i="6"/>
  <c r="W208" i="3"/>
  <c r="Z208" i="3" s="1"/>
  <c r="AH208" i="3" s="1"/>
  <c r="U209" i="6"/>
  <c r="W209" i="6"/>
  <c r="G209" i="6"/>
  <c r="F209" i="3"/>
  <c r="G209" i="3" s="1"/>
  <c r="M211" i="3"/>
  <c r="N211" i="3" s="1"/>
  <c r="O211" i="3" s="1"/>
  <c r="T211" i="3" s="1"/>
  <c r="L212" i="3"/>
  <c r="F210" i="6"/>
  <c r="K209" i="6"/>
  <c r="U210" i="3"/>
  <c r="E206" i="11"/>
  <c r="F206" i="11" s="1"/>
  <c r="F206" i="4"/>
  <c r="P206" i="4" s="1"/>
  <c r="X208" i="6"/>
  <c r="V208" i="6"/>
  <c r="C208" i="4" s="1"/>
  <c r="C208" i="11"/>
  <c r="D207" i="11"/>
  <c r="Z207" i="6"/>
  <c r="C207" i="4"/>
  <c r="M89" i="4" l="1"/>
  <c r="N89" i="4" s="1"/>
  <c r="AH208" i="6"/>
  <c r="AA103" i="6"/>
  <c r="AC103" i="6" s="1"/>
  <c r="AD103" i="6" s="1"/>
  <c r="AE103" i="6" s="1"/>
  <c r="AJ207" i="6"/>
  <c r="C104" i="9"/>
  <c r="AJ208" i="3"/>
  <c r="X209" i="6"/>
  <c r="V209" i="6"/>
  <c r="C209" i="4" s="1"/>
  <c r="H212" i="6"/>
  <c r="I211" i="6"/>
  <c r="F211" i="6"/>
  <c r="K210" i="6"/>
  <c r="I211" i="3"/>
  <c r="K211" i="3" s="1"/>
  <c r="F210" i="3"/>
  <c r="G210" i="3" s="1"/>
  <c r="W210" i="6"/>
  <c r="G210" i="6"/>
  <c r="M211" i="6"/>
  <c r="N211" i="6" s="1"/>
  <c r="O211" i="6" s="1"/>
  <c r="T211" i="6" s="1"/>
  <c r="L212" i="6"/>
  <c r="M212" i="3"/>
  <c r="N212" i="3" s="1"/>
  <c r="O212" i="3" s="1"/>
  <c r="T212" i="3" s="1"/>
  <c r="L213" i="3"/>
  <c r="U210" i="6"/>
  <c r="U211" i="3"/>
  <c r="W209" i="3"/>
  <c r="Z209" i="3" s="1"/>
  <c r="H206" i="4"/>
  <c r="E207" i="11"/>
  <c r="F207" i="11" s="1"/>
  <c r="F207" i="4"/>
  <c r="P207" i="4" s="1"/>
  <c r="E208" i="11"/>
  <c r="F208" i="4"/>
  <c r="P208" i="4" s="1"/>
  <c r="C209" i="11"/>
  <c r="X210" i="3"/>
  <c r="V210" i="3"/>
  <c r="AF105" i="3"/>
  <c r="AD105" i="3"/>
  <c r="AE105" i="3" s="1"/>
  <c r="D208" i="11"/>
  <c r="Z208" i="6"/>
  <c r="AJ208" i="6" l="1"/>
  <c r="F208" i="11"/>
  <c r="E89" i="9"/>
  <c r="G90" i="4"/>
  <c r="J90" i="4" s="1"/>
  <c r="AF103" i="6"/>
  <c r="AG103" i="6" s="1"/>
  <c r="AA104" i="6" s="1"/>
  <c r="AC104" i="6" s="1"/>
  <c r="AH209" i="6"/>
  <c r="AH209" i="3"/>
  <c r="AJ209" i="3" s="1"/>
  <c r="AG105" i="3"/>
  <c r="C105" i="9" s="1"/>
  <c r="X210" i="6"/>
  <c r="V210" i="6"/>
  <c r="C210" i="4" s="1"/>
  <c r="X211" i="3"/>
  <c r="V211" i="3"/>
  <c r="W210" i="3"/>
  <c r="Z210" i="3" s="1"/>
  <c r="I212" i="3"/>
  <c r="K212" i="3" s="1"/>
  <c r="F211" i="3"/>
  <c r="G211" i="3" s="1"/>
  <c r="W211" i="6"/>
  <c r="G211" i="6"/>
  <c r="F212" i="6"/>
  <c r="K211" i="6"/>
  <c r="E209" i="11"/>
  <c r="F209" i="4"/>
  <c r="P209" i="4" s="1"/>
  <c r="I212" i="6"/>
  <c r="H213" i="6"/>
  <c r="H208" i="4"/>
  <c r="D209" i="11"/>
  <c r="Z209" i="6"/>
  <c r="M213" i="3"/>
  <c r="N213" i="3" s="1"/>
  <c r="O213" i="3" s="1"/>
  <c r="T213" i="3" s="1"/>
  <c r="L214" i="3"/>
  <c r="U212" i="3"/>
  <c r="M212" i="6"/>
  <c r="N212" i="6" s="1"/>
  <c r="O212" i="6" s="1"/>
  <c r="T212" i="6" s="1"/>
  <c r="L213" i="6"/>
  <c r="H207" i="4"/>
  <c r="U211" i="6"/>
  <c r="C210" i="11"/>
  <c r="AJ209" i="6" l="1"/>
  <c r="F209" i="11"/>
  <c r="M90" i="4"/>
  <c r="AH210" i="6"/>
  <c r="AH210" i="3"/>
  <c r="AJ210" i="3" s="1"/>
  <c r="D103" i="9"/>
  <c r="AA106" i="3"/>
  <c r="AC106" i="3" s="1"/>
  <c r="AF106" i="3" s="1"/>
  <c r="X212" i="3"/>
  <c r="V212" i="3"/>
  <c r="M214" i="3"/>
  <c r="N214" i="3" s="1"/>
  <c r="O214" i="3" s="1"/>
  <c r="T214" i="3" s="1"/>
  <c r="L215" i="3"/>
  <c r="W211" i="3"/>
  <c r="Z211" i="3" s="1"/>
  <c r="U213" i="3"/>
  <c r="I213" i="3"/>
  <c r="K213" i="3" s="1"/>
  <c r="F212" i="3"/>
  <c r="G212" i="3" s="1"/>
  <c r="I213" i="6"/>
  <c r="H214" i="6"/>
  <c r="F213" i="6"/>
  <c r="K212" i="6"/>
  <c r="C211" i="11"/>
  <c r="F210" i="4"/>
  <c r="P210" i="4" s="1"/>
  <c r="E210" i="11"/>
  <c r="H209" i="4"/>
  <c r="X211" i="6"/>
  <c r="V211" i="6"/>
  <c r="C211" i="4" s="1"/>
  <c r="D210" i="11"/>
  <c r="Z210" i="6"/>
  <c r="AJ210" i="6" s="1"/>
  <c r="M213" i="6"/>
  <c r="N213" i="6" s="1"/>
  <c r="O213" i="6" s="1"/>
  <c r="T213" i="6" s="1"/>
  <c r="L214" i="6"/>
  <c r="W212" i="6"/>
  <c r="G212" i="6"/>
  <c r="U212" i="6"/>
  <c r="AF104" i="6"/>
  <c r="AD104" i="6"/>
  <c r="AE104" i="6" s="1"/>
  <c r="K90" i="4" l="1"/>
  <c r="L90" i="4" s="1"/>
  <c r="N90" i="4" s="1"/>
  <c r="AH211" i="6"/>
  <c r="AH211" i="3"/>
  <c r="AJ211" i="3" s="1"/>
  <c r="F210" i="11"/>
  <c r="AD106" i="3"/>
  <c r="AE106" i="3" s="1"/>
  <c r="AG106" i="3" s="1"/>
  <c r="AA107" i="3" s="1"/>
  <c r="AC107" i="3" s="1"/>
  <c r="AG104" i="6"/>
  <c r="AA105" i="6" s="1"/>
  <c r="AC105" i="6" s="1"/>
  <c r="X213" i="3"/>
  <c r="V213" i="3"/>
  <c r="X212" i="6"/>
  <c r="V212" i="6"/>
  <c r="C212" i="4" s="1"/>
  <c r="I214" i="3"/>
  <c r="K214" i="3" s="1"/>
  <c r="F213" i="3"/>
  <c r="G213" i="3" s="1"/>
  <c r="M215" i="3"/>
  <c r="N215" i="3" s="1"/>
  <c r="O215" i="3" s="1"/>
  <c r="T215" i="3" s="1"/>
  <c r="L216" i="3"/>
  <c r="U214" i="3"/>
  <c r="H210" i="4"/>
  <c r="M214" i="6"/>
  <c r="N214" i="6" s="1"/>
  <c r="O214" i="6" s="1"/>
  <c r="T214" i="6" s="1"/>
  <c r="L215" i="6"/>
  <c r="U213" i="6"/>
  <c r="W213" i="6"/>
  <c r="G213" i="6"/>
  <c r="I214" i="6"/>
  <c r="H215" i="6"/>
  <c r="E211" i="11"/>
  <c r="F211" i="4"/>
  <c r="P211" i="4" s="1"/>
  <c r="F214" i="6"/>
  <c r="K213" i="6"/>
  <c r="C212" i="11"/>
  <c r="D211" i="11"/>
  <c r="Z211" i="6"/>
  <c r="AJ211" i="6" s="1"/>
  <c r="W212" i="3"/>
  <c r="Z212" i="3" s="1"/>
  <c r="AH212" i="6" s="1"/>
  <c r="E90" i="9" l="1"/>
  <c r="G91" i="4"/>
  <c r="J91" i="4" s="1"/>
  <c r="AH212" i="3"/>
  <c r="AJ212" i="3" s="1"/>
  <c r="D104" i="9"/>
  <c r="C106" i="9"/>
  <c r="F211" i="11"/>
  <c r="U215" i="3"/>
  <c r="W213" i="3"/>
  <c r="Z213" i="3" s="1"/>
  <c r="AF105" i="6"/>
  <c r="AD105" i="6"/>
  <c r="AE105" i="6" s="1"/>
  <c r="E212" i="11"/>
  <c r="F212" i="4"/>
  <c r="P212" i="4" s="1"/>
  <c r="M215" i="6"/>
  <c r="N215" i="6" s="1"/>
  <c r="O215" i="6" s="1"/>
  <c r="T215" i="6" s="1"/>
  <c r="L216" i="6"/>
  <c r="U214" i="6"/>
  <c r="D212" i="11"/>
  <c r="Z212" i="6"/>
  <c r="AJ212" i="6" s="1"/>
  <c r="X213" i="6"/>
  <c r="V213" i="6"/>
  <c r="C213" i="4" s="1"/>
  <c r="C213" i="11"/>
  <c r="F214" i="3"/>
  <c r="G214" i="3" s="1"/>
  <c r="H211" i="4"/>
  <c r="X214" i="3"/>
  <c r="V214" i="3"/>
  <c r="I215" i="3"/>
  <c r="K215" i="3" s="1"/>
  <c r="I215" i="6"/>
  <c r="H216" i="6"/>
  <c r="W214" i="6"/>
  <c r="G214" i="6"/>
  <c r="F215" i="6"/>
  <c r="K214" i="6"/>
  <c r="M216" i="3"/>
  <c r="N216" i="3" s="1"/>
  <c r="O216" i="3" s="1"/>
  <c r="T216" i="3" s="1"/>
  <c r="L217" i="3"/>
  <c r="AF107" i="3"/>
  <c r="AD107" i="3"/>
  <c r="AE107" i="3" s="1"/>
  <c r="K91" i="4" l="1"/>
  <c r="L91" i="4" s="1"/>
  <c r="AH213" i="3"/>
  <c r="AJ213" i="3" s="1"/>
  <c r="AH213" i="6"/>
  <c r="AG107" i="3"/>
  <c r="AA108" i="3" s="1"/>
  <c r="AC108" i="3" s="1"/>
  <c r="F212" i="11"/>
  <c r="AG105" i="6"/>
  <c r="AA106" i="6" s="1"/>
  <c r="AC106" i="6" s="1"/>
  <c r="F213" i="4"/>
  <c r="P213" i="4" s="1"/>
  <c r="E213" i="11"/>
  <c r="X214" i="6"/>
  <c r="V214" i="6"/>
  <c r="C214" i="4" s="1"/>
  <c r="X215" i="3"/>
  <c r="V215" i="3"/>
  <c r="C214" i="11"/>
  <c r="M216" i="6"/>
  <c r="N216" i="6" s="1"/>
  <c r="O216" i="6" s="1"/>
  <c r="T216" i="6" s="1"/>
  <c r="L217" i="6"/>
  <c r="U215" i="6"/>
  <c r="U216" i="3"/>
  <c r="H212" i="4"/>
  <c r="W214" i="3"/>
  <c r="Z214" i="3" s="1"/>
  <c r="W215" i="6"/>
  <c r="G215" i="6"/>
  <c r="M217" i="3"/>
  <c r="N217" i="3" s="1"/>
  <c r="O217" i="3" s="1"/>
  <c r="T217" i="3" s="1"/>
  <c r="L218" i="3"/>
  <c r="Z213" i="6"/>
  <c r="AJ213" i="6" s="1"/>
  <c r="D213" i="11"/>
  <c r="I216" i="6"/>
  <c r="H217" i="6"/>
  <c r="F215" i="3"/>
  <c r="G215" i="3" s="1"/>
  <c r="F216" i="6"/>
  <c r="K215" i="6"/>
  <c r="I216" i="3"/>
  <c r="K216" i="3" s="1"/>
  <c r="M91" i="4" l="1"/>
  <c r="N91" i="4" s="1"/>
  <c r="C107" i="9"/>
  <c r="AH214" i="6"/>
  <c r="AH214" i="3"/>
  <c r="AJ214" i="3" s="1"/>
  <c r="D105" i="9"/>
  <c r="F213" i="11"/>
  <c r="X215" i="6"/>
  <c r="V215" i="6"/>
  <c r="C215" i="4" s="1"/>
  <c r="U216" i="6"/>
  <c r="C215" i="11"/>
  <c r="U217" i="3"/>
  <c r="I217" i="3"/>
  <c r="K217" i="3" s="1"/>
  <c r="W216" i="6"/>
  <c r="G216" i="6"/>
  <c r="AF108" i="3"/>
  <c r="AD108" i="3"/>
  <c r="AE108" i="3" s="1"/>
  <c r="AD106" i="6"/>
  <c r="AE106" i="6" s="1"/>
  <c r="AF106" i="6"/>
  <c r="W215" i="3"/>
  <c r="Z215" i="3" s="1"/>
  <c r="AH215" i="3" s="1"/>
  <c r="Z214" i="6"/>
  <c r="AJ214" i="6" s="1"/>
  <c r="D214" i="11"/>
  <c r="F216" i="3"/>
  <c r="G216" i="3" s="1"/>
  <c r="M218" i="3"/>
  <c r="N218" i="3" s="1"/>
  <c r="O218" i="3" s="1"/>
  <c r="T218" i="3" s="1"/>
  <c r="L219" i="3"/>
  <c r="X216" i="3"/>
  <c r="V216" i="3"/>
  <c r="I217" i="6"/>
  <c r="H218" i="6"/>
  <c r="E214" i="11"/>
  <c r="F214" i="4"/>
  <c r="P214" i="4" s="1"/>
  <c r="F217" i="6"/>
  <c r="K216" i="6"/>
  <c r="M217" i="6"/>
  <c r="N217" i="6" s="1"/>
  <c r="O217" i="6" s="1"/>
  <c r="T217" i="6" s="1"/>
  <c r="L218" i="6"/>
  <c r="H213" i="4"/>
  <c r="E91" i="9" l="1"/>
  <c r="G92" i="4"/>
  <c r="J92" i="4" s="1"/>
  <c r="AH215" i="6"/>
  <c r="AJ215" i="3"/>
  <c r="F214" i="11"/>
  <c r="AG106" i="6"/>
  <c r="AA107" i="6" s="1"/>
  <c r="AC107" i="6" s="1"/>
  <c r="AG108" i="3"/>
  <c r="AA109" i="3" s="1"/>
  <c r="AC109" i="3" s="1"/>
  <c r="I218" i="3"/>
  <c r="K218" i="3" s="1"/>
  <c r="W216" i="3"/>
  <c r="Z216" i="3" s="1"/>
  <c r="AH216" i="3" s="1"/>
  <c r="F217" i="3"/>
  <c r="G217" i="3" s="1"/>
  <c r="M218" i="6"/>
  <c r="N218" i="6" s="1"/>
  <c r="O218" i="6" s="1"/>
  <c r="T218" i="6" s="1"/>
  <c r="L219" i="6"/>
  <c r="X217" i="3"/>
  <c r="V217" i="3"/>
  <c r="F215" i="4"/>
  <c r="P215" i="4" s="1"/>
  <c r="E215" i="11"/>
  <c r="W217" i="6"/>
  <c r="G217" i="6"/>
  <c r="X216" i="6"/>
  <c r="V216" i="6"/>
  <c r="C216" i="4" s="1"/>
  <c r="U217" i="6"/>
  <c r="F218" i="6"/>
  <c r="K217" i="6"/>
  <c r="U218" i="3"/>
  <c r="H214" i="4"/>
  <c r="Z215" i="6"/>
  <c r="D215" i="11"/>
  <c r="C216" i="11"/>
  <c r="I218" i="6"/>
  <c r="H219" i="6"/>
  <c r="M219" i="3"/>
  <c r="N219" i="3" s="1"/>
  <c r="O219" i="3" s="1"/>
  <c r="T219" i="3" s="1"/>
  <c r="L220" i="3"/>
  <c r="AJ215" i="6" l="1"/>
  <c r="AH216" i="6"/>
  <c r="AJ216" i="3"/>
  <c r="F215" i="11"/>
  <c r="C108" i="9"/>
  <c r="D106" i="9"/>
  <c r="H215" i="4"/>
  <c r="M220" i="3"/>
  <c r="N220" i="3" s="1"/>
  <c r="O220" i="3" s="1"/>
  <c r="T220" i="3" s="1"/>
  <c r="L221" i="3"/>
  <c r="M219" i="6"/>
  <c r="N219" i="6" s="1"/>
  <c r="O219" i="6" s="1"/>
  <c r="T219" i="6" s="1"/>
  <c r="L220" i="6"/>
  <c r="C217" i="11"/>
  <c r="I219" i="6"/>
  <c r="H220" i="6"/>
  <c r="U218" i="6"/>
  <c r="W217" i="3"/>
  <c r="Z217" i="3" s="1"/>
  <c r="AH217" i="3" s="1"/>
  <c r="U219" i="3"/>
  <c r="F219" i="6"/>
  <c r="K218" i="6"/>
  <c r="Z216" i="6"/>
  <c r="D216" i="11"/>
  <c r="I219" i="3"/>
  <c r="K219" i="3" s="1"/>
  <c r="F218" i="3"/>
  <c r="G218" i="3" s="1"/>
  <c r="W218" i="6"/>
  <c r="G218" i="6"/>
  <c r="F216" i="4"/>
  <c r="P216" i="4" s="1"/>
  <c r="E216" i="11"/>
  <c r="AD109" i="3"/>
  <c r="AE109" i="3" s="1"/>
  <c r="AF109" i="3"/>
  <c r="X217" i="6"/>
  <c r="V217" i="6"/>
  <c r="C217" i="4" s="1"/>
  <c r="X218" i="3"/>
  <c r="V218" i="3"/>
  <c r="AD107" i="6"/>
  <c r="AE107" i="6" s="1"/>
  <c r="AF107" i="6"/>
  <c r="AJ216" i="6" l="1"/>
  <c r="M92" i="4"/>
  <c r="K92" i="4"/>
  <c r="L92" i="4" s="1"/>
  <c r="AJ217" i="3"/>
  <c r="AH217" i="6"/>
  <c r="F216" i="11"/>
  <c r="AG109" i="3"/>
  <c r="AA110" i="3" s="1"/>
  <c r="AC110" i="3" s="1"/>
  <c r="AG107" i="6"/>
  <c r="AA108" i="6" s="1"/>
  <c r="AC108" i="6" s="1"/>
  <c r="X219" i="3"/>
  <c r="V219" i="3"/>
  <c r="X218" i="6"/>
  <c r="V218" i="6"/>
  <c r="I220" i="6"/>
  <c r="H221" i="6"/>
  <c r="F220" i="6"/>
  <c r="K219" i="6"/>
  <c r="E217" i="11"/>
  <c r="F217" i="4"/>
  <c r="P217" i="4" s="1"/>
  <c r="W218" i="3"/>
  <c r="Z218" i="3" s="1"/>
  <c r="C218" i="11"/>
  <c r="D217" i="11"/>
  <c r="Z217" i="6"/>
  <c r="M220" i="6"/>
  <c r="N220" i="6" s="1"/>
  <c r="O220" i="6" s="1"/>
  <c r="T220" i="6" s="1"/>
  <c r="L221" i="6"/>
  <c r="F219" i="3"/>
  <c r="G219" i="3" s="1"/>
  <c r="U219" i="6"/>
  <c r="M221" i="3"/>
  <c r="N221" i="3" s="1"/>
  <c r="O221" i="3" s="1"/>
  <c r="T221" i="3" s="1"/>
  <c r="L222" i="3"/>
  <c r="W219" i="6"/>
  <c r="G219" i="6"/>
  <c r="U220" i="3"/>
  <c r="I220" i="3"/>
  <c r="K220" i="3" s="1"/>
  <c r="H216" i="4"/>
  <c r="AJ217" i="6" l="1"/>
  <c r="N92" i="4"/>
  <c r="E92" i="9" s="1"/>
  <c r="AH218" i="3"/>
  <c r="AJ218" i="3" s="1"/>
  <c r="AH218" i="6"/>
  <c r="C109" i="9"/>
  <c r="D107" i="9"/>
  <c r="F217" i="11"/>
  <c r="W220" i="6"/>
  <c r="G220" i="6"/>
  <c r="M222" i="3"/>
  <c r="N222" i="3" s="1"/>
  <c r="O222" i="3" s="1"/>
  <c r="T222" i="3" s="1"/>
  <c r="L223" i="3"/>
  <c r="F221" i="6"/>
  <c r="K220" i="6"/>
  <c r="U220" i="6"/>
  <c r="Z218" i="6"/>
  <c r="D218" i="11"/>
  <c r="M221" i="6"/>
  <c r="N221" i="6" s="1"/>
  <c r="O221" i="6" s="1"/>
  <c r="T221" i="6" s="1"/>
  <c r="L222" i="6"/>
  <c r="H217" i="4"/>
  <c r="X219" i="6"/>
  <c r="V219" i="6"/>
  <c r="C219" i="4" s="1"/>
  <c r="I221" i="6"/>
  <c r="H222" i="6"/>
  <c r="C219" i="11"/>
  <c r="U221" i="3"/>
  <c r="AD110" i="3"/>
  <c r="AE110" i="3" s="1"/>
  <c r="AF110" i="3"/>
  <c r="I221" i="3"/>
  <c r="K221" i="3" s="1"/>
  <c r="X220" i="3"/>
  <c r="V220" i="3"/>
  <c r="C218" i="4"/>
  <c r="W219" i="3"/>
  <c r="Z219" i="3" s="1"/>
  <c r="F220" i="3"/>
  <c r="G220" i="3" s="1"/>
  <c r="AD108" i="6"/>
  <c r="AE108" i="6" s="1"/>
  <c r="AF108" i="6"/>
  <c r="G93" i="4" l="1"/>
  <c r="J93" i="4" s="1"/>
  <c r="M93" i="4" s="1"/>
  <c r="AH219" i="3"/>
  <c r="AJ219" i="3" s="1"/>
  <c r="AH219" i="6"/>
  <c r="AJ218" i="6"/>
  <c r="AG108" i="6"/>
  <c r="AA109" i="6" s="1"/>
  <c r="AC109" i="6" s="1"/>
  <c r="AG110" i="3"/>
  <c r="AA111" i="3" s="1"/>
  <c r="AC111" i="3" s="1"/>
  <c r="X221" i="3"/>
  <c r="V221" i="3"/>
  <c r="M222" i="6"/>
  <c r="N222" i="6" s="1"/>
  <c r="O222" i="6" s="1"/>
  <c r="T222" i="6" s="1"/>
  <c r="L223" i="6"/>
  <c r="U221" i="6"/>
  <c r="X220" i="6"/>
  <c r="V220" i="6"/>
  <c r="C220" i="4" s="1"/>
  <c r="E219" i="11"/>
  <c r="F219" i="4"/>
  <c r="P219" i="4" s="1"/>
  <c r="I222" i="6"/>
  <c r="H223" i="6"/>
  <c r="W221" i="6"/>
  <c r="G221" i="6"/>
  <c r="M223" i="3"/>
  <c r="N223" i="3" s="1"/>
  <c r="O223" i="3" s="1"/>
  <c r="T223" i="3" s="1"/>
  <c r="L224" i="3"/>
  <c r="F218" i="4"/>
  <c r="P218" i="4" s="1"/>
  <c r="E218" i="11"/>
  <c r="F218" i="11" s="1"/>
  <c r="U222" i="3"/>
  <c r="W220" i="3"/>
  <c r="Z220" i="3" s="1"/>
  <c r="F222" i="6"/>
  <c r="K221" i="6"/>
  <c r="C220" i="11"/>
  <c r="F221" i="3"/>
  <c r="G221" i="3" s="1"/>
  <c r="D219" i="11"/>
  <c r="Z219" i="6"/>
  <c r="AJ219" i="6" s="1"/>
  <c r="I222" i="3"/>
  <c r="K222" i="3" s="1"/>
  <c r="K93" i="4" l="1"/>
  <c r="L93" i="4" s="1"/>
  <c r="N93" i="4" s="1"/>
  <c r="D108" i="9"/>
  <c r="AH220" i="3"/>
  <c r="AJ220" i="3" s="1"/>
  <c r="AH220" i="6"/>
  <c r="C110" i="9"/>
  <c r="C11" i="10" s="1"/>
  <c r="F219" i="11"/>
  <c r="X222" i="3"/>
  <c r="V222" i="3"/>
  <c r="I223" i="3"/>
  <c r="K223" i="3" s="1"/>
  <c r="F222" i="3"/>
  <c r="G222" i="3" s="1"/>
  <c r="U222" i="6"/>
  <c r="U223" i="3"/>
  <c r="W221" i="3"/>
  <c r="Z221" i="3" s="1"/>
  <c r="AH221" i="3" s="1"/>
  <c r="M223" i="6"/>
  <c r="N223" i="6" s="1"/>
  <c r="O223" i="6" s="1"/>
  <c r="T223" i="6" s="1"/>
  <c r="L224" i="6"/>
  <c r="F223" i="6"/>
  <c r="K222" i="6"/>
  <c r="AF109" i="6"/>
  <c r="AD109" i="6"/>
  <c r="AE109" i="6" s="1"/>
  <c r="H218" i="4"/>
  <c r="H219" i="4"/>
  <c r="M224" i="3"/>
  <c r="N224" i="3" s="1"/>
  <c r="O224" i="3" s="1"/>
  <c r="T224" i="3" s="1"/>
  <c r="L225" i="3"/>
  <c r="C221" i="11"/>
  <c r="F220" i="4"/>
  <c r="P220" i="4" s="1"/>
  <c r="E220" i="11"/>
  <c r="W222" i="6"/>
  <c r="G222" i="6"/>
  <c r="X221" i="6"/>
  <c r="V221" i="6"/>
  <c r="C221" i="4" s="1"/>
  <c r="I223" i="6"/>
  <c r="H224" i="6"/>
  <c r="D220" i="11"/>
  <c r="Z220" i="6"/>
  <c r="AD111" i="3"/>
  <c r="AE111" i="3" s="1"/>
  <c r="AF111" i="3"/>
  <c r="E93" i="9" l="1"/>
  <c r="G94" i="4"/>
  <c r="J94" i="4" s="1"/>
  <c r="AJ220" i="6"/>
  <c r="AH221" i="6"/>
  <c r="AJ221" i="3"/>
  <c r="AG109" i="6"/>
  <c r="D109" i="9" s="1"/>
  <c r="AG111" i="3"/>
  <c r="AA112" i="3" s="1"/>
  <c r="AC112" i="3" s="1"/>
  <c r="F220" i="11"/>
  <c r="X223" i="3"/>
  <c r="V223" i="3"/>
  <c r="F221" i="4"/>
  <c r="P221" i="4" s="1"/>
  <c r="E221" i="11"/>
  <c r="X222" i="6"/>
  <c r="V222" i="6"/>
  <c r="C222" i="4" s="1"/>
  <c r="W222" i="3"/>
  <c r="Z222" i="3" s="1"/>
  <c r="I224" i="3"/>
  <c r="K224" i="3" s="1"/>
  <c r="I224" i="6"/>
  <c r="H225" i="6"/>
  <c r="F224" i="6"/>
  <c r="K223" i="6"/>
  <c r="Z221" i="6"/>
  <c r="D221" i="11"/>
  <c r="F223" i="3"/>
  <c r="G223" i="3" s="1"/>
  <c r="C222" i="11"/>
  <c r="M225" i="3"/>
  <c r="N225" i="3" s="1"/>
  <c r="O225" i="3" s="1"/>
  <c r="T225" i="3" s="1"/>
  <c r="L226" i="3"/>
  <c r="H220" i="4"/>
  <c r="W223" i="6"/>
  <c r="G223" i="6"/>
  <c r="M224" i="6"/>
  <c r="N224" i="6" s="1"/>
  <c r="O224" i="6" s="1"/>
  <c r="T224" i="6" s="1"/>
  <c r="L225" i="6"/>
  <c r="U224" i="3"/>
  <c r="U223" i="6"/>
  <c r="M94" i="4" l="1"/>
  <c r="AJ221" i="6"/>
  <c r="AH222" i="6"/>
  <c r="AH222" i="3"/>
  <c r="AJ222" i="3" s="1"/>
  <c r="F221" i="11"/>
  <c r="AA110" i="6"/>
  <c r="AC110" i="6" s="1"/>
  <c r="AD110" i="6" s="1"/>
  <c r="AE110" i="6" s="1"/>
  <c r="C111" i="9"/>
  <c r="X224" i="3"/>
  <c r="V224" i="3"/>
  <c r="X223" i="6"/>
  <c r="V223" i="6"/>
  <c r="C223" i="4" s="1"/>
  <c r="W223" i="3"/>
  <c r="Z223" i="3" s="1"/>
  <c r="D222" i="11"/>
  <c r="Z222" i="6"/>
  <c r="F222" i="4"/>
  <c r="P222" i="4" s="1"/>
  <c r="E222" i="11"/>
  <c r="M225" i="6"/>
  <c r="N225" i="6" s="1"/>
  <c r="O225" i="6" s="1"/>
  <c r="T225" i="6" s="1"/>
  <c r="L226" i="6"/>
  <c r="H221" i="4"/>
  <c r="I225" i="6"/>
  <c r="H226" i="6"/>
  <c r="AD112" i="3"/>
  <c r="AE112" i="3" s="1"/>
  <c r="AF112" i="3"/>
  <c r="U224" i="6"/>
  <c r="I225" i="3"/>
  <c r="K225" i="3" s="1"/>
  <c r="C223" i="11"/>
  <c r="U225" i="3"/>
  <c r="W224" i="6"/>
  <c r="G224" i="6"/>
  <c r="F225" i="6"/>
  <c r="K224" i="6"/>
  <c r="F224" i="3"/>
  <c r="G224" i="3" s="1"/>
  <c r="M226" i="3"/>
  <c r="N226" i="3" s="1"/>
  <c r="O226" i="3" s="1"/>
  <c r="T226" i="3" s="1"/>
  <c r="L227" i="3"/>
  <c r="K94" i="4" l="1"/>
  <c r="L94" i="4" s="1"/>
  <c r="N94" i="4" s="1"/>
  <c r="AH223" i="3"/>
  <c r="AJ223" i="3" s="1"/>
  <c r="AH223" i="6"/>
  <c r="AJ222" i="6"/>
  <c r="AF110" i="6"/>
  <c r="AG110" i="6" s="1"/>
  <c r="D110" i="9" s="1"/>
  <c r="H11" i="10" s="1"/>
  <c r="F222" i="11"/>
  <c r="AG112" i="3"/>
  <c r="C112" i="9" s="1"/>
  <c r="X225" i="3"/>
  <c r="V225" i="3"/>
  <c r="X224" i="6"/>
  <c r="V224" i="6"/>
  <c r="H222" i="4"/>
  <c r="M227" i="3"/>
  <c r="N227" i="3" s="1"/>
  <c r="O227" i="3" s="1"/>
  <c r="T227" i="3" s="1"/>
  <c r="L228" i="3"/>
  <c r="U226" i="3"/>
  <c r="W224" i="3"/>
  <c r="Z224" i="3" s="1"/>
  <c r="Z223" i="6"/>
  <c r="D223" i="11"/>
  <c r="W225" i="6"/>
  <c r="G225" i="6"/>
  <c r="I226" i="6"/>
  <c r="H227" i="6"/>
  <c r="F226" i="6"/>
  <c r="K225" i="6"/>
  <c r="E223" i="11"/>
  <c r="F223" i="4"/>
  <c r="P223" i="4" s="1"/>
  <c r="M226" i="6"/>
  <c r="N226" i="6" s="1"/>
  <c r="O226" i="6" s="1"/>
  <c r="T226" i="6" s="1"/>
  <c r="L227" i="6"/>
  <c r="C224" i="11"/>
  <c r="U225" i="6"/>
  <c r="I226" i="3"/>
  <c r="K226" i="3" s="1"/>
  <c r="F225" i="3"/>
  <c r="G225" i="3" s="1"/>
  <c r="G95" i="4" l="1"/>
  <c r="J95" i="4" s="1"/>
  <c r="E94" i="9"/>
  <c r="AJ223" i="6"/>
  <c r="AH224" i="3"/>
  <c r="AJ224" i="3" s="1"/>
  <c r="AH224" i="6"/>
  <c r="AA111" i="6"/>
  <c r="AC111" i="6" s="1"/>
  <c r="AD111" i="6" s="1"/>
  <c r="AE111" i="6" s="1"/>
  <c r="AA113" i="3"/>
  <c r="AC113" i="3" s="1"/>
  <c r="AD113" i="3" s="1"/>
  <c r="AE113" i="3" s="1"/>
  <c r="F223" i="11"/>
  <c r="X225" i="6"/>
  <c r="V225" i="6"/>
  <c r="C225" i="4" s="1"/>
  <c r="M228" i="3"/>
  <c r="N228" i="3" s="1"/>
  <c r="O228" i="3" s="1"/>
  <c r="T228" i="3" s="1"/>
  <c r="L229" i="3"/>
  <c r="W225" i="3"/>
  <c r="Z225" i="3" s="1"/>
  <c r="AH225" i="3" s="1"/>
  <c r="U227" i="3"/>
  <c r="W226" i="6"/>
  <c r="G226" i="6"/>
  <c r="U226" i="6"/>
  <c r="H223" i="4"/>
  <c r="I227" i="6"/>
  <c r="H228" i="6"/>
  <c r="I227" i="3"/>
  <c r="K227" i="3" s="1"/>
  <c r="F227" i="6"/>
  <c r="K226" i="6"/>
  <c r="D224" i="11"/>
  <c r="Z224" i="6"/>
  <c r="M227" i="6"/>
  <c r="N227" i="6" s="1"/>
  <c r="O227" i="6" s="1"/>
  <c r="T227" i="6" s="1"/>
  <c r="L228" i="6"/>
  <c r="F226" i="3"/>
  <c r="G226" i="3" s="1"/>
  <c r="C224" i="4"/>
  <c r="C225" i="11"/>
  <c r="X226" i="3"/>
  <c r="V226" i="3"/>
  <c r="M95" i="4" l="1"/>
  <c r="AF111" i="6"/>
  <c r="AG111" i="6" s="1"/>
  <c r="AA112" i="6" s="1"/>
  <c r="AC112" i="6" s="1"/>
  <c r="AJ224" i="6"/>
  <c r="AJ225" i="3"/>
  <c r="AH225" i="6"/>
  <c r="AF113" i="3"/>
  <c r="AG113" i="3" s="1"/>
  <c r="AA114" i="3" s="1"/>
  <c r="AC114" i="3" s="1"/>
  <c r="F225" i="4"/>
  <c r="P225" i="4" s="1"/>
  <c r="E225" i="11"/>
  <c r="X226" i="6"/>
  <c r="V226" i="6"/>
  <c r="C226" i="4" s="1"/>
  <c r="C226" i="11"/>
  <c r="I228" i="3"/>
  <c r="K228" i="3" s="1"/>
  <c r="X227" i="3"/>
  <c r="V227" i="3"/>
  <c r="W227" i="6"/>
  <c r="G227" i="6"/>
  <c r="F227" i="3"/>
  <c r="G227" i="3" s="1"/>
  <c r="M229" i="3"/>
  <c r="N229" i="3" s="1"/>
  <c r="O229" i="3" s="1"/>
  <c r="T229" i="3" s="1"/>
  <c r="L230" i="3"/>
  <c r="E224" i="11"/>
  <c r="F224" i="11" s="1"/>
  <c r="F224" i="4"/>
  <c r="P224" i="4" s="1"/>
  <c r="W226" i="3"/>
  <c r="Z226" i="3" s="1"/>
  <c r="U228" i="3"/>
  <c r="M228" i="6"/>
  <c r="N228" i="6" s="1"/>
  <c r="O228" i="6" s="1"/>
  <c r="T228" i="6" s="1"/>
  <c r="L229" i="6"/>
  <c r="I228" i="6"/>
  <c r="H229" i="6"/>
  <c r="D225" i="11"/>
  <c r="Z225" i="6"/>
  <c r="F228" i="6"/>
  <c r="K227" i="6"/>
  <c r="U227" i="6"/>
  <c r="K95" i="4" l="1"/>
  <c r="L95" i="4" s="1"/>
  <c r="N95" i="4" s="1"/>
  <c r="AH226" i="6"/>
  <c r="AH226" i="3"/>
  <c r="AJ226" i="3" s="1"/>
  <c r="AJ225" i="6"/>
  <c r="D111" i="9"/>
  <c r="F225" i="11"/>
  <c r="C113" i="9"/>
  <c r="X228" i="3"/>
  <c r="V228" i="3"/>
  <c r="F228" i="3"/>
  <c r="G228" i="3" s="1"/>
  <c r="D226" i="11"/>
  <c r="Z226" i="6"/>
  <c r="U229" i="3"/>
  <c r="F226" i="4"/>
  <c r="P226" i="4" s="1"/>
  <c r="E226" i="11"/>
  <c r="W228" i="6"/>
  <c r="G228" i="6"/>
  <c r="W227" i="3"/>
  <c r="Z227" i="3" s="1"/>
  <c r="AH227" i="3" s="1"/>
  <c r="H224" i="4"/>
  <c r="AD112" i="6"/>
  <c r="AE112" i="6" s="1"/>
  <c r="AF112" i="6"/>
  <c r="M230" i="3"/>
  <c r="N230" i="3" s="1"/>
  <c r="O230" i="3" s="1"/>
  <c r="T230" i="3" s="1"/>
  <c r="L231" i="3"/>
  <c r="M229" i="6"/>
  <c r="N229" i="6" s="1"/>
  <c r="O229" i="6" s="1"/>
  <c r="T229" i="6" s="1"/>
  <c r="L230" i="6"/>
  <c r="X227" i="6"/>
  <c r="V227" i="6"/>
  <c r="H225" i="4"/>
  <c r="I229" i="6"/>
  <c r="H230" i="6"/>
  <c r="F229" i="6"/>
  <c r="K228" i="6"/>
  <c r="C227" i="11"/>
  <c r="U228" i="6"/>
  <c r="I229" i="3"/>
  <c r="K229" i="3" s="1"/>
  <c r="AD114" i="3"/>
  <c r="AE114" i="3" s="1"/>
  <c r="AF114" i="3"/>
  <c r="E95" i="9" l="1"/>
  <c r="G96" i="4"/>
  <c r="J96" i="4" s="1"/>
  <c r="AJ226" i="6"/>
  <c r="AH227" i="6"/>
  <c r="AJ227" i="3"/>
  <c r="AG114" i="3"/>
  <c r="AA115" i="3" s="1"/>
  <c r="AC115" i="3" s="1"/>
  <c r="AG112" i="6"/>
  <c r="D112" i="9" s="1"/>
  <c r="F226" i="11"/>
  <c r="X229" i="3"/>
  <c r="V229" i="3"/>
  <c r="D227" i="11"/>
  <c r="Z227" i="6"/>
  <c r="F229" i="3"/>
  <c r="G229" i="3" s="1"/>
  <c r="X228" i="6"/>
  <c r="V228" i="6"/>
  <c r="C228" i="4" s="1"/>
  <c r="M231" i="3"/>
  <c r="N231" i="3" s="1"/>
  <c r="O231" i="3" s="1"/>
  <c r="T231" i="3" s="1"/>
  <c r="L232" i="3"/>
  <c r="U230" i="3"/>
  <c r="M230" i="6"/>
  <c r="N230" i="6" s="1"/>
  <c r="O230" i="6" s="1"/>
  <c r="T230" i="6" s="1"/>
  <c r="L231" i="6"/>
  <c r="W228" i="3"/>
  <c r="Z228" i="3" s="1"/>
  <c r="I230" i="3"/>
  <c r="K230" i="3" s="1"/>
  <c r="C227" i="4"/>
  <c r="U229" i="6"/>
  <c r="W229" i="6"/>
  <c r="G229" i="6"/>
  <c r="H226" i="4"/>
  <c r="I230" i="6"/>
  <c r="H231" i="6"/>
  <c r="F230" i="6"/>
  <c r="K229" i="6"/>
  <c r="C228" i="11"/>
  <c r="K96" i="4" l="1"/>
  <c r="L96" i="4" s="1"/>
  <c r="M96" i="4"/>
  <c r="AJ227" i="6"/>
  <c r="AH228" i="6"/>
  <c r="AH228" i="3"/>
  <c r="AJ228" i="3" s="1"/>
  <c r="AA113" i="6"/>
  <c r="AC113" i="6" s="1"/>
  <c r="AD113" i="6" s="1"/>
  <c r="AE113" i="6" s="1"/>
  <c r="C114" i="9"/>
  <c r="X230" i="3"/>
  <c r="V230" i="3"/>
  <c r="E228" i="11"/>
  <c r="F228" i="4"/>
  <c r="P228" i="4" s="1"/>
  <c r="M232" i="3"/>
  <c r="N232" i="3" s="1"/>
  <c r="O232" i="3" s="1"/>
  <c r="T232" i="3" s="1"/>
  <c r="L233" i="3"/>
  <c r="I231" i="3"/>
  <c r="K231" i="3" s="1"/>
  <c r="W230" i="6"/>
  <c r="G230" i="6"/>
  <c r="F230" i="3"/>
  <c r="G230" i="3" s="1"/>
  <c r="U231" i="3"/>
  <c r="I231" i="6"/>
  <c r="H232" i="6"/>
  <c r="X229" i="6"/>
  <c r="V229" i="6"/>
  <c r="C229" i="4" s="1"/>
  <c r="D228" i="11"/>
  <c r="Z228" i="6"/>
  <c r="W229" i="3"/>
  <c r="Z229" i="3" s="1"/>
  <c r="E227" i="11"/>
  <c r="F227" i="11" s="1"/>
  <c r="F227" i="4"/>
  <c r="P227" i="4" s="1"/>
  <c r="F231" i="6"/>
  <c r="K230" i="6"/>
  <c r="AD115" i="3"/>
  <c r="AE115" i="3" s="1"/>
  <c r="AF115" i="3"/>
  <c r="M231" i="6"/>
  <c r="N231" i="6" s="1"/>
  <c r="O231" i="6" s="1"/>
  <c r="T231" i="6" s="1"/>
  <c r="L232" i="6"/>
  <c r="U230" i="6"/>
  <c r="C229" i="11"/>
  <c r="N96" i="4" l="1"/>
  <c r="G97" i="4" s="1"/>
  <c r="J97" i="4" s="1"/>
  <c r="AJ228" i="6"/>
  <c r="AH229" i="6"/>
  <c r="AH229" i="3"/>
  <c r="AJ229" i="3" s="1"/>
  <c r="AF113" i="6"/>
  <c r="AG113" i="6" s="1"/>
  <c r="AA114" i="6" s="1"/>
  <c r="AC114" i="6" s="1"/>
  <c r="F228" i="11"/>
  <c r="AG115" i="3"/>
  <c r="AA116" i="3" s="1"/>
  <c r="AC116" i="3" s="1"/>
  <c r="X231" i="3"/>
  <c r="V231" i="3"/>
  <c r="X230" i="6"/>
  <c r="V230" i="6"/>
  <c r="H227" i="4"/>
  <c r="I232" i="3"/>
  <c r="K232" i="3" s="1"/>
  <c r="H228" i="4"/>
  <c r="U232" i="3"/>
  <c r="F229" i="4"/>
  <c r="P229" i="4" s="1"/>
  <c r="E229" i="11"/>
  <c r="U231" i="6"/>
  <c r="F231" i="3"/>
  <c r="G231" i="3" s="1"/>
  <c r="M232" i="6"/>
  <c r="N232" i="6" s="1"/>
  <c r="O232" i="6" s="1"/>
  <c r="T232" i="6" s="1"/>
  <c r="L233" i="6"/>
  <c r="I232" i="6"/>
  <c r="H233" i="6"/>
  <c r="C230" i="11"/>
  <c r="F232" i="6"/>
  <c r="K231" i="6"/>
  <c r="M233" i="3"/>
  <c r="N233" i="3" s="1"/>
  <c r="O233" i="3" s="1"/>
  <c r="T233" i="3" s="1"/>
  <c r="L234" i="3"/>
  <c r="Z229" i="6"/>
  <c r="D229" i="11"/>
  <c r="W231" i="6"/>
  <c r="G231" i="6"/>
  <c r="W230" i="3"/>
  <c r="Z230" i="3" s="1"/>
  <c r="AH230" i="3" s="1"/>
  <c r="E96" i="9" l="1"/>
  <c r="M97" i="4"/>
  <c r="K97" i="4"/>
  <c r="L97" i="4" s="1"/>
  <c r="AJ230" i="3"/>
  <c r="AJ229" i="6"/>
  <c r="AH230" i="6"/>
  <c r="D113" i="9"/>
  <c r="C115" i="9"/>
  <c r="F229" i="11"/>
  <c r="X232" i="3"/>
  <c r="V232" i="3"/>
  <c r="I233" i="6"/>
  <c r="H234" i="6"/>
  <c r="F233" i="6"/>
  <c r="K232" i="6"/>
  <c r="F232" i="3"/>
  <c r="G232" i="3" s="1"/>
  <c r="Z230" i="6"/>
  <c r="D230" i="11"/>
  <c r="AD116" i="3"/>
  <c r="AE116" i="3" s="1"/>
  <c r="AF116" i="3"/>
  <c r="U233" i="3"/>
  <c r="W231" i="3"/>
  <c r="Z231" i="3" s="1"/>
  <c r="AH231" i="6" s="1"/>
  <c r="X231" i="6"/>
  <c r="V231" i="6"/>
  <c r="C231" i="4" s="1"/>
  <c r="H229" i="4"/>
  <c r="M233" i="6"/>
  <c r="N233" i="6" s="1"/>
  <c r="O233" i="6" s="1"/>
  <c r="T233" i="6" s="1"/>
  <c r="L234" i="6"/>
  <c r="U232" i="6"/>
  <c r="I233" i="3"/>
  <c r="K233" i="3" s="1"/>
  <c r="M234" i="3"/>
  <c r="N234" i="3" s="1"/>
  <c r="O234" i="3" s="1"/>
  <c r="T234" i="3" s="1"/>
  <c r="L235" i="3"/>
  <c r="W232" i="6"/>
  <c r="G232" i="6"/>
  <c r="AF114" i="6"/>
  <c r="AD114" i="6"/>
  <c r="AE114" i="6" s="1"/>
  <c r="C230" i="4"/>
  <c r="C231" i="11"/>
  <c r="N97" i="4" l="1"/>
  <c r="E97" i="9" s="1"/>
  <c r="AJ230" i="6"/>
  <c r="AH231" i="3"/>
  <c r="AJ231" i="3" s="1"/>
  <c r="AG114" i="6"/>
  <c r="D114" i="9" s="1"/>
  <c r="AG116" i="3"/>
  <c r="AA117" i="3" s="1"/>
  <c r="AC117" i="3" s="1"/>
  <c r="X233" i="3"/>
  <c r="V233" i="3"/>
  <c r="F233" i="3"/>
  <c r="G233" i="3" s="1"/>
  <c r="M234" i="6"/>
  <c r="N234" i="6" s="1"/>
  <c r="O234" i="6" s="1"/>
  <c r="T234" i="6" s="1"/>
  <c r="L235" i="6"/>
  <c r="X232" i="6"/>
  <c r="V232" i="6"/>
  <c r="C232" i="4" s="1"/>
  <c r="Z231" i="6"/>
  <c r="AJ231" i="6" s="1"/>
  <c r="D231" i="11"/>
  <c r="F230" i="4"/>
  <c r="P230" i="4" s="1"/>
  <c r="E230" i="11"/>
  <c r="F230" i="11" s="1"/>
  <c r="I234" i="3"/>
  <c r="K234" i="3" s="1"/>
  <c r="W232" i="3"/>
  <c r="Z232" i="3" s="1"/>
  <c r="U234" i="3"/>
  <c r="E231" i="11"/>
  <c r="F231" i="4"/>
  <c r="P231" i="4" s="1"/>
  <c r="U233" i="6"/>
  <c r="W233" i="6"/>
  <c r="G233" i="6"/>
  <c r="I234" i="6"/>
  <c r="H235" i="6"/>
  <c r="F234" i="6"/>
  <c r="K233" i="6"/>
  <c r="C232" i="11"/>
  <c r="M235" i="3"/>
  <c r="N235" i="3" s="1"/>
  <c r="O235" i="3" s="1"/>
  <c r="T235" i="3" s="1"/>
  <c r="L236" i="3"/>
  <c r="G98" i="4" l="1"/>
  <c r="J98" i="4" s="1"/>
  <c r="K98" i="4" s="1"/>
  <c r="L98" i="4" s="1"/>
  <c r="AA115" i="6"/>
  <c r="AC115" i="6" s="1"/>
  <c r="AH232" i="6"/>
  <c r="AH232" i="3"/>
  <c r="AJ232" i="3" s="1"/>
  <c r="C116" i="9"/>
  <c r="F231" i="11"/>
  <c r="X233" i="6"/>
  <c r="V233" i="6"/>
  <c r="C233" i="4" s="1"/>
  <c r="X234" i="3"/>
  <c r="V234" i="3"/>
  <c r="Z232" i="6"/>
  <c r="D232" i="11"/>
  <c r="M236" i="3"/>
  <c r="N236" i="3" s="1"/>
  <c r="O236" i="3" s="1"/>
  <c r="T236" i="3" s="1"/>
  <c r="L237" i="3"/>
  <c r="U235" i="3"/>
  <c r="H231" i="4"/>
  <c r="F232" i="4"/>
  <c r="P232" i="4" s="1"/>
  <c r="E232" i="11"/>
  <c r="W233" i="3"/>
  <c r="Z233" i="3" s="1"/>
  <c r="F234" i="3"/>
  <c r="G234" i="3" s="1"/>
  <c r="AF115" i="6"/>
  <c r="AD115" i="6"/>
  <c r="AE115" i="6" s="1"/>
  <c r="M235" i="6"/>
  <c r="N235" i="6" s="1"/>
  <c r="O235" i="6" s="1"/>
  <c r="T235" i="6" s="1"/>
  <c r="L236" i="6"/>
  <c r="F235" i="6"/>
  <c r="K234" i="6"/>
  <c r="AD117" i="3"/>
  <c r="AE117" i="3" s="1"/>
  <c r="AF117" i="3"/>
  <c r="W234" i="6"/>
  <c r="G234" i="6"/>
  <c r="H230" i="4"/>
  <c r="C233" i="11"/>
  <c r="U234" i="6"/>
  <c r="I235" i="3"/>
  <c r="K235" i="3" s="1"/>
  <c r="H236" i="6"/>
  <c r="I235" i="6"/>
  <c r="M98" i="4" l="1"/>
  <c r="N98" i="4" s="1"/>
  <c r="AJ232" i="6"/>
  <c r="AH233" i="3"/>
  <c r="AJ233" i="3" s="1"/>
  <c r="AH233" i="6"/>
  <c r="AG115" i="6"/>
  <c r="AA116" i="6" s="1"/>
  <c r="AC116" i="6" s="1"/>
  <c r="AG117" i="3"/>
  <c r="AA118" i="3" s="1"/>
  <c r="AC118" i="3" s="1"/>
  <c r="F232" i="11"/>
  <c r="X235" i="3"/>
  <c r="V235" i="3"/>
  <c r="U235" i="6"/>
  <c r="W235" i="6"/>
  <c r="G235" i="6"/>
  <c r="M236" i="6"/>
  <c r="N236" i="6" s="1"/>
  <c r="O236" i="6" s="1"/>
  <c r="T236" i="6" s="1"/>
  <c r="L237" i="6"/>
  <c r="M237" i="3"/>
  <c r="N237" i="3" s="1"/>
  <c r="O237" i="3" s="1"/>
  <c r="T237" i="3" s="1"/>
  <c r="L238" i="3"/>
  <c r="I236" i="3"/>
  <c r="K236" i="3" s="1"/>
  <c r="U236" i="3"/>
  <c r="H232" i="4"/>
  <c r="F235" i="3"/>
  <c r="G235" i="3" s="1"/>
  <c r="X234" i="6"/>
  <c r="V234" i="6"/>
  <c r="C234" i="4" s="1"/>
  <c r="W234" i="3"/>
  <c r="Z234" i="3" s="1"/>
  <c r="C234" i="11"/>
  <c r="F236" i="6"/>
  <c r="K235" i="6"/>
  <c r="I236" i="6"/>
  <c r="H237" i="6"/>
  <c r="D233" i="11"/>
  <c r="Z233" i="6"/>
  <c r="E233" i="11"/>
  <c r="F233" i="4"/>
  <c r="P233" i="4" s="1"/>
  <c r="G99" i="4" l="1"/>
  <c r="J99" i="4" s="1"/>
  <c r="E98" i="9"/>
  <c r="M10" i="10" s="1"/>
  <c r="D115" i="9"/>
  <c r="AJ233" i="6"/>
  <c r="AH234" i="3"/>
  <c r="AJ234" i="3" s="1"/>
  <c r="AH234" i="6"/>
  <c r="C117" i="9"/>
  <c r="F233" i="11"/>
  <c r="M237" i="6"/>
  <c r="N237" i="6" s="1"/>
  <c r="O237" i="6" s="1"/>
  <c r="T237" i="6" s="1"/>
  <c r="L238" i="6"/>
  <c r="U237" i="3"/>
  <c r="F234" i="4"/>
  <c r="P234" i="4" s="1"/>
  <c r="E234" i="11"/>
  <c r="D234" i="11"/>
  <c r="Z234" i="6"/>
  <c r="X235" i="6"/>
  <c r="V235" i="6"/>
  <c r="C235" i="4" s="1"/>
  <c r="AF116" i="6"/>
  <c r="AD116" i="6"/>
  <c r="AE116" i="6" s="1"/>
  <c r="I237" i="6"/>
  <c r="H238" i="6"/>
  <c r="C235" i="11"/>
  <c r="H233" i="4"/>
  <c r="U236" i="6"/>
  <c r="W235" i="3"/>
  <c r="Z235" i="3" s="1"/>
  <c r="X236" i="3"/>
  <c r="V236" i="3"/>
  <c r="F237" i="6"/>
  <c r="K236" i="6"/>
  <c r="W236" i="6"/>
  <c r="G236" i="6"/>
  <c r="I237" i="3"/>
  <c r="K237" i="3" s="1"/>
  <c r="F236" i="3"/>
  <c r="G236" i="3" s="1"/>
  <c r="M238" i="3"/>
  <c r="N238" i="3" s="1"/>
  <c r="O238" i="3" s="1"/>
  <c r="T238" i="3" s="1"/>
  <c r="L239" i="3"/>
  <c r="AD118" i="3"/>
  <c r="AE118" i="3" s="1"/>
  <c r="AF118" i="3"/>
  <c r="M99" i="4" l="1"/>
  <c r="AJ234" i="6"/>
  <c r="AH235" i="6"/>
  <c r="AH235" i="3"/>
  <c r="AJ235" i="3" s="1"/>
  <c r="AG118" i="3"/>
  <c r="AA119" i="3" s="1"/>
  <c r="AC119" i="3" s="1"/>
  <c r="F234" i="11"/>
  <c r="AG116" i="6"/>
  <c r="AA117" i="6" s="1"/>
  <c r="AC117" i="6" s="1"/>
  <c r="E235" i="11"/>
  <c r="F235" i="4"/>
  <c r="P235" i="4" s="1"/>
  <c r="X237" i="3"/>
  <c r="V237" i="3"/>
  <c r="X236" i="6"/>
  <c r="V236" i="6"/>
  <c r="C236" i="4" s="1"/>
  <c r="F237" i="3"/>
  <c r="G237" i="3" s="1"/>
  <c r="H234" i="4"/>
  <c r="M239" i="3"/>
  <c r="N239" i="3" s="1"/>
  <c r="O239" i="3" s="1"/>
  <c r="T239" i="3" s="1"/>
  <c r="L240" i="3"/>
  <c r="I238" i="3"/>
  <c r="K238" i="3" s="1"/>
  <c r="W236" i="3"/>
  <c r="Z236" i="3" s="1"/>
  <c r="I238" i="6"/>
  <c r="H239" i="6"/>
  <c r="M238" i="6"/>
  <c r="N238" i="6" s="1"/>
  <c r="O238" i="6" s="1"/>
  <c r="T238" i="6" s="1"/>
  <c r="L239" i="6"/>
  <c r="W237" i="6"/>
  <c r="G237" i="6"/>
  <c r="F238" i="6"/>
  <c r="K237" i="6"/>
  <c r="U237" i="6"/>
  <c r="C236" i="11"/>
  <c r="Z235" i="6"/>
  <c r="D235" i="11"/>
  <c r="U238" i="3"/>
  <c r="AJ235" i="6" l="1"/>
  <c r="K99" i="4"/>
  <c r="L99" i="4" s="1"/>
  <c r="N99" i="4" s="1"/>
  <c r="C118" i="9"/>
  <c r="AH236" i="3"/>
  <c r="AJ236" i="3" s="1"/>
  <c r="AH236" i="6"/>
  <c r="D116" i="9"/>
  <c r="F235" i="11"/>
  <c r="F236" i="4"/>
  <c r="P236" i="4" s="1"/>
  <c r="E236" i="11"/>
  <c r="X238" i="3"/>
  <c r="V238" i="3"/>
  <c r="W237" i="3"/>
  <c r="Z237" i="3" s="1"/>
  <c r="AH237" i="3" s="1"/>
  <c r="W238" i="6"/>
  <c r="G238" i="6"/>
  <c r="F239" i="6"/>
  <c r="K238" i="6"/>
  <c r="AF119" i="3"/>
  <c r="AD119" i="3"/>
  <c r="AE119" i="3" s="1"/>
  <c r="C237" i="11"/>
  <c r="M239" i="6"/>
  <c r="N239" i="6" s="1"/>
  <c r="O239" i="6" s="1"/>
  <c r="T239" i="6" s="1"/>
  <c r="L240" i="6"/>
  <c r="I239" i="3"/>
  <c r="K239" i="3" s="1"/>
  <c r="F238" i="3"/>
  <c r="G238" i="3" s="1"/>
  <c r="H235" i="4"/>
  <c r="M240" i="3"/>
  <c r="N240" i="3" s="1"/>
  <c r="O240" i="3" s="1"/>
  <c r="T240" i="3" s="1"/>
  <c r="L241" i="3"/>
  <c r="U238" i="6"/>
  <c r="X237" i="6"/>
  <c r="V237" i="6"/>
  <c r="C237" i="4" s="1"/>
  <c r="Z236" i="6"/>
  <c r="D236" i="11"/>
  <c r="I239" i="6"/>
  <c r="H240" i="6"/>
  <c r="U239" i="3"/>
  <c r="AF117" i="6"/>
  <c r="AD117" i="6"/>
  <c r="AE117" i="6" s="1"/>
  <c r="E99" i="9" l="1"/>
  <c r="G100" i="4"/>
  <c r="J100" i="4" s="1"/>
  <c r="F236" i="11"/>
  <c r="AJ237" i="3"/>
  <c r="AH237" i="6"/>
  <c r="AJ236" i="6"/>
  <c r="AG117" i="6"/>
  <c r="AA118" i="6" s="1"/>
  <c r="AC118" i="6" s="1"/>
  <c r="AG119" i="3"/>
  <c r="AA120" i="3" s="1"/>
  <c r="AC120" i="3" s="1"/>
  <c r="E237" i="11"/>
  <c r="F237" i="4"/>
  <c r="P237" i="4" s="1"/>
  <c r="X238" i="6"/>
  <c r="V238" i="6"/>
  <c r="C238" i="4" s="1"/>
  <c r="X239" i="3"/>
  <c r="V239" i="3"/>
  <c r="M241" i="3"/>
  <c r="N241" i="3" s="1"/>
  <c r="O241" i="3" s="1"/>
  <c r="T241" i="3" s="1"/>
  <c r="L242" i="3"/>
  <c r="W239" i="6"/>
  <c r="G239" i="6"/>
  <c r="F240" i="6"/>
  <c r="K239" i="6"/>
  <c r="I240" i="3"/>
  <c r="K240" i="3" s="1"/>
  <c r="H241" i="6"/>
  <c r="I240" i="6"/>
  <c r="C238" i="11"/>
  <c r="U240" i="3"/>
  <c r="M240" i="6"/>
  <c r="N240" i="6" s="1"/>
  <c r="O240" i="6" s="1"/>
  <c r="T240" i="6" s="1"/>
  <c r="L241" i="6"/>
  <c r="U239" i="6"/>
  <c r="W238" i="3"/>
  <c r="Z238" i="3" s="1"/>
  <c r="AH238" i="6" s="1"/>
  <c r="F239" i="3"/>
  <c r="G239" i="3" s="1"/>
  <c r="Z237" i="6"/>
  <c r="D237" i="11"/>
  <c r="H236" i="4"/>
  <c r="K100" i="4" l="1"/>
  <c r="L100" i="4" s="1"/>
  <c r="AJ237" i="6"/>
  <c r="D117" i="9"/>
  <c r="AH238" i="3"/>
  <c r="AJ238" i="3" s="1"/>
  <c r="C119" i="9"/>
  <c r="F237" i="11"/>
  <c r="AD118" i="6"/>
  <c r="AE118" i="6" s="1"/>
  <c r="AF118" i="6"/>
  <c r="M242" i="3"/>
  <c r="N242" i="3" s="1"/>
  <c r="O242" i="3" s="1"/>
  <c r="T242" i="3" s="1"/>
  <c r="L243" i="3"/>
  <c r="X240" i="3"/>
  <c r="V240" i="3"/>
  <c r="E238" i="11"/>
  <c r="F238" i="4"/>
  <c r="P238" i="4" s="1"/>
  <c r="C239" i="11"/>
  <c r="I241" i="6"/>
  <c r="H242" i="6"/>
  <c r="Z238" i="6"/>
  <c r="AJ238" i="6" s="1"/>
  <c r="D238" i="11"/>
  <c r="U241" i="3"/>
  <c r="H237" i="4"/>
  <c r="F241" i="6"/>
  <c r="K240" i="6"/>
  <c r="W239" i="3"/>
  <c r="Z239" i="3" s="1"/>
  <c r="X239" i="6"/>
  <c r="V239" i="6"/>
  <c r="I241" i="3"/>
  <c r="K241" i="3" s="1"/>
  <c r="F240" i="3"/>
  <c r="G240" i="3" s="1"/>
  <c r="M241" i="6"/>
  <c r="N241" i="6" s="1"/>
  <c r="O241" i="6" s="1"/>
  <c r="T241" i="6" s="1"/>
  <c r="L242" i="6"/>
  <c r="U240" i="6"/>
  <c r="W240" i="6"/>
  <c r="G240" i="6"/>
  <c r="AD120" i="3"/>
  <c r="AE120" i="3" s="1"/>
  <c r="AF120" i="3"/>
  <c r="M100" i="4" l="1"/>
  <c r="N100" i="4" s="1"/>
  <c r="AH239" i="3"/>
  <c r="AJ239" i="3" s="1"/>
  <c r="AH239" i="6"/>
  <c r="AG118" i="6"/>
  <c r="AA119" i="6" s="1"/>
  <c r="AC119" i="6" s="1"/>
  <c r="AG120" i="3"/>
  <c r="AA121" i="3" s="1"/>
  <c r="AC121" i="3" s="1"/>
  <c r="F238" i="11"/>
  <c r="X241" i="3"/>
  <c r="V241" i="3"/>
  <c r="I242" i="6"/>
  <c r="H243" i="6"/>
  <c r="D239" i="11"/>
  <c r="Z239" i="6"/>
  <c r="AJ239" i="6" s="1"/>
  <c r="H238" i="4"/>
  <c r="C239" i="4"/>
  <c r="W241" i="6"/>
  <c r="G241" i="6"/>
  <c r="C240" i="11"/>
  <c r="X240" i="6"/>
  <c r="V240" i="6"/>
  <c r="M243" i="3"/>
  <c r="N243" i="3" s="1"/>
  <c r="O243" i="3" s="1"/>
  <c r="T243" i="3" s="1"/>
  <c r="L244" i="3"/>
  <c r="U242" i="3"/>
  <c r="F242" i="6"/>
  <c r="K241" i="6"/>
  <c r="M242" i="6"/>
  <c r="N242" i="6" s="1"/>
  <c r="O242" i="6" s="1"/>
  <c r="T242" i="6" s="1"/>
  <c r="L243" i="6"/>
  <c r="W240" i="3"/>
  <c r="Z240" i="3" s="1"/>
  <c r="AH240" i="3" s="1"/>
  <c r="U241" i="6"/>
  <c r="I242" i="3"/>
  <c r="K242" i="3" s="1"/>
  <c r="F241" i="3"/>
  <c r="G241" i="3" s="1"/>
  <c r="G101" i="4" l="1"/>
  <c r="J101" i="4" s="1"/>
  <c r="E100" i="9"/>
  <c r="C120" i="9"/>
  <c r="AH240" i="6"/>
  <c r="D118" i="9"/>
  <c r="AJ240" i="3"/>
  <c r="U242" i="6"/>
  <c r="E239" i="11"/>
  <c r="F239" i="11" s="1"/>
  <c r="F239" i="4"/>
  <c r="P239" i="4" s="1"/>
  <c r="M244" i="3"/>
  <c r="N244" i="3" s="1"/>
  <c r="O244" i="3" s="1"/>
  <c r="T244" i="3" s="1"/>
  <c r="L245" i="3"/>
  <c r="I243" i="3"/>
  <c r="K243" i="3" s="1"/>
  <c r="AD121" i="3"/>
  <c r="AE121" i="3" s="1"/>
  <c r="AF121" i="3"/>
  <c r="H244" i="6"/>
  <c r="I243" i="6"/>
  <c r="W241" i="3"/>
  <c r="Z241" i="3" s="1"/>
  <c r="AH241" i="6" s="1"/>
  <c r="U243" i="3"/>
  <c r="F242" i="3"/>
  <c r="G242" i="3" s="1"/>
  <c r="Z240" i="6"/>
  <c r="D240" i="11"/>
  <c r="W242" i="6"/>
  <c r="G242" i="6"/>
  <c r="X241" i="6"/>
  <c r="V241" i="6"/>
  <c r="X242" i="3"/>
  <c r="V242" i="3"/>
  <c r="AD119" i="6"/>
  <c r="AE119" i="6" s="1"/>
  <c r="AF119" i="6"/>
  <c r="F243" i="6"/>
  <c r="K242" i="6"/>
  <c r="C240" i="4"/>
  <c r="C241" i="11"/>
  <c r="M243" i="6"/>
  <c r="N243" i="6" s="1"/>
  <c r="O243" i="6" s="1"/>
  <c r="T243" i="6" s="1"/>
  <c r="L244" i="6"/>
  <c r="M101" i="4" l="1"/>
  <c r="AJ240" i="6"/>
  <c r="AH241" i="3"/>
  <c r="AJ241" i="3" s="1"/>
  <c r="AG119" i="6"/>
  <c r="AA120" i="6" s="1"/>
  <c r="AC120" i="6" s="1"/>
  <c r="AG121" i="3"/>
  <c r="AA122" i="3" s="1"/>
  <c r="AC122" i="3" s="1"/>
  <c r="X243" i="3"/>
  <c r="V243" i="3"/>
  <c r="F244" i="6"/>
  <c r="K243" i="6"/>
  <c r="I244" i="6"/>
  <c r="H245" i="6"/>
  <c r="M245" i="3"/>
  <c r="N245" i="3" s="1"/>
  <c r="O245" i="3" s="1"/>
  <c r="T245" i="3" s="1"/>
  <c r="L246" i="3"/>
  <c r="U244" i="3"/>
  <c r="U243" i="6"/>
  <c r="F243" i="3"/>
  <c r="G243" i="3" s="1"/>
  <c r="W242" i="3"/>
  <c r="Z242" i="3" s="1"/>
  <c r="F240" i="4"/>
  <c r="P240" i="4" s="1"/>
  <c r="E240" i="11"/>
  <c r="F240" i="11" s="1"/>
  <c r="Z241" i="6"/>
  <c r="AJ241" i="6" s="1"/>
  <c r="D241" i="11"/>
  <c r="X242" i="6"/>
  <c r="V242" i="6"/>
  <c r="C242" i="4" s="1"/>
  <c r="M244" i="6"/>
  <c r="N244" i="6" s="1"/>
  <c r="O244" i="6" s="1"/>
  <c r="T244" i="6" s="1"/>
  <c r="L245" i="6"/>
  <c r="C241" i="4"/>
  <c r="W243" i="6"/>
  <c r="G243" i="6"/>
  <c r="H239" i="4"/>
  <c r="I244" i="3"/>
  <c r="K244" i="3" s="1"/>
  <c r="C242" i="11"/>
  <c r="D119" i="9" l="1"/>
  <c r="K101" i="4"/>
  <c r="L101" i="4" s="1"/>
  <c r="N101" i="4" s="1"/>
  <c r="AH242" i="6"/>
  <c r="AH242" i="3"/>
  <c r="AJ242" i="3" s="1"/>
  <c r="C121" i="9"/>
  <c r="X243" i="6"/>
  <c r="V243" i="6"/>
  <c r="C243" i="4" s="1"/>
  <c r="X244" i="3"/>
  <c r="V244" i="3"/>
  <c r="W243" i="3"/>
  <c r="Z243" i="3" s="1"/>
  <c r="AH243" i="3" s="1"/>
  <c r="E242" i="11"/>
  <c r="F242" i="4"/>
  <c r="P242" i="4" s="1"/>
  <c r="U244" i="6"/>
  <c r="AD120" i="6"/>
  <c r="AE120" i="6" s="1"/>
  <c r="AF120" i="6"/>
  <c r="F244" i="3"/>
  <c r="G244" i="3" s="1"/>
  <c r="E241" i="11"/>
  <c r="F241" i="11" s="1"/>
  <c r="F241" i="4"/>
  <c r="P241" i="4" s="1"/>
  <c r="D242" i="11"/>
  <c r="Z242" i="6"/>
  <c r="I245" i="3"/>
  <c r="K245" i="3" s="1"/>
  <c r="AD122" i="3"/>
  <c r="AE122" i="3" s="1"/>
  <c r="AF122" i="3"/>
  <c r="W244" i="6"/>
  <c r="G244" i="6"/>
  <c r="C243" i="11"/>
  <c r="M245" i="6"/>
  <c r="N245" i="6" s="1"/>
  <c r="O245" i="6" s="1"/>
  <c r="T245" i="6" s="1"/>
  <c r="L246" i="6"/>
  <c r="U245" i="3"/>
  <c r="F245" i="6"/>
  <c r="K244" i="6"/>
  <c r="H240" i="4"/>
  <c r="M246" i="3"/>
  <c r="N246" i="3" s="1"/>
  <c r="O246" i="3" s="1"/>
  <c r="T246" i="3" s="1"/>
  <c r="L247" i="3"/>
  <c r="I245" i="6"/>
  <c r="H246" i="6"/>
  <c r="AJ242" i="6" l="1"/>
  <c r="G102" i="4"/>
  <c r="J102" i="4" s="1"/>
  <c r="E101" i="9"/>
  <c r="AH243" i="6"/>
  <c r="AJ243" i="3"/>
  <c r="AG120" i="6"/>
  <c r="AA121" i="6" s="1"/>
  <c r="AC121" i="6" s="1"/>
  <c r="AG122" i="3"/>
  <c r="AA123" i="3" s="1"/>
  <c r="AC123" i="3" s="1"/>
  <c r="F242" i="11"/>
  <c r="X245" i="3"/>
  <c r="V245" i="3"/>
  <c r="F246" i="6"/>
  <c r="K245" i="6"/>
  <c r="M247" i="3"/>
  <c r="N247" i="3" s="1"/>
  <c r="O247" i="3" s="1"/>
  <c r="T247" i="3" s="1"/>
  <c r="L248" i="3"/>
  <c r="X244" i="6"/>
  <c r="V244" i="6"/>
  <c r="I246" i="3"/>
  <c r="K246" i="3" s="1"/>
  <c r="H242" i="4"/>
  <c r="F245" i="3"/>
  <c r="G245" i="3" s="1"/>
  <c r="E243" i="11"/>
  <c r="F243" i="4"/>
  <c r="P243" i="4" s="1"/>
  <c r="U246" i="3"/>
  <c r="W245" i="6"/>
  <c r="G245" i="6"/>
  <c r="M246" i="6"/>
  <c r="N246" i="6" s="1"/>
  <c r="O246" i="6" s="1"/>
  <c r="T246" i="6" s="1"/>
  <c r="L247" i="6"/>
  <c r="D243" i="11"/>
  <c r="Z243" i="6"/>
  <c r="I246" i="6"/>
  <c r="H247" i="6"/>
  <c r="U245" i="6"/>
  <c r="H241" i="4"/>
  <c r="C244" i="11"/>
  <c r="W244" i="3"/>
  <c r="Z244" i="3" s="1"/>
  <c r="D120" i="9" l="1"/>
  <c r="K102" i="4"/>
  <c r="L102" i="4" s="1"/>
  <c r="C122" i="9"/>
  <c r="C12" i="10" s="1"/>
  <c r="AJ243" i="6"/>
  <c r="AH244" i="3"/>
  <c r="AJ244" i="3" s="1"/>
  <c r="AH244" i="6"/>
  <c r="F243" i="11"/>
  <c r="U246" i="6"/>
  <c r="Z244" i="6"/>
  <c r="D244" i="11"/>
  <c r="U247" i="3"/>
  <c r="X245" i="6"/>
  <c r="V245" i="6"/>
  <c r="C245" i="4" s="1"/>
  <c r="C244" i="4"/>
  <c r="W246" i="6"/>
  <c r="G246" i="6"/>
  <c r="AD123" i="3"/>
  <c r="AE123" i="3" s="1"/>
  <c r="AF123" i="3"/>
  <c r="C245" i="11"/>
  <c r="M247" i="6"/>
  <c r="N247" i="6" s="1"/>
  <c r="O247" i="6" s="1"/>
  <c r="T247" i="6" s="1"/>
  <c r="L248" i="6"/>
  <c r="W245" i="3"/>
  <c r="Z245" i="3" s="1"/>
  <c r="X246" i="3"/>
  <c r="V246" i="3"/>
  <c r="H243" i="4"/>
  <c r="I247" i="6"/>
  <c r="H248" i="6"/>
  <c r="F247" i="6"/>
  <c r="K246" i="6"/>
  <c r="M248" i="3"/>
  <c r="N248" i="3" s="1"/>
  <c r="O248" i="3" s="1"/>
  <c r="T248" i="3" s="1"/>
  <c r="L249" i="3"/>
  <c r="I247" i="3"/>
  <c r="K247" i="3" s="1"/>
  <c r="F246" i="3"/>
  <c r="G246" i="3" s="1"/>
  <c r="AD121" i="6"/>
  <c r="AE121" i="6" s="1"/>
  <c r="AF121" i="6"/>
  <c r="M102" i="4" l="1"/>
  <c r="N102" i="4" s="1"/>
  <c r="AJ244" i="6"/>
  <c r="AH245" i="6"/>
  <c r="AH245" i="3"/>
  <c r="AJ245" i="3" s="1"/>
  <c r="AG123" i="3"/>
  <c r="C123" i="9" s="1"/>
  <c r="AG121" i="6"/>
  <c r="AA122" i="6" s="1"/>
  <c r="AC122" i="6" s="1"/>
  <c r="X247" i="3"/>
  <c r="V247" i="3"/>
  <c r="E244" i="11"/>
  <c r="F244" i="11" s="1"/>
  <c r="F244" i="4"/>
  <c r="P244" i="4" s="1"/>
  <c r="W246" i="3"/>
  <c r="Z246" i="3" s="1"/>
  <c r="Z245" i="6"/>
  <c r="D245" i="11"/>
  <c r="C246" i="11"/>
  <c r="I248" i="3"/>
  <c r="K248" i="3" s="1"/>
  <c r="F247" i="3"/>
  <c r="G247" i="3" s="1"/>
  <c r="M248" i="6"/>
  <c r="N248" i="6" s="1"/>
  <c r="O248" i="6" s="1"/>
  <c r="T248" i="6" s="1"/>
  <c r="L249" i="6"/>
  <c r="U247" i="6"/>
  <c r="F245" i="4"/>
  <c r="P245" i="4" s="1"/>
  <c r="E245" i="11"/>
  <c r="M249" i="3"/>
  <c r="N249" i="3" s="1"/>
  <c r="O249" i="3" s="1"/>
  <c r="T249" i="3" s="1"/>
  <c r="L250" i="3"/>
  <c r="X246" i="6"/>
  <c r="V246" i="6"/>
  <c r="I248" i="6"/>
  <c r="H249" i="6"/>
  <c r="U248" i="3"/>
  <c r="W247" i="6"/>
  <c r="G247" i="6"/>
  <c r="F248" i="6"/>
  <c r="K247" i="6"/>
  <c r="E102" i="9" l="1"/>
  <c r="G103" i="4"/>
  <c r="J103" i="4" s="1"/>
  <c r="AJ245" i="6"/>
  <c r="AH246" i="6"/>
  <c r="AH246" i="3"/>
  <c r="AJ246" i="3" s="1"/>
  <c r="D121" i="9"/>
  <c r="AA124" i="3"/>
  <c r="AC124" i="3" s="1"/>
  <c r="AF124" i="3" s="1"/>
  <c r="F245" i="11"/>
  <c r="X248" i="3"/>
  <c r="V248" i="3"/>
  <c r="X247" i="6"/>
  <c r="V247" i="6"/>
  <c r="C247" i="4" s="1"/>
  <c r="D246" i="11"/>
  <c r="Z246" i="6"/>
  <c r="C246" i="4"/>
  <c r="M250" i="3"/>
  <c r="N250" i="3" s="1"/>
  <c r="O250" i="3" s="1"/>
  <c r="T250" i="3" s="1"/>
  <c r="L251" i="3"/>
  <c r="W248" i="6"/>
  <c r="G248" i="6"/>
  <c r="U249" i="3"/>
  <c r="H244" i="4"/>
  <c r="H245" i="4"/>
  <c r="F249" i="6"/>
  <c r="K248" i="6"/>
  <c r="AD122" i="6"/>
  <c r="AE122" i="6" s="1"/>
  <c r="AF122" i="6"/>
  <c r="M249" i="6"/>
  <c r="N249" i="6" s="1"/>
  <c r="O249" i="6" s="1"/>
  <c r="T249" i="6" s="1"/>
  <c r="L250" i="6"/>
  <c r="W247" i="3"/>
  <c r="Z247" i="3" s="1"/>
  <c r="C247" i="11"/>
  <c r="I249" i="6"/>
  <c r="H250" i="6"/>
  <c r="U248" i="6"/>
  <c r="I249" i="3"/>
  <c r="K249" i="3" s="1"/>
  <c r="F248" i="3"/>
  <c r="G248" i="3" s="1"/>
  <c r="M103" i="4" l="1"/>
  <c r="AJ246" i="6"/>
  <c r="AH247" i="6"/>
  <c r="AH247" i="3"/>
  <c r="AJ247" i="3" s="1"/>
  <c r="AD124" i="3"/>
  <c r="AE124" i="3" s="1"/>
  <c r="AG124" i="3" s="1"/>
  <c r="AA125" i="3" s="1"/>
  <c r="AC125" i="3" s="1"/>
  <c r="AG122" i="6"/>
  <c r="AA123" i="6" s="1"/>
  <c r="AC123" i="6" s="1"/>
  <c r="W248" i="3"/>
  <c r="Z248" i="3" s="1"/>
  <c r="M251" i="3"/>
  <c r="N251" i="3" s="1"/>
  <c r="O251" i="3" s="1"/>
  <c r="T251" i="3" s="1"/>
  <c r="L252" i="3"/>
  <c r="M250" i="6"/>
  <c r="N250" i="6" s="1"/>
  <c r="O250" i="6" s="1"/>
  <c r="T250" i="6" s="1"/>
  <c r="L251" i="6"/>
  <c r="F249" i="3"/>
  <c r="G249" i="3" s="1"/>
  <c r="U250" i="3"/>
  <c r="E246" i="11"/>
  <c r="F246" i="11" s="1"/>
  <c r="F246" i="4"/>
  <c r="P246" i="4" s="1"/>
  <c r="X248" i="6"/>
  <c r="V248" i="6"/>
  <c r="C248" i="4" s="1"/>
  <c r="I250" i="3"/>
  <c r="K250" i="3" s="1"/>
  <c r="U249" i="6"/>
  <c r="W249" i="6"/>
  <c r="G249" i="6"/>
  <c r="Z247" i="6"/>
  <c r="D247" i="11"/>
  <c r="C248" i="11"/>
  <c r="F250" i="6"/>
  <c r="K249" i="6"/>
  <c r="I250" i="6"/>
  <c r="H251" i="6"/>
  <c r="X249" i="3"/>
  <c r="V249" i="3"/>
  <c r="E247" i="11"/>
  <c r="F247" i="4"/>
  <c r="P247" i="4" s="1"/>
  <c r="K103" i="4" l="1"/>
  <c r="L103" i="4" s="1"/>
  <c r="N103" i="4" s="1"/>
  <c r="AJ247" i="6"/>
  <c r="D122" i="9"/>
  <c r="H12" i="10" s="1"/>
  <c r="AH248" i="6"/>
  <c r="AH248" i="3"/>
  <c r="AJ248" i="3" s="1"/>
  <c r="C124" i="9"/>
  <c r="F247" i="11"/>
  <c r="H246" i="4"/>
  <c r="X250" i="3"/>
  <c r="V250" i="3"/>
  <c r="W249" i="3"/>
  <c r="Z249" i="3" s="1"/>
  <c r="C249" i="11"/>
  <c r="H252" i="6"/>
  <c r="I251" i="6"/>
  <c r="M251" i="6"/>
  <c r="N251" i="6" s="1"/>
  <c r="O251" i="6" s="1"/>
  <c r="T251" i="6" s="1"/>
  <c r="L252" i="6"/>
  <c r="F251" i="6"/>
  <c r="K250" i="6"/>
  <c r="AD123" i="6"/>
  <c r="AE123" i="6" s="1"/>
  <c r="AF123" i="6"/>
  <c r="U250" i="6"/>
  <c r="M252" i="3"/>
  <c r="N252" i="3" s="1"/>
  <c r="O252" i="3" s="1"/>
  <c r="T252" i="3" s="1"/>
  <c r="L253" i="3"/>
  <c r="U251" i="3"/>
  <c r="X249" i="6"/>
  <c r="V249" i="6"/>
  <c r="C249" i="4" s="1"/>
  <c r="E248" i="11"/>
  <c r="F248" i="4"/>
  <c r="P248" i="4" s="1"/>
  <c r="I251" i="3"/>
  <c r="K251" i="3" s="1"/>
  <c r="W250" i="6"/>
  <c r="G250" i="6"/>
  <c r="F250" i="3"/>
  <c r="G250" i="3" s="1"/>
  <c r="H247" i="4"/>
  <c r="D248" i="11"/>
  <c r="Z248" i="6"/>
  <c r="AD125" i="3"/>
  <c r="AE125" i="3" s="1"/>
  <c r="AF125" i="3"/>
  <c r="G104" i="4" l="1"/>
  <c r="J104" i="4" s="1"/>
  <c r="E103" i="9"/>
  <c r="AJ248" i="6"/>
  <c r="AH249" i="3"/>
  <c r="AJ249" i="3" s="1"/>
  <c r="AH249" i="6"/>
  <c r="F248" i="11"/>
  <c r="AG125" i="3"/>
  <c r="AA126" i="3" s="1"/>
  <c r="AC126" i="3" s="1"/>
  <c r="AG123" i="6"/>
  <c r="AA124" i="6" s="1"/>
  <c r="AC124" i="6" s="1"/>
  <c r="E249" i="11"/>
  <c r="F249" i="4"/>
  <c r="P249" i="4" s="1"/>
  <c r="X250" i="6"/>
  <c r="V250" i="6"/>
  <c r="C250" i="4" s="1"/>
  <c r="U251" i="6"/>
  <c r="F252" i="6"/>
  <c r="K251" i="6"/>
  <c r="I252" i="6"/>
  <c r="H253" i="6"/>
  <c r="U252" i="3"/>
  <c r="X251" i="3"/>
  <c r="V251" i="3"/>
  <c r="M253" i="3"/>
  <c r="N253" i="3" s="1"/>
  <c r="O253" i="3" s="1"/>
  <c r="T253" i="3" s="1"/>
  <c r="L254" i="3"/>
  <c r="W250" i="3"/>
  <c r="Z250" i="3" s="1"/>
  <c r="C250" i="11"/>
  <c r="D249" i="11"/>
  <c r="Z249" i="6"/>
  <c r="I252" i="3"/>
  <c r="K252" i="3" s="1"/>
  <c r="W251" i="6"/>
  <c r="G251" i="6"/>
  <c r="F251" i="3"/>
  <c r="G251" i="3" s="1"/>
  <c r="H248" i="4"/>
  <c r="M252" i="6"/>
  <c r="N252" i="6" s="1"/>
  <c r="O252" i="6" s="1"/>
  <c r="T252" i="6" s="1"/>
  <c r="L253" i="6"/>
  <c r="M104" i="4" l="1"/>
  <c r="AJ249" i="6"/>
  <c r="AH250" i="3"/>
  <c r="AJ250" i="3" s="1"/>
  <c r="AH250" i="6"/>
  <c r="D123" i="9"/>
  <c r="C125" i="9"/>
  <c r="F249" i="11"/>
  <c r="X251" i="6"/>
  <c r="V251" i="6"/>
  <c r="C251" i="4" s="1"/>
  <c r="X252" i="3"/>
  <c r="V252" i="3"/>
  <c r="E250" i="11"/>
  <c r="F250" i="4"/>
  <c r="P250" i="4" s="1"/>
  <c r="M253" i="6"/>
  <c r="N253" i="6" s="1"/>
  <c r="O253" i="6" s="1"/>
  <c r="T253" i="6" s="1"/>
  <c r="L254" i="6"/>
  <c r="U253" i="3"/>
  <c r="F252" i="3"/>
  <c r="G252" i="3" s="1"/>
  <c r="AD124" i="6"/>
  <c r="AE124" i="6" s="1"/>
  <c r="AF124" i="6"/>
  <c r="F253" i="6"/>
  <c r="K252" i="6"/>
  <c r="H254" i="6"/>
  <c r="I253" i="6"/>
  <c r="G252" i="6"/>
  <c r="W252" i="6"/>
  <c r="W251" i="3"/>
  <c r="Z251" i="3" s="1"/>
  <c r="AH251" i="6" s="1"/>
  <c r="Z250" i="6"/>
  <c r="D250" i="11"/>
  <c r="U252" i="6"/>
  <c r="H249" i="4"/>
  <c r="M254" i="3"/>
  <c r="N254" i="3" s="1"/>
  <c r="O254" i="3" s="1"/>
  <c r="T254" i="3" s="1"/>
  <c r="L255" i="3"/>
  <c r="C251" i="11"/>
  <c r="I253" i="3"/>
  <c r="K253" i="3" s="1"/>
  <c r="AD126" i="3"/>
  <c r="AE126" i="3" s="1"/>
  <c r="AF126" i="3"/>
  <c r="K104" i="4" l="1"/>
  <c r="L104" i="4" s="1"/>
  <c r="N104" i="4" s="1"/>
  <c r="AJ250" i="6"/>
  <c r="AH251" i="3"/>
  <c r="AJ251" i="3" s="1"/>
  <c r="F250" i="11"/>
  <c r="AG126" i="3"/>
  <c r="AA127" i="3" s="1"/>
  <c r="AC127" i="3" s="1"/>
  <c r="AG124" i="6"/>
  <c r="AA125" i="6" s="1"/>
  <c r="AC125" i="6" s="1"/>
  <c r="X252" i="6"/>
  <c r="V252" i="6"/>
  <c r="C252" i="4" s="1"/>
  <c r="W252" i="3"/>
  <c r="Z252" i="3" s="1"/>
  <c r="X253" i="3"/>
  <c r="V253" i="3"/>
  <c r="M254" i="6"/>
  <c r="N254" i="6" s="1"/>
  <c r="O254" i="6" s="1"/>
  <c r="T254" i="6" s="1"/>
  <c r="L255" i="6"/>
  <c r="U253" i="6"/>
  <c r="I254" i="3"/>
  <c r="K254" i="3" s="1"/>
  <c r="F253" i="3"/>
  <c r="G253" i="3" s="1"/>
  <c r="H250" i="4"/>
  <c r="C252" i="11"/>
  <c r="F254" i="6"/>
  <c r="K253" i="6"/>
  <c r="I254" i="6"/>
  <c r="H255" i="6"/>
  <c r="E251" i="11"/>
  <c r="F251" i="4"/>
  <c r="P251" i="4" s="1"/>
  <c r="U254" i="3"/>
  <c r="D251" i="11"/>
  <c r="Z251" i="6"/>
  <c r="AJ251" i="6" s="1"/>
  <c r="M255" i="3"/>
  <c r="N255" i="3" s="1"/>
  <c r="O255" i="3" s="1"/>
  <c r="T255" i="3" s="1"/>
  <c r="L256" i="3"/>
  <c r="W253" i="6"/>
  <c r="G253" i="6"/>
  <c r="E104" i="9" l="1"/>
  <c r="G105" i="4"/>
  <c r="J105" i="4" s="1"/>
  <c r="AH252" i="3"/>
  <c r="AJ252" i="3" s="1"/>
  <c r="AH252" i="6"/>
  <c r="C126" i="9"/>
  <c r="D124" i="9"/>
  <c r="F251" i="11"/>
  <c r="X254" i="3"/>
  <c r="V254" i="3"/>
  <c r="X253" i="6"/>
  <c r="V253" i="6"/>
  <c r="C253" i="4" s="1"/>
  <c r="F254" i="3"/>
  <c r="G254" i="3" s="1"/>
  <c r="M255" i="6"/>
  <c r="N255" i="6" s="1"/>
  <c r="O255" i="6" s="1"/>
  <c r="T255" i="6" s="1"/>
  <c r="L256" i="6"/>
  <c r="U254" i="6"/>
  <c r="C253" i="11"/>
  <c r="W254" i="6"/>
  <c r="G254" i="6"/>
  <c r="M256" i="3"/>
  <c r="N256" i="3" s="1"/>
  <c r="O256" i="3" s="1"/>
  <c r="T256" i="3" s="1"/>
  <c r="L257" i="3"/>
  <c r="U255" i="3"/>
  <c r="I255" i="6"/>
  <c r="H256" i="6"/>
  <c r="F252" i="4"/>
  <c r="P252" i="4" s="1"/>
  <c r="E252" i="11"/>
  <c r="AD125" i="6"/>
  <c r="AE125" i="6" s="1"/>
  <c r="AF125" i="6"/>
  <c r="F255" i="6"/>
  <c r="K254" i="6"/>
  <c r="AD127" i="3"/>
  <c r="AE127" i="3" s="1"/>
  <c r="AF127" i="3"/>
  <c r="W253" i="3"/>
  <c r="Z253" i="3" s="1"/>
  <c r="D252" i="11"/>
  <c r="Z252" i="6"/>
  <c r="H251" i="4"/>
  <c r="I255" i="3"/>
  <c r="K255" i="3" s="1"/>
  <c r="AJ252" i="6" l="1"/>
  <c r="AH253" i="6"/>
  <c r="AH253" i="3"/>
  <c r="AJ253" i="3" s="1"/>
  <c r="AG127" i="3"/>
  <c r="AA128" i="3" s="1"/>
  <c r="AC128" i="3" s="1"/>
  <c r="AG125" i="6"/>
  <c r="AA126" i="6" s="1"/>
  <c r="AC126" i="6" s="1"/>
  <c r="F252" i="11"/>
  <c r="F253" i="4"/>
  <c r="P253" i="4" s="1"/>
  <c r="E253" i="11"/>
  <c r="X254" i="6"/>
  <c r="V254" i="6"/>
  <c r="C254" i="4" s="1"/>
  <c r="I256" i="3"/>
  <c r="K256" i="3" s="1"/>
  <c r="H252" i="4"/>
  <c r="U255" i="6"/>
  <c r="W254" i="3"/>
  <c r="Z254" i="3" s="1"/>
  <c r="F256" i="6"/>
  <c r="K255" i="6"/>
  <c r="Z253" i="6"/>
  <c r="D253" i="11"/>
  <c r="M256" i="6"/>
  <c r="N256" i="6" s="1"/>
  <c r="O256" i="6" s="1"/>
  <c r="T256" i="6" s="1"/>
  <c r="L257" i="6"/>
  <c r="X255" i="3"/>
  <c r="V255" i="3"/>
  <c r="M257" i="3"/>
  <c r="N257" i="3" s="1"/>
  <c r="O257" i="3" s="1"/>
  <c r="T257" i="3" s="1"/>
  <c r="L258" i="3"/>
  <c r="U256" i="3"/>
  <c r="F255" i="3"/>
  <c r="G255" i="3" s="1"/>
  <c r="C254" i="11"/>
  <c r="I256" i="6"/>
  <c r="H257" i="6"/>
  <c r="W255" i="6"/>
  <c r="G255" i="6"/>
  <c r="M105" i="4" l="1"/>
  <c r="K105" i="4"/>
  <c r="L105" i="4" s="1"/>
  <c r="AJ253" i="6"/>
  <c r="AH254" i="6"/>
  <c r="AH254" i="3"/>
  <c r="AJ254" i="3" s="1"/>
  <c r="C127" i="9"/>
  <c r="D125" i="9"/>
  <c r="F253" i="11"/>
  <c r="X255" i="6"/>
  <c r="V255" i="6"/>
  <c r="C255" i="4" s="1"/>
  <c r="M258" i="3"/>
  <c r="N258" i="3" s="1"/>
  <c r="O258" i="3" s="1"/>
  <c r="T258" i="3" s="1"/>
  <c r="L259" i="3"/>
  <c r="F256" i="3"/>
  <c r="G256" i="3" s="1"/>
  <c r="H258" i="6"/>
  <c r="I257" i="6"/>
  <c r="D254" i="11"/>
  <c r="Z254" i="6"/>
  <c r="F257" i="6"/>
  <c r="K256" i="6"/>
  <c r="M257" i="6"/>
  <c r="N257" i="6" s="1"/>
  <c r="O257" i="6" s="1"/>
  <c r="T257" i="6" s="1"/>
  <c r="L258" i="6"/>
  <c r="U256" i="6"/>
  <c r="C255" i="11"/>
  <c r="H253" i="4"/>
  <c r="U257" i="3"/>
  <c r="W256" i="6"/>
  <c r="G256" i="6"/>
  <c r="AD126" i="6"/>
  <c r="AE126" i="6" s="1"/>
  <c r="AF126" i="6"/>
  <c r="I257" i="3"/>
  <c r="K257" i="3" s="1"/>
  <c r="E254" i="11"/>
  <c r="F254" i="4"/>
  <c r="P254" i="4" s="1"/>
  <c r="X256" i="3"/>
  <c r="V256" i="3"/>
  <c r="W255" i="3"/>
  <c r="Z255" i="3" s="1"/>
  <c r="AH255" i="6" s="1"/>
  <c r="AF128" i="3"/>
  <c r="AD128" i="3"/>
  <c r="AE128" i="3" s="1"/>
  <c r="N105" i="4" l="1"/>
  <c r="G106" i="4" s="1"/>
  <c r="J106" i="4" s="1"/>
  <c r="E105" i="9"/>
  <c r="AJ254" i="6"/>
  <c r="AH255" i="3"/>
  <c r="AJ255" i="3" s="1"/>
  <c r="AG128" i="3"/>
  <c r="AA129" i="3" s="1"/>
  <c r="AC129" i="3" s="1"/>
  <c r="AG126" i="6"/>
  <c r="AA127" i="6" s="1"/>
  <c r="AC127" i="6" s="1"/>
  <c r="F254" i="11"/>
  <c r="X256" i="6"/>
  <c r="V256" i="6"/>
  <c r="C256" i="4" s="1"/>
  <c r="U257" i="6"/>
  <c r="W256" i="3"/>
  <c r="Z256" i="3" s="1"/>
  <c r="W257" i="6"/>
  <c r="G257" i="6"/>
  <c r="E255" i="11"/>
  <c r="F255" i="4"/>
  <c r="P255" i="4" s="1"/>
  <c r="M259" i="3"/>
  <c r="N259" i="3" s="1"/>
  <c r="O259" i="3" s="1"/>
  <c r="T259" i="3" s="1"/>
  <c r="L260" i="3"/>
  <c r="F258" i="6"/>
  <c r="K257" i="6"/>
  <c r="U258" i="3"/>
  <c r="Z255" i="6"/>
  <c r="AJ255" i="6" s="1"/>
  <c r="D255" i="11"/>
  <c r="C256" i="11"/>
  <c r="H254" i="4"/>
  <c r="I258" i="6"/>
  <c r="H259" i="6"/>
  <c r="F257" i="3"/>
  <c r="G257" i="3" s="1"/>
  <c r="X257" i="3"/>
  <c r="V257" i="3"/>
  <c r="I258" i="3"/>
  <c r="K258" i="3" s="1"/>
  <c r="M258" i="6"/>
  <c r="N258" i="6" s="1"/>
  <c r="O258" i="6" s="1"/>
  <c r="T258" i="6" s="1"/>
  <c r="L259" i="6"/>
  <c r="K106" i="4" l="1"/>
  <c r="L106" i="4" s="1"/>
  <c r="M106" i="4"/>
  <c r="AH256" i="6"/>
  <c r="AH256" i="3"/>
  <c r="AJ256" i="3" s="1"/>
  <c r="C128" i="9"/>
  <c r="D126" i="9"/>
  <c r="F255" i="11"/>
  <c r="X257" i="6"/>
  <c r="V257" i="6"/>
  <c r="C257" i="4" s="1"/>
  <c r="M259" i="6"/>
  <c r="N259" i="6" s="1"/>
  <c r="O259" i="6" s="1"/>
  <c r="T259" i="6" s="1"/>
  <c r="L260" i="6"/>
  <c r="I259" i="3"/>
  <c r="K259" i="3" s="1"/>
  <c r="F258" i="3"/>
  <c r="G258" i="3" s="1"/>
  <c r="X258" i="3"/>
  <c r="V258" i="3"/>
  <c r="Z256" i="6"/>
  <c r="D256" i="11"/>
  <c r="F256" i="4"/>
  <c r="P256" i="4" s="1"/>
  <c r="E256" i="11"/>
  <c r="C257" i="11"/>
  <c r="U258" i="6"/>
  <c r="G258" i="6"/>
  <c r="W258" i="6"/>
  <c r="W257" i="3"/>
  <c r="Z257" i="3" s="1"/>
  <c r="M260" i="3"/>
  <c r="N260" i="3" s="1"/>
  <c r="O260" i="3" s="1"/>
  <c r="T260" i="3" s="1"/>
  <c r="L261" i="3"/>
  <c r="AD129" i="3"/>
  <c r="AE129" i="3" s="1"/>
  <c r="AF129" i="3"/>
  <c r="I259" i="6"/>
  <c r="H260" i="6"/>
  <c r="H255" i="4"/>
  <c r="U259" i="3"/>
  <c r="F259" i="6"/>
  <c r="K258" i="6"/>
  <c r="AD127" i="6"/>
  <c r="AE127" i="6" s="1"/>
  <c r="AF127" i="6"/>
  <c r="N106" i="4" l="1"/>
  <c r="G107" i="4" s="1"/>
  <c r="J107" i="4" s="1"/>
  <c r="AJ256" i="6"/>
  <c r="AH257" i="6"/>
  <c r="AH257" i="3"/>
  <c r="AJ257" i="3" s="1"/>
  <c r="AG129" i="3"/>
  <c r="AA130" i="3" s="1"/>
  <c r="AC130" i="3" s="1"/>
  <c r="AG127" i="6"/>
  <c r="AA128" i="6" s="1"/>
  <c r="AC128" i="6" s="1"/>
  <c r="F256" i="11"/>
  <c r="X259" i="3"/>
  <c r="V259" i="3"/>
  <c r="H256" i="4"/>
  <c r="C258" i="11"/>
  <c r="W259" i="6"/>
  <c r="G259" i="6"/>
  <c r="U260" i="3"/>
  <c r="W258" i="3"/>
  <c r="Z258" i="3" s="1"/>
  <c r="AH258" i="3" s="1"/>
  <c r="I260" i="3"/>
  <c r="K260" i="3" s="1"/>
  <c r="F259" i="3"/>
  <c r="G259" i="3" s="1"/>
  <c r="X258" i="6"/>
  <c r="V258" i="6"/>
  <c r="I260" i="6"/>
  <c r="H261" i="6"/>
  <c r="M260" i="6"/>
  <c r="N260" i="6" s="1"/>
  <c r="O260" i="6" s="1"/>
  <c r="T260" i="6" s="1"/>
  <c r="L261" i="6"/>
  <c r="U259" i="6"/>
  <c r="D257" i="11"/>
  <c r="Z257" i="6"/>
  <c r="M261" i="3"/>
  <c r="N261" i="3" s="1"/>
  <c r="O261" i="3" s="1"/>
  <c r="T261" i="3" s="1"/>
  <c r="L262" i="3"/>
  <c r="F260" i="6"/>
  <c r="K259" i="6"/>
  <c r="F257" i="4"/>
  <c r="P257" i="4" s="1"/>
  <c r="E257" i="11"/>
  <c r="AJ257" i="6" l="1"/>
  <c r="E106" i="9"/>
  <c r="K107" i="4"/>
  <c r="L107" i="4" s="1"/>
  <c r="M107" i="4"/>
  <c r="C129" i="9"/>
  <c r="AH258" i="6"/>
  <c r="D127" i="9"/>
  <c r="AJ258" i="3"/>
  <c r="F257" i="11"/>
  <c r="X259" i="6"/>
  <c r="V259" i="6"/>
  <c r="C259" i="4" s="1"/>
  <c r="AF130" i="3"/>
  <c r="AD130" i="3"/>
  <c r="AE130" i="3" s="1"/>
  <c r="Z258" i="6"/>
  <c r="AJ258" i="6" s="1"/>
  <c r="D258" i="11"/>
  <c r="F261" i="6"/>
  <c r="K260" i="6"/>
  <c r="U260" i="6"/>
  <c r="C258" i="4"/>
  <c r="X260" i="3"/>
  <c r="V260" i="3"/>
  <c r="W260" i="6"/>
  <c r="G260" i="6"/>
  <c r="U261" i="3"/>
  <c r="W259" i="3"/>
  <c r="Z259" i="3" s="1"/>
  <c r="AH259" i="6" s="1"/>
  <c r="H257" i="4"/>
  <c r="C259" i="11"/>
  <c r="H262" i="6"/>
  <c r="I261" i="6"/>
  <c r="F260" i="3"/>
  <c r="G260" i="3" s="1"/>
  <c r="M262" i="3"/>
  <c r="N262" i="3" s="1"/>
  <c r="O262" i="3" s="1"/>
  <c r="T262" i="3" s="1"/>
  <c r="L263" i="3"/>
  <c r="I261" i="3"/>
  <c r="K261" i="3" s="1"/>
  <c r="M261" i="6"/>
  <c r="N261" i="6" s="1"/>
  <c r="O261" i="6" s="1"/>
  <c r="T261" i="6" s="1"/>
  <c r="L262" i="6"/>
  <c r="AD128" i="6"/>
  <c r="AE128" i="6" s="1"/>
  <c r="AF128" i="6"/>
  <c r="N107" i="4" l="1"/>
  <c r="E107" i="9" s="1"/>
  <c r="AH259" i="3"/>
  <c r="AJ259" i="3" s="1"/>
  <c r="AG130" i="3"/>
  <c r="AA131" i="3" s="1"/>
  <c r="AC131" i="3" s="1"/>
  <c r="AG128" i="6"/>
  <c r="AA129" i="6" s="1"/>
  <c r="AC129" i="6" s="1"/>
  <c r="X261" i="3"/>
  <c r="V261" i="3"/>
  <c r="W261" i="6"/>
  <c r="G261" i="6"/>
  <c r="E258" i="11"/>
  <c r="F258" i="11" s="1"/>
  <c r="F258" i="4"/>
  <c r="P258" i="4" s="1"/>
  <c r="U261" i="6"/>
  <c r="M263" i="3"/>
  <c r="N263" i="3" s="1"/>
  <c r="O263" i="3" s="1"/>
  <c r="T263" i="3" s="1"/>
  <c r="L264" i="3"/>
  <c r="M262" i="6"/>
  <c r="N262" i="6" s="1"/>
  <c r="O262" i="6" s="1"/>
  <c r="T262" i="6" s="1"/>
  <c r="L263" i="6"/>
  <c r="I262" i="3"/>
  <c r="K262" i="3" s="1"/>
  <c r="U262" i="3"/>
  <c r="F259" i="4"/>
  <c r="P259" i="4" s="1"/>
  <c r="E259" i="11"/>
  <c r="Z259" i="6"/>
  <c r="AJ259" i="6" s="1"/>
  <c r="D259" i="11"/>
  <c r="F262" i="6"/>
  <c r="K261" i="6"/>
  <c r="X260" i="6"/>
  <c r="V260" i="6"/>
  <c r="C260" i="4" s="1"/>
  <c r="F261" i="3"/>
  <c r="G261" i="3" s="1"/>
  <c r="W260" i="3"/>
  <c r="Z260" i="3" s="1"/>
  <c r="I262" i="6"/>
  <c r="H263" i="6"/>
  <c r="C260" i="11"/>
  <c r="G108" i="4" l="1"/>
  <c r="J108" i="4" s="1"/>
  <c r="K108" i="4" s="1"/>
  <c r="L108" i="4" s="1"/>
  <c r="D128" i="9"/>
  <c r="C130" i="9"/>
  <c r="AH260" i="3"/>
  <c r="AJ260" i="3" s="1"/>
  <c r="AH260" i="6"/>
  <c r="F259" i="11"/>
  <c r="X261" i="6"/>
  <c r="V261" i="6"/>
  <c r="C261" i="4" s="1"/>
  <c r="H258" i="4"/>
  <c r="F263" i="6"/>
  <c r="K262" i="6"/>
  <c r="H259" i="4"/>
  <c r="AD129" i="6"/>
  <c r="AE129" i="6" s="1"/>
  <c r="AF129" i="6"/>
  <c r="W261" i="3"/>
  <c r="Z261" i="3" s="1"/>
  <c r="I263" i="3"/>
  <c r="K263" i="3" s="1"/>
  <c r="H264" i="6"/>
  <c r="I263" i="6"/>
  <c r="F262" i="3"/>
  <c r="G262" i="3" s="1"/>
  <c r="M263" i="6"/>
  <c r="N263" i="6" s="1"/>
  <c r="O263" i="6" s="1"/>
  <c r="T263" i="6" s="1"/>
  <c r="L264" i="6"/>
  <c r="U262" i="6"/>
  <c r="AD131" i="3"/>
  <c r="AE131" i="3" s="1"/>
  <c r="AF131" i="3"/>
  <c r="M264" i="3"/>
  <c r="N264" i="3" s="1"/>
  <c r="O264" i="3" s="1"/>
  <c r="T264" i="3" s="1"/>
  <c r="L265" i="3"/>
  <c r="F260" i="4"/>
  <c r="P260" i="4" s="1"/>
  <c r="E260" i="11"/>
  <c r="U263" i="3"/>
  <c r="C261" i="11"/>
  <c r="X262" i="3"/>
  <c r="V262" i="3"/>
  <c r="Z260" i="6"/>
  <c r="D260" i="11"/>
  <c r="W262" i="6"/>
  <c r="G262" i="6"/>
  <c r="M108" i="4" l="1"/>
  <c r="N108" i="4" s="1"/>
  <c r="AJ260" i="6"/>
  <c r="AH261" i="6"/>
  <c r="AH261" i="3"/>
  <c r="AJ261" i="3" s="1"/>
  <c r="AG129" i="6"/>
  <c r="D129" i="9" s="1"/>
  <c r="AG131" i="3"/>
  <c r="AA132" i="3" s="1"/>
  <c r="AC132" i="3" s="1"/>
  <c r="F260" i="11"/>
  <c r="X262" i="6"/>
  <c r="V262" i="6"/>
  <c r="C262" i="4" s="1"/>
  <c r="M264" i="6"/>
  <c r="N264" i="6" s="1"/>
  <c r="O264" i="6" s="1"/>
  <c r="T264" i="6" s="1"/>
  <c r="L265" i="6"/>
  <c r="F261" i="4"/>
  <c r="P261" i="4" s="1"/>
  <c r="E261" i="11"/>
  <c r="W262" i="3"/>
  <c r="Z262" i="3" s="1"/>
  <c r="W263" i="6"/>
  <c r="G263" i="6"/>
  <c r="U263" i="6"/>
  <c r="I264" i="6"/>
  <c r="H265" i="6"/>
  <c r="C262" i="11"/>
  <c r="I264" i="3"/>
  <c r="K264" i="3" s="1"/>
  <c r="F264" i="6"/>
  <c r="K263" i="6"/>
  <c r="F263" i="3"/>
  <c r="G263" i="3" s="1"/>
  <c r="Z261" i="6"/>
  <c r="D261" i="11"/>
  <c r="H260" i="4"/>
  <c r="M265" i="3"/>
  <c r="N265" i="3" s="1"/>
  <c r="O265" i="3" s="1"/>
  <c r="T265" i="3" s="1"/>
  <c r="L266" i="3"/>
  <c r="X263" i="3"/>
  <c r="V263" i="3"/>
  <c r="U264" i="3"/>
  <c r="E108" i="9" l="1"/>
  <c r="G109" i="4"/>
  <c r="J109" i="4" s="1"/>
  <c r="AA130" i="6"/>
  <c r="AC130" i="6" s="1"/>
  <c r="AF130" i="6" s="1"/>
  <c r="AJ261" i="6"/>
  <c r="C131" i="9"/>
  <c r="AH262" i="6"/>
  <c r="AH262" i="3"/>
  <c r="AJ262" i="3" s="1"/>
  <c r="F261" i="11"/>
  <c r="E262" i="11"/>
  <c r="F262" i="4"/>
  <c r="P262" i="4" s="1"/>
  <c r="W264" i="6"/>
  <c r="G264" i="6"/>
  <c r="F264" i="3"/>
  <c r="G264" i="3" s="1"/>
  <c r="H261" i="4"/>
  <c r="X264" i="3"/>
  <c r="V264" i="3"/>
  <c r="M265" i="6"/>
  <c r="N265" i="6" s="1"/>
  <c r="O265" i="6" s="1"/>
  <c r="T265" i="6" s="1"/>
  <c r="L266" i="6"/>
  <c r="C263" i="11"/>
  <c r="U265" i="3"/>
  <c r="U264" i="6"/>
  <c r="D262" i="11"/>
  <c r="Z262" i="6"/>
  <c r="I265" i="3"/>
  <c r="K265" i="3" s="1"/>
  <c r="F265" i="6"/>
  <c r="K264" i="6"/>
  <c r="M266" i="3"/>
  <c r="N266" i="3" s="1"/>
  <c r="O266" i="3" s="1"/>
  <c r="T266" i="3" s="1"/>
  <c r="L267" i="3"/>
  <c r="X263" i="6"/>
  <c r="V263" i="6"/>
  <c r="C263" i="4" s="1"/>
  <c r="W263" i="3"/>
  <c r="Z263" i="3" s="1"/>
  <c r="AD130" i="6"/>
  <c r="AE130" i="6" s="1"/>
  <c r="I265" i="6"/>
  <c r="H266" i="6"/>
  <c r="AF132" i="3"/>
  <c r="AD132" i="3"/>
  <c r="AE132" i="3" s="1"/>
  <c r="M109" i="4" l="1"/>
  <c r="AJ262" i="6"/>
  <c r="AH263" i="3"/>
  <c r="AJ263" i="3" s="1"/>
  <c r="AH263" i="6"/>
  <c r="F262" i="11"/>
  <c r="AG130" i="6"/>
  <c r="AA131" i="6" s="1"/>
  <c r="AC131" i="6" s="1"/>
  <c r="AG132" i="3"/>
  <c r="AA133" i="3" s="1"/>
  <c r="AC133" i="3" s="1"/>
  <c r="E263" i="11"/>
  <c r="F263" i="4"/>
  <c r="P263" i="4" s="1"/>
  <c r="X264" i="6"/>
  <c r="V264" i="6"/>
  <c r="C264" i="4" s="1"/>
  <c r="C264" i="11"/>
  <c r="I266" i="3"/>
  <c r="K266" i="3" s="1"/>
  <c r="M267" i="3"/>
  <c r="N267" i="3" s="1"/>
  <c r="O267" i="3" s="1"/>
  <c r="T267" i="3" s="1"/>
  <c r="L268" i="3"/>
  <c r="U265" i="6"/>
  <c r="F265" i="3"/>
  <c r="G265" i="3" s="1"/>
  <c r="W264" i="3"/>
  <c r="Z264" i="3" s="1"/>
  <c r="X265" i="3"/>
  <c r="V265" i="3"/>
  <c r="M266" i="6"/>
  <c r="N266" i="6" s="1"/>
  <c r="O266" i="6" s="1"/>
  <c r="T266" i="6" s="1"/>
  <c r="L267" i="6"/>
  <c r="U266" i="3"/>
  <c r="W265" i="6"/>
  <c r="G265" i="6"/>
  <c r="I266" i="6"/>
  <c r="H267" i="6"/>
  <c r="F266" i="6"/>
  <c r="K265" i="6"/>
  <c r="H262" i="4"/>
  <c r="Z263" i="6"/>
  <c r="D263" i="11"/>
  <c r="K109" i="4" l="1"/>
  <c r="L109" i="4" s="1"/>
  <c r="N109" i="4" s="1"/>
  <c r="AJ263" i="6"/>
  <c r="C132" i="9"/>
  <c r="D130" i="9"/>
  <c r="F263" i="11"/>
  <c r="AH264" i="6"/>
  <c r="AH264" i="3"/>
  <c r="AJ264" i="3" s="1"/>
  <c r="X266" i="3"/>
  <c r="V266" i="3"/>
  <c r="M268" i="3"/>
  <c r="N268" i="3" s="1"/>
  <c r="O268" i="3" s="1"/>
  <c r="T268" i="3" s="1"/>
  <c r="L269" i="3"/>
  <c r="C265" i="11"/>
  <c r="I267" i="3"/>
  <c r="K267" i="3" s="1"/>
  <c r="F266" i="3"/>
  <c r="G266" i="3" s="1"/>
  <c r="U267" i="3"/>
  <c r="Z264" i="6"/>
  <c r="D264" i="11"/>
  <c r="U266" i="6"/>
  <c r="F264" i="4"/>
  <c r="P264" i="4" s="1"/>
  <c r="E264" i="11"/>
  <c r="I267" i="6"/>
  <c r="H268" i="6"/>
  <c r="W265" i="3"/>
  <c r="Z265" i="3" s="1"/>
  <c r="AH265" i="6" s="1"/>
  <c r="M267" i="6"/>
  <c r="N267" i="6" s="1"/>
  <c r="O267" i="6" s="1"/>
  <c r="T267" i="6" s="1"/>
  <c r="L268" i="6"/>
  <c r="AD133" i="3"/>
  <c r="AE133" i="3" s="1"/>
  <c r="AF133" i="3"/>
  <c r="W266" i="6"/>
  <c r="G266" i="6"/>
  <c r="X265" i="6"/>
  <c r="V265" i="6"/>
  <c r="C265" i="4" s="1"/>
  <c r="H263" i="4"/>
  <c r="AD131" i="6"/>
  <c r="AE131" i="6" s="1"/>
  <c r="AF131" i="6"/>
  <c r="F267" i="6"/>
  <c r="K266" i="6"/>
  <c r="E109" i="9" l="1"/>
  <c r="G110" i="4"/>
  <c r="J110" i="4" s="1"/>
  <c r="AJ264" i="6"/>
  <c r="AH265" i="3"/>
  <c r="AJ265" i="3" s="1"/>
  <c r="AG131" i="6"/>
  <c r="AA132" i="6" s="1"/>
  <c r="AC132" i="6" s="1"/>
  <c r="F264" i="11"/>
  <c r="AG133" i="3"/>
  <c r="AA134" i="3" s="1"/>
  <c r="AC134" i="3" s="1"/>
  <c r="X266" i="6"/>
  <c r="V266" i="6"/>
  <c r="C266" i="4" s="1"/>
  <c r="U267" i="6"/>
  <c r="F267" i="3"/>
  <c r="G267" i="3" s="1"/>
  <c r="I268" i="3"/>
  <c r="K268" i="3" s="1"/>
  <c r="H269" i="6"/>
  <c r="I268" i="6"/>
  <c r="X267" i="3"/>
  <c r="V267" i="3"/>
  <c r="F268" i="6"/>
  <c r="K267" i="6"/>
  <c r="M268" i="6"/>
  <c r="N268" i="6" s="1"/>
  <c r="O268" i="6" s="1"/>
  <c r="T268" i="6" s="1"/>
  <c r="L269" i="6"/>
  <c r="E265" i="11"/>
  <c r="F265" i="4"/>
  <c r="P265" i="4" s="1"/>
  <c r="W266" i="3"/>
  <c r="Z266" i="3" s="1"/>
  <c r="H264" i="4"/>
  <c r="M269" i="3"/>
  <c r="N269" i="3" s="1"/>
  <c r="O269" i="3" s="1"/>
  <c r="T269" i="3" s="1"/>
  <c r="L270" i="3"/>
  <c r="U268" i="3"/>
  <c r="D265" i="11"/>
  <c r="Z265" i="6"/>
  <c r="AJ265" i="6" s="1"/>
  <c r="C266" i="11"/>
  <c r="W267" i="6"/>
  <c r="G267" i="6"/>
  <c r="D131" i="9" l="1"/>
  <c r="K110" i="4"/>
  <c r="L110" i="4" s="1"/>
  <c r="C133" i="9"/>
  <c r="AH266" i="3"/>
  <c r="AJ266" i="3" s="1"/>
  <c r="AH266" i="6"/>
  <c r="F265" i="11"/>
  <c r="I269" i="3"/>
  <c r="K269" i="3" s="1"/>
  <c r="F268" i="3"/>
  <c r="G268" i="3" s="1"/>
  <c r="W267" i="3"/>
  <c r="Z267" i="3" s="1"/>
  <c r="AD132" i="6"/>
  <c r="AE132" i="6" s="1"/>
  <c r="AF132" i="6"/>
  <c r="H265" i="4"/>
  <c r="W268" i="6"/>
  <c r="G268" i="6"/>
  <c r="F266" i="4"/>
  <c r="P266" i="4" s="1"/>
  <c r="E266" i="11"/>
  <c r="C267" i="11"/>
  <c r="U268" i="6"/>
  <c r="X268" i="3"/>
  <c r="V268" i="3"/>
  <c r="M269" i="6"/>
  <c r="N269" i="6" s="1"/>
  <c r="O269" i="6" s="1"/>
  <c r="T269" i="6" s="1"/>
  <c r="L270" i="6"/>
  <c r="AD134" i="3"/>
  <c r="AE134" i="3" s="1"/>
  <c r="AF134" i="3"/>
  <c r="D266" i="11"/>
  <c r="Z266" i="6"/>
  <c r="AJ266" i="6" s="1"/>
  <c r="M270" i="3"/>
  <c r="N270" i="3" s="1"/>
  <c r="O270" i="3" s="1"/>
  <c r="T270" i="3" s="1"/>
  <c r="L271" i="3"/>
  <c r="F269" i="6"/>
  <c r="K268" i="6"/>
  <c r="X267" i="6"/>
  <c r="V267" i="6"/>
  <c r="U269" i="3"/>
  <c r="H270" i="6"/>
  <c r="I269" i="6"/>
  <c r="M110" i="4" l="1"/>
  <c r="N110" i="4" s="1"/>
  <c r="F266" i="11"/>
  <c r="AH267" i="3"/>
  <c r="AJ267" i="3" s="1"/>
  <c r="AH267" i="6"/>
  <c r="AG134" i="3"/>
  <c r="AA135" i="3" s="1"/>
  <c r="AC135" i="3" s="1"/>
  <c r="AG132" i="6"/>
  <c r="AA133" i="6" s="1"/>
  <c r="AC133" i="6" s="1"/>
  <c r="M270" i="6"/>
  <c r="N270" i="6" s="1"/>
  <c r="O270" i="6" s="1"/>
  <c r="T270" i="6" s="1"/>
  <c r="L271" i="6"/>
  <c r="W268" i="3"/>
  <c r="Z268" i="3" s="1"/>
  <c r="F270" i="6"/>
  <c r="K269" i="6"/>
  <c r="X269" i="3"/>
  <c r="V269" i="3"/>
  <c r="W269" i="6"/>
  <c r="G269" i="6"/>
  <c r="I270" i="3"/>
  <c r="K270" i="3" s="1"/>
  <c r="I270" i="6"/>
  <c r="H271" i="6"/>
  <c r="C268" i="11"/>
  <c r="F269" i="3"/>
  <c r="G269" i="3" s="1"/>
  <c r="U269" i="6"/>
  <c r="Z267" i="6"/>
  <c r="AJ267" i="6" s="1"/>
  <c r="D267" i="11"/>
  <c r="C267" i="4"/>
  <c r="X268" i="6"/>
  <c r="V268" i="6"/>
  <c r="C268" i="4" s="1"/>
  <c r="M271" i="3"/>
  <c r="N271" i="3" s="1"/>
  <c r="O271" i="3" s="1"/>
  <c r="T271" i="3" s="1"/>
  <c r="L272" i="3"/>
  <c r="U270" i="3"/>
  <c r="H266" i="4"/>
  <c r="G111" i="4" l="1"/>
  <c r="J111" i="4" s="1"/>
  <c r="E110" i="9"/>
  <c r="M11" i="10" s="1"/>
  <c r="C134" i="9"/>
  <c r="D27" i="5" s="1" a="1"/>
  <c r="D27" i="5" s="1"/>
  <c r="D132" i="9"/>
  <c r="AH268" i="3"/>
  <c r="AJ268" i="3" s="1"/>
  <c r="AH268" i="6"/>
  <c r="E268" i="11"/>
  <c r="F268" i="4"/>
  <c r="P268" i="4" s="1"/>
  <c r="X270" i="3"/>
  <c r="V270" i="3"/>
  <c r="E267" i="11"/>
  <c r="F267" i="11" s="1"/>
  <c r="F267" i="4"/>
  <c r="P267" i="4" s="1"/>
  <c r="F270" i="3"/>
  <c r="G270" i="3" s="1"/>
  <c r="X269" i="6"/>
  <c r="V269" i="6"/>
  <c r="M272" i="3"/>
  <c r="N272" i="3" s="1"/>
  <c r="O272" i="3" s="1"/>
  <c r="T272" i="3" s="1"/>
  <c r="L273" i="3"/>
  <c r="U271" i="3"/>
  <c r="F271" i="6"/>
  <c r="K270" i="6"/>
  <c r="AD133" i="6"/>
  <c r="AE133" i="6" s="1"/>
  <c r="AF133" i="6"/>
  <c r="C269" i="11"/>
  <c r="C13" i="10"/>
  <c r="M271" i="6"/>
  <c r="N271" i="6" s="1"/>
  <c r="O271" i="6" s="1"/>
  <c r="T271" i="6" s="1"/>
  <c r="L272" i="6"/>
  <c r="W269" i="3"/>
  <c r="Z269" i="3" s="1"/>
  <c r="W270" i="6"/>
  <c r="G270" i="6"/>
  <c r="AD135" i="3"/>
  <c r="AE135" i="3" s="1"/>
  <c r="AF135" i="3"/>
  <c r="U270" i="6"/>
  <c r="Z268" i="6"/>
  <c r="D268" i="11"/>
  <c r="I271" i="6"/>
  <c r="H272" i="6"/>
  <c r="I271" i="3"/>
  <c r="K271" i="3" s="1"/>
  <c r="M111" i="4" l="1"/>
  <c r="K111" i="4"/>
  <c r="L111" i="4" s="1"/>
  <c r="N111" i="4" s="1"/>
  <c r="AJ268" i="6"/>
  <c r="F268" i="11"/>
  <c r="AH269" i="6"/>
  <c r="AH269" i="3"/>
  <c r="AJ269" i="3" s="1"/>
  <c r="AG135" i="3"/>
  <c r="AA136" i="3" s="1"/>
  <c r="AC136" i="3" s="1"/>
  <c r="AG133" i="6"/>
  <c r="AA134" i="6" s="1"/>
  <c r="AC134" i="6" s="1"/>
  <c r="U272" i="3"/>
  <c r="W270" i="3"/>
  <c r="Z270" i="3" s="1"/>
  <c r="C270" i="11"/>
  <c r="X270" i="6"/>
  <c r="V270" i="6"/>
  <c r="M272" i="6"/>
  <c r="N272" i="6" s="1"/>
  <c r="O272" i="6" s="1"/>
  <c r="T272" i="6" s="1"/>
  <c r="L273" i="6"/>
  <c r="U271" i="6"/>
  <c r="H273" i="6"/>
  <c r="I272" i="6"/>
  <c r="D269" i="11"/>
  <c r="Z269" i="6"/>
  <c r="W271" i="6"/>
  <c r="G271" i="6"/>
  <c r="F271" i="3"/>
  <c r="G271" i="3" s="1"/>
  <c r="H267" i="4"/>
  <c r="X271" i="3"/>
  <c r="V271" i="3"/>
  <c r="H268" i="4"/>
  <c r="F272" i="6"/>
  <c r="K271" i="6"/>
  <c r="C269" i="4"/>
  <c r="I272" i="3"/>
  <c r="K272" i="3" s="1"/>
  <c r="M273" i="3"/>
  <c r="N273" i="3" s="1"/>
  <c r="O273" i="3" s="1"/>
  <c r="T273" i="3" s="1"/>
  <c r="L274" i="3"/>
  <c r="G112" i="4" l="1"/>
  <c r="J112" i="4" s="1"/>
  <c r="E111" i="9"/>
  <c r="C135" i="9"/>
  <c r="AJ269" i="6"/>
  <c r="AH270" i="6"/>
  <c r="AH270" i="3"/>
  <c r="AJ270" i="3" s="1"/>
  <c r="D133" i="9"/>
  <c r="W271" i="3"/>
  <c r="Z271" i="3" s="1"/>
  <c r="D270" i="11"/>
  <c r="Z270" i="6"/>
  <c r="U273" i="3"/>
  <c r="F272" i="3"/>
  <c r="G272" i="3" s="1"/>
  <c r="AD136" i="3"/>
  <c r="AE136" i="3" s="1"/>
  <c r="AF136" i="3"/>
  <c r="C270" i="4"/>
  <c r="F273" i="6"/>
  <c r="K272" i="6"/>
  <c r="H274" i="6"/>
  <c r="I273" i="6"/>
  <c r="X271" i="6"/>
  <c r="V271" i="6"/>
  <c r="C271" i="4" s="1"/>
  <c r="I273" i="3"/>
  <c r="K273" i="3" s="1"/>
  <c r="G272" i="6"/>
  <c r="W272" i="6"/>
  <c r="X272" i="3"/>
  <c r="V272" i="3"/>
  <c r="M274" i="3"/>
  <c r="N274" i="3" s="1"/>
  <c r="O274" i="3" s="1"/>
  <c r="T274" i="3" s="1"/>
  <c r="L275" i="3"/>
  <c r="M273" i="6"/>
  <c r="N273" i="6" s="1"/>
  <c r="O273" i="6" s="1"/>
  <c r="T273" i="6" s="1"/>
  <c r="L274" i="6"/>
  <c r="U272" i="6"/>
  <c r="E269" i="11"/>
  <c r="F269" i="11" s="1"/>
  <c r="F269" i="4"/>
  <c r="P269" i="4" s="1"/>
  <c r="C271" i="11"/>
  <c r="AF134" i="6"/>
  <c r="AD134" i="6"/>
  <c r="AE134" i="6" s="1"/>
  <c r="K112" i="4" l="1"/>
  <c r="L112" i="4" s="1"/>
  <c r="M112" i="4"/>
  <c r="AJ270" i="6"/>
  <c r="AH271" i="3"/>
  <c r="AJ271" i="3" s="1"/>
  <c r="AH271" i="6"/>
  <c r="AG134" i="6"/>
  <c r="D134" i="9" s="1"/>
  <c r="D28" i="5" s="1" a="1"/>
  <c r="D28" i="5" s="1"/>
  <c r="AG136" i="3"/>
  <c r="AA137" i="3" s="1"/>
  <c r="AC137" i="3" s="1"/>
  <c r="X272" i="6"/>
  <c r="V272" i="6"/>
  <c r="C272" i="4" s="1"/>
  <c r="C272" i="11"/>
  <c r="W272" i="3"/>
  <c r="Z272" i="3" s="1"/>
  <c r="H269" i="4"/>
  <c r="X273" i="3"/>
  <c r="V273" i="3"/>
  <c r="F273" i="3"/>
  <c r="G273" i="3" s="1"/>
  <c r="Z271" i="6"/>
  <c r="D271" i="11"/>
  <c r="F271" i="4"/>
  <c r="P271" i="4" s="1"/>
  <c r="E271" i="11"/>
  <c r="I274" i="3"/>
  <c r="K274" i="3" s="1"/>
  <c r="F274" i="6"/>
  <c r="K273" i="6"/>
  <c r="M274" i="6"/>
  <c r="N274" i="6" s="1"/>
  <c r="O274" i="6" s="1"/>
  <c r="T274" i="6" s="1"/>
  <c r="L275" i="6"/>
  <c r="I274" i="6"/>
  <c r="H275" i="6"/>
  <c r="U273" i="6"/>
  <c r="W273" i="6"/>
  <c r="G273" i="6"/>
  <c r="M275" i="3"/>
  <c r="N275" i="3" s="1"/>
  <c r="O275" i="3" s="1"/>
  <c r="T275" i="3" s="1"/>
  <c r="L276" i="3"/>
  <c r="U274" i="3"/>
  <c r="E270" i="11"/>
  <c r="F270" i="11" s="1"/>
  <c r="F270" i="4"/>
  <c r="P270" i="4" s="1"/>
  <c r="N112" i="4" l="1"/>
  <c r="E112" i="9" s="1"/>
  <c r="AJ271" i="6"/>
  <c r="AH272" i="6"/>
  <c r="AH272" i="3"/>
  <c r="AJ272" i="3" s="1"/>
  <c r="AA135" i="6"/>
  <c r="AC135" i="6" s="1"/>
  <c r="AD135" i="6" s="1"/>
  <c r="AE135" i="6" s="1"/>
  <c r="C136" i="9"/>
  <c r="F271" i="11"/>
  <c r="H271" i="4"/>
  <c r="F275" i="6"/>
  <c r="K274" i="6"/>
  <c r="M275" i="6"/>
  <c r="N275" i="6" s="1"/>
  <c r="O275" i="6" s="1"/>
  <c r="T275" i="6" s="1"/>
  <c r="L276" i="6"/>
  <c r="X274" i="3"/>
  <c r="V274" i="3"/>
  <c r="M276" i="3"/>
  <c r="N276" i="3" s="1"/>
  <c r="O276" i="3" s="1"/>
  <c r="T276" i="3" s="1"/>
  <c r="L277" i="3"/>
  <c r="F274" i="3"/>
  <c r="G274" i="3" s="1"/>
  <c r="U274" i="6"/>
  <c r="I275" i="3"/>
  <c r="K275" i="3" s="1"/>
  <c r="H270" i="4"/>
  <c r="W274" i="6"/>
  <c r="G274" i="6"/>
  <c r="U275" i="3"/>
  <c r="H13" i="10"/>
  <c r="E272" i="11"/>
  <c r="F272" i="4"/>
  <c r="P272" i="4" s="1"/>
  <c r="W273" i="3"/>
  <c r="Z273" i="3" s="1"/>
  <c r="AH273" i="6" s="1"/>
  <c r="Z272" i="6"/>
  <c r="D272" i="11"/>
  <c r="AD137" i="3"/>
  <c r="AE137" i="3" s="1"/>
  <c r="AF137" i="3"/>
  <c r="X273" i="6"/>
  <c r="V273" i="6"/>
  <c r="C273" i="11"/>
  <c r="I275" i="6"/>
  <c r="H276" i="6"/>
  <c r="G113" i="4" l="1"/>
  <c r="J113" i="4" s="1"/>
  <c r="M113" i="4" s="1"/>
  <c r="AF135" i="6"/>
  <c r="AG135" i="6" s="1"/>
  <c r="AA136" i="6" s="1"/>
  <c r="AC136" i="6" s="1"/>
  <c r="AJ272" i="6"/>
  <c r="AH273" i="3"/>
  <c r="AJ273" i="3" s="1"/>
  <c r="F272" i="11"/>
  <c r="AG137" i="3"/>
  <c r="C137" i="9" s="1"/>
  <c r="X275" i="3"/>
  <c r="V275" i="3"/>
  <c r="M277" i="3"/>
  <c r="N277" i="3" s="1"/>
  <c r="O277" i="3" s="1"/>
  <c r="T277" i="3" s="1"/>
  <c r="L278" i="3"/>
  <c r="Z273" i="6"/>
  <c r="AJ273" i="6" s="1"/>
  <c r="D273" i="11"/>
  <c r="U276" i="3"/>
  <c r="C274" i="11"/>
  <c r="M276" i="6"/>
  <c r="N276" i="6" s="1"/>
  <c r="O276" i="6" s="1"/>
  <c r="T276" i="6" s="1"/>
  <c r="L277" i="6"/>
  <c r="U275" i="6"/>
  <c r="G275" i="6"/>
  <c r="W275" i="6"/>
  <c r="H277" i="6"/>
  <c r="I276" i="6"/>
  <c r="K275" i="6"/>
  <c r="F276" i="6"/>
  <c r="H272" i="4"/>
  <c r="X274" i="6"/>
  <c r="V274" i="6"/>
  <c r="C274" i="4" s="1"/>
  <c r="I276" i="3"/>
  <c r="K276" i="3" s="1"/>
  <c r="C273" i="4"/>
  <c r="F275" i="3"/>
  <c r="G275" i="3" s="1"/>
  <c r="W274" i="3"/>
  <c r="Z274" i="3" s="1"/>
  <c r="K113" i="4" l="1"/>
  <c r="L113" i="4" s="1"/>
  <c r="N113" i="4" s="1"/>
  <c r="AH274" i="6"/>
  <c r="AH274" i="3"/>
  <c r="AJ274" i="3" s="1"/>
  <c r="D135" i="9"/>
  <c r="AA138" i="3"/>
  <c r="AC138" i="3" s="1"/>
  <c r="AF138" i="3" s="1"/>
  <c r="X275" i="6"/>
  <c r="V275" i="6"/>
  <c r="C275" i="4" s="1"/>
  <c r="X276" i="3"/>
  <c r="V276" i="3"/>
  <c r="E274" i="11"/>
  <c r="F274" i="4"/>
  <c r="P274" i="4" s="1"/>
  <c r="M278" i="3"/>
  <c r="N278" i="3" s="1"/>
  <c r="O278" i="3" s="1"/>
  <c r="T278" i="3" s="1"/>
  <c r="L279" i="3"/>
  <c r="H278" i="6"/>
  <c r="I277" i="6"/>
  <c r="U277" i="3"/>
  <c r="W276" i="6"/>
  <c r="G276" i="6"/>
  <c r="C275" i="11"/>
  <c r="W275" i="3"/>
  <c r="Z275" i="3" s="1"/>
  <c r="E273" i="11"/>
  <c r="F273" i="11" s="1"/>
  <c r="F273" i="4"/>
  <c r="P273" i="4" s="1"/>
  <c r="F277" i="6"/>
  <c r="K276" i="6"/>
  <c r="I277" i="3"/>
  <c r="K277" i="3" s="1"/>
  <c r="M277" i="6"/>
  <c r="N277" i="6" s="1"/>
  <c r="O277" i="6" s="1"/>
  <c r="T277" i="6" s="1"/>
  <c r="L278" i="6"/>
  <c r="F276" i="3"/>
  <c r="G276" i="3" s="1"/>
  <c r="U276" i="6"/>
  <c r="Z274" i="6"/>
  <c r="D274" i="11"/>
  <c r="AD136" i="6"/>
  <c r="AE136" i="6" s="1"/>
  <c r="AF136" i="6"/>
  <c r="G114" i="4" l="1"/>
  <c r="J114" i="4" s="1"/>
  <c r="E113" i="9"/>
  <c r="AJ274" i="6"/>
  <c r="AH275" i="6"/>
  <c r="AH275" i="3"/>
  <c r="AJ275" i="3" s="1"/>
  <c r="F274" i="11"/>
  <c r="AD138" i="3"/>
  <c r="AE138" i="3" s="1"/>
  <c r="AG138" i="3" s="1"/>
  <c r="AA139" i="3" s="1"/>
  <c r="AC139" i="3" s="1"/>
  <c r="AG136" i="6"/>
  <c r="D136" i="9" s="1"/>
  <c r="X277" i="3"/>
  <c r="V277" i="3"/>
  <c r="F278" i="6"/>
  <c r="K277" i="6"/>
  <c r="H279" i="6"/>
  <c r="I278" i="6"/>
  <c r="U278" i="3"/>
  <c r="X276" i="6"/>
  <c r="V276" i="6"/>
  <c r="C276" i="4" s="1"/>
  <c r="E275" i="11"/>
  <c r="F275" i="4"/>
  <c r="P275" i="4" s="1"/>
  <c r="W276" i="3"/>
  <c r="Z276" i="3" s="1"/>
  <c r="H274" i="4"/>
  <c r="F277" i="3"/>
  <c r="G277" i="3" s="1"/>
  <c r="C276" i="11"/>
  <c r="Z275" i="6"/>
  <c r="D275" i="11"/>
  <c r="U277" i="6"/>
  <c r="M279" i="3"/>
  <c r="N279" i="3" s="1"/>
  <c r="O279" i="3" s="1"/>
  <c r="T279" i="3" s="1"/>
  <c r="L280" i="3"/>
  <c r="M278" i="6"/>
  <c r="N278" i="6" s="1"/>
  <c r="O278" i="6" s="1"/>
  <c r="T278" i="6" s="1"/>
  <c r="L279" i="6"/>
  <c r="I278" i="3"/>
  <c r="K278" i="3" s="1"/>
  <c r="W277" i="6"/>
  <c r="G277" i="6"/>
  <c r="H273" i="4"/>
  <c r="K114" i="4" l="1"/>
  <c r="L114" i="4" s="1"/>
  <c r="M114" i="4"/>
  <c r="AJ275" i="6"/>
  <c r="AH276" i="3"/>
  <c r="AJ276" i="3" s="1"/>
  <c r="AH276" i="6"/>
  <c r="AA137" i="6"/>
  <c r="AC137" i="6" s="1"/>
  <c r="AD137" i="6" s="1"/>
  <c r="AE137" i="6" s="1"/>
  <c r="F275" i="11"/>
  <c r="C138" i="9"/>
  <c r="X277" i="6"/>
  <c r="V277" i="6"/>
  <c r="C277" i="4" s="1"/>
  <c r="W277" i="3"/>
  <c r="Z277" i="3" s="1"/>
  <c r="X278" i="3"/>
  <c r="V278" i="3"/>
  <c r="F279" i="6"/>
  <c r="K278" i="6"/>
  <c r="I279" i="6"/>
  <c r="H280" i="6"/>
  <c r="F276" i="4"/>
  <c r="P276" i="4" s="1"/>
  <c r="E276" i="11"/>
  <c r="F278" i="3"/>
  <c r="G278" i="3" s="1"/>
  <c r="I279" i="3"/>
  <c r="K279" i="3" s="1"/>
  <c r="L280" i="6"/>
  <c r="M279" i="6"/>
  <c r="N279" i="6" s="1"/>
  <c r="O279" i="6" s="1"/>
  <c r="T279" i="6" s="1"/>
  <c r="U278" i="6"/>
  <c r="W278" i="6"/>
  <c r="G278" i="6"/>
  <c r="M280" i="3"/>
  <c r="N280" i="3" s="1"/>
  <c r="O280" i="3" s="1"/>
  <c r="T280" i="3" s="1"/>
  <c r="L281" i="3"/>
  <c r="U279" i="3"/>
  <c r="C277" i="11"/>
  <c r="H275" i="4"/>
  <c r="D276" i="11"/>
  <c r="Z276" i="6"/>
  <c r="AD139" i="3"/>
  <c r="AE139" i="3" s="1"/>
  <c r="AF139" i="3"/>
  <c r="N114" i="4" l="1"/>
  <c r="E114" i="9" s="1"/>
  <c r="AJ276" i="6"/>
  <c r="AH277" i="6"/>
  <c r="AH277" i="3"/>
  <c r="AJ277" i="3" s="1"/>
  <c r="AF137" i="6"/>
  <c r="AG137" i="6" s="1"/>
  <c r="AA138" i="6" s="1"/>
  <c r="AC138" i="6" s="1"/>
  <c r="AG139" i="3"/>
  <c r="C139" i="9" s="1"/>
  <c r="F276" i="11"/>
  <c r="X279" i="3"/>
  <c r="V279" i="3"/>
  <c r="I280" i="6"/>
  <c r="H281" i="6"/>
  <c r="F280" i="6"/>
  <c r="K279" i="6"/>
  <c r="W279" i="6"/>
  <c r="G279" i="6"/>
  <c r="C278" i="11"/>
  <c r="M281" i="3"/>
  <c r="N281" i="3" s="1"/>
  <c r="O281" i="3" s="1"/>
  <c r="T281" i="3" s="1"/>
  <c r="L282" i="3"/>
  <c r="U279" i="6"/>
  <c r="M280" i="6"/>
  <c r="N280" i="6" s="1"/>
  <c r="O280" i="6" s="1"/>
  <c r="T280" i="6" s="1"/>
  <c r="L281" i="6"/>
  <c r="F279" i="3"/>
  <c r="G279" i="3" s="1"/>
  <c r="X278" i="6"/>
  <c r="V278" i="6"/>
  <c r="C278" i="4" s="1"/>
  <c r="U280" i="3"/>
  <c r="W278" i="3"/>
  <c r="Z278" i="3" s="1"/>
  <c r="I280" i="3"/>
  <c r="K280" i="3" s="1"/>
  <c r="D277" i="11"/>
  <c r="Z277" i="6"/>
  <c r="E277" i="11"/>
  <c r="F277" i="4"/>
  <c r="P277" i="4" s="1"/>
  <c r="H276" i="4"/>
  <c r="G115" i="4" l="1"/>
  <c r="J115" i="4" s="1"/>
  <c r="M115" i="4" s="1"/>
  <c r="AJ277" i="6"/>
  <c r="AH278" i="6"/>
  <c r="AH278" i="3"/>
  <c r="AJ278" i="3" s="1"/>
  <c r="AA140" i="3"/>
  <c r="AC140" i="3" s="1"/>
  <c r="AD140" i="3" s="1"/>
  <c r="AE140" i="3" s="1"/>
  <c r="D137" i="9"/>
  <c r="F277" i="11"/>
  <c r="F278" i="4"/>
  <c r="P278" i="4" s="1"/>
  <c r="E278" i="11"/>
  <c r="X280" i="3"/>
  <c r="V280" i="3"/>
  <c r="U281" i="3"/>
  <c r="D278" i="11"/>
  <c r="Z278" i="6"/>
  <c r="W280" i="6"/>
  <c r="G280" i="6"/>
  <c r="I281" i="6"/>
  <c r="H282" i="6"/>
  <c r="H277" i="4"/>
  <c r="K280" i="6"/>
  <c r="F281" i="6"/>
  <c r="M281" i="6"/>
  <c r="N281" i="6" s="1"/>
  <c r="O281" i="6" s="1"/>
  <c r="T281" i="6" s="1"/>
  <c r="L282" i="6"/>
  <c r="W279" i="3"/>
  <c r="Z279" i="3" s="1"/>
  <c r="U280" i="6"/>
  <c r="AF138" i="6"/>
  <c r="AD138" i="6"/>
  <c r="AE138" i="6" s="1"/>
  <c r="X279" i="6"/>
  <c r="V279" i="6"/>
  <c r="C279" i="4" s="1"/>
  <c r="C279" i="11"/>
  <c r="I281" i="3"/>
  <c r="K281" i="3" s="1"/>
  <c r="F280" i="3"/>
  <c r="G280" i="3" s="1"/>
  <c r="M282" i="3"/>
  <c r="N282" i="3" s="1"/>
  <c r="O282" i="3" s="1"/>
  <c r="T282" i="3" s="1"/>
  <c r="L283" i="3"/>
  <c r="K115" i="4" l="1"/>
  <c r="L115" i="4" s="1"/>
  <c r="N115" i="4" s="1"/>
  <c r="AJ278" i="6"/>
  <c r="AF140" i="3"/>
  <c r="AG140" i="3" s="1"/>
  <c r="AA141" i="3" s="1"/>
  <c r="AC141" i="3" s="1"/>
  <c r="AH279" i="3"/>
  <c r="AJ279" i="3" s="1"/>
  <c r="AH279" i="6"/>
  <c r="F278" i="11"/>
  <c r="AG138" i="6"/>
  <c r="AA139" i="6" s="1"/>
  <c r="AC139" i="6" s="1"/>
  <c r="X280" i="6"/>
  <c r="V280" i="6"/>
  <c r="C280" i="4" s="1"/>
  <c r="K281" i="6"/>
  <c r="F282" i="6"/>
  <c r="U282" i="3"/>
  <c r="M283" i="3"/>
  <c r="N283" i="3" s="1"/>
  <c r="O283" i="3" s="1"/>
  <c r="T283" i="3" s="1"/>
  <c r="L284" i="3"/>
  <c r="X281" i="3"/>
  <c r="V281" i="3"/>
  <c r="U281" i="6"/>
  <c r="I282" i="3"/>
  <c r="K282" i="3" s="1"/>
  <c r="W281" i="6"/>
  <c r="G281" i="6"/>
  <c r="C280" i="11"/>
  <c r="W280" i="3"/>
  <c r="Z280" i="3" s="1"/>
  <c r="AH280" i="3" s="1"/>
  <c r="M282" i="6"/>
  <c r="N282" i="6" s="1"/>
  <c r="O282" i="6" s="1"/>
  <c r="T282" i="6" s="1"/>
  <c r="L283" i="6"/>
  <c r="E279" i="11"/>
  <c r="F279" i="4"/>
  <c r="P279" i="4" s="1"/>
  <c r="F281" i="3"/>
  <c r="G281" i="3" s="1"/>
  <c r="D279" i="11"/>
  <c r="Z279" i="6"/>
  <c r="H283" i="6"/>
  <c r="I282" i="6"/>
  <c r="H278" i="4"/>
  <c r="G116" i="4" l="1"/>
  <c r="J116" i="4" s="1"/>
  <c r="E115" i="9"/>
  <c r="AJ279" i="6"/>
  <c r="AJ280" i="3"/>
  <c r="AH280" i="6"/>
  <c r="D138" i="9"/>
  <c r="C140" i="9"/>
  <c r="F279" i="11"/>
  <c r="X281" i="6"/>
  <c r="V281" i="6"/>
  <c r="C281" i="4" s="1"/>
  <c r="X282" i="3"/>
  <c r="V282" i="3"/>
  <c r="C281" i="11"/>
  <c r="M284" i="3"/>
  <c r="N284" i="3" s="1"/>
  <c r="O284" i="3" s="1"/>
  <c r="T284" i="3" s="1"/>
  <c r="L285" i="3"/>
  <c r="U282" i="6"/>
  <c r="U283" i="3"/>
  <c r="I283" i="3"/>
  <c r="K283" i="3" s="1"/>
  <c r="W282" i="6"/>
  <c r="G282" i="6"/>
  <c r="AD141" i="3"/>
  <c r="AE141" i="3" s="1"/>
  <c r="AF141" i="3"/>
  <c r="Z280" i="6"/>
  <c r="D280" i="11"/>
  <c r="H284" i="6"/>
  <c r="I283" i="6"/>
  <c r="W281" i="3"/>
  <c r="Z281" i="3" s="1"/>
  <c r="F283" i="6"/>
  <c r="K282" i="6"/>
  <c r="F282" i="3"/>
  <c r="G282" i="3" s="1"/>
  <c r="H279" i="4"/>
  <c r="E280" i="11"/>
  <c r="F280" i="4"/>
  <c r="P280" i="4" s="1"/>
  <c r="M283" i="6"/>
  <c r="N283" i="6" s="1"/>
  <c r="O283" i="6" s="1"/>
  <c r="T283" i="6" s="1"/>
  <c r="L284" i="6"/>
  <c r="AD139" i="6"/>
  <c r="AE139" i="6" s="1"/>
  <c r="AF139" i="6"/>
  <c r="K116" i="4" l="1"/>
  <c r="L116" i="4" s="1"/>
  <c r="M116" i="4"/>
  <c r="AJ280" i="6"/>
  <c r="AH281" i="3"/>
  <c r="AJ281" i="3" s="1"/>
  <c r="AH281" i="6"/>
  <c r="F280" i="11"/>
  <c r="AG141" i="3"/>
  <c r="AA142" i="3" s="1"/>
  <c r="AC142" i="3" s="1"/>
  <c r="AG139" i="6"/>
  <c r="AA140" i="6" s="1"/>
  <c r="AC140" i="6" s="1"/>
  <c r="X282" i="6"/>
  <c r="V282" i="6"/>
  <c r="C282" i="4" s="1"/>
  <c r="I284" i="6"/>
  <c r="H285" i="6"/>
  <c r="M285" i="3"/>
  <c r="N285" i="3" s="1"/>
  <c r="O285" i="3" s="1"/>
  <c r="T285" i="3" s="1"/>
  <c r="L286" i="3"/>
  <c r="U284" i="3"/>
  <c r="E281" i="11"/>
  <c r="F281" i="4"/>
  <c r="P281" i="4" s="1"/>
  <c r="C282" i="11"/>
  <c r="F284" i="6"/>
  <c r="K283" i="6"/>
  <c r="W282" i="3"/>
  <c r="Z282" i="3" s="1"/>
  <c r="I284" i="3"/>
  <c r="K284" i="3" s="1"/>
  <c r="H280" i="4"/>
  <c r="F283" i="3"/>
  <c r="G283" i="3" s="1"/>
  <c r="Z281" i="6"/>
  <c r="D281" i="11"/>
  <c r="M284" i="6"/>
  <c r="N284" i="6" s="1"/>
  <c r="O284" i="6" s="1"/>
  <c r="T284" i="6" s="1"/>
  <c r="L285" i="6"/>
  <c r="W283" i="6"/>
  <c r="G283" i="6"/>
  <c r="X283" i="3"/>
  <c r="V283" i="3"/>
  <c r="U283" i="6"/>
  <c r="N116" i="4" l="1"/>
  <c r="E116" i="9" s="1"/>
  <c r="AJ281" i="6"/>
  <c r="AH282" i="3"/>
  <c r="AJ282" i="3" s="1"/>
  <c r="AH282" i="6"/>
  <c r="D139" i="9"/>
  <c r="C141" i="9"/>
  <c r="F281" i="11"/>
  <c r="H281" i="4"/>
  <c r="I285" i="3"/>
  <c r="K285" i="3" s="1"/>
  <c r="X284" i="3"/>
  <c r="V284" i="3"/>
  <c r="M286" i="3"/>
  <c r="N286" i="3" s="1"/>
  <c r="O286" i="3" s="1"/>
  <c r="T286" i="3" s="1"/>
  <c r="L287" i="3"/>
  <c r="U285" i="3"/>
  <c r="H286" i="6"/>
  <c r="I285" i="6"/>
  <c r="F285" i="6"/>
  <c r="K284" i="6"/>
  <c r="F284" i="3"/>
  <c r="G284" i="3" s="1"/>
  <c r="Z282" i="6"/>
  <c r="D282" i="11"/>
  <c r="M285" i="6"/>
  <c r="N285" i="6" s="1"/>
  <c r="O285" i="6" s="1"/>
  <c r="T285" i="6" s="1"/>
  <c r="L286" i="6"/>
  <c r="C283" i="11"/>
  <c r="W284" i="6"/>
  <c r="G284" i="6"/>
  <c r="F282" i="4"/>
  <c r="P282" i="4" s="1"/>
  <c r="E282" i="11"/>
  <c r="AF142" i="3"/>
  <c r="AD142" i="3"/>
  <c r="AE142" i="3" s="1"/>
  <c r="X283" i="6"/>
  <c r="V283" i="6"/>
  <c r="C283" i="4" s="1"/>
  <c r="U284" i="6"/>
  <c r="W283" i="3"/>
  <c r="Z283" i="3" s="1"/>
  <c r="AD140" i="6"/>
  <c r="AE140" i="6" s="1"/>
  <c r="AF140" i="6"/>
  <c r="G117" i="4" l="1"/>
  <c r="J117" i="4" s="1"/>
  <c r="AJ282" i="6"/>
  <c r="AH283" i="3"/>
  <c r="AJ283" i="3" s="1"/>
  <c r="AH283" i="6"/>
  <c r="F282" i="11"/>
  <c r="AG140" i="6"/>
  <c r="AA141" i="6" s="1"/>
  <c r="AC141" i="6" s="1"/>
  <c r="AG142" i="3"/>
  <c r="AA143" i="3" s="1"/>
  <c r="AC143" i="3" s="1"/>
  <c r="X285" i="3"/>
  <c r="V285" i="3"/>
  <c r="W285" i="6"/>
  <c r="G285" i="6"/>
  <c r="U286" i="3"/>
  <c r="F286" i="6"/>
  <c r="K285" i="6"/>
  <c r="M287" i="3"/>
  <c r="N287" i="3" s="1"/>
  <c r="O287" i="3" s="1"/>
  <c r="T287" i="3" s="1"/>
  <c r="L288" i="3"/>
  <c r="X284" i="6"/>
  <c r="V284" i="6"/>
  <c r="C284" i="4" s="1"/>
  <c r="D283" i="11"/>
  <c r="Z283" i="6"/>
  <c r="U285" i="6"/>
  <c r="C284" i="11"/>
  <c r="H282" i="4"/>
  <c r="I286" i="3"/>
  <c r="K286" i="3" s="1"/>
  <c r="F285" i="3"/>
  <c r="G285" i="3" s="1"/>
  <c r="H287" i="6"/>
  <c r="I286" i="6"/>
  <c r="E283" i="11"/>
  <c r="F283" i="4"/>
  <c r="P283" i="4" s="1"/>
  <c r="M286" i="6"/>
  <c r="N286" i="6" s="1"/>
  <c r="O286" i="6" s="1"/>
  <c r="T286" i="6" s="1"/>
  <c r="L287" i="6"/>
  <c r="W284" i="3"/>
  <c r="Z284" i="3" s="1"/>
  <c r="AH284" i="3" s="1"/>
  <c r="K117" i="4" l="1"/>
  <c r="L117" i="4" s="1"/>
  <c r="M117" i="4"/>
  <c r="AJ283" i="6"/>
  <c r="D140" i="9"/>
  <c r="AJ284" i="3"/>
  <c r="AH284" i="6"/>
  <c r="C142" i="9"/>
  <c r="F283" i="11"/>
  <c r="X286" i="3"/>
  <c r="V286" i="3"/>
  <c r="W286" i="6"/>
  <c r="G286" i="6"/>
  <c r="X285" i="6"/>
  <c r="V285" i="6"/>
  <c r="U286" i="6"/>
  <c r="H283" i="4"/>
  <c r="F284" i="4"/>
  <c r="P284" i="4" s="1"/>
  <c r="E284" i="11"/>
  <c r="AD141" i="6"/>
  <c r="AE141" i="6" s="1"/>
  <c r="AF141" i="6"/>
  <c r="Z284" i="6"/>
  <c r="D284" i="11"/>
  <c r="C285" i="11"/>
  <c r="F287" i="6"/>
  <c r="K286" i="6"/>
  <c r="W285" i="3"/>
  <c r="Z285" i="3" s="1"/>
  <c r="I287" i="3"/>
  <c r="K287" i="3" s="1"/>
  <c r="I287" i="6"/>
  <c r="H288" i="6"/>
  <c r="F286" i="3"/>
  <c r="G286" i="3" s="1"/>
  <c r="M288" i="3"/>
  <c r="N288" i="3" s="1"/>
  <c r="O288" i="3" s="1"/>
  <c r="T288" i="3" s="1"/>
  <c r="L289" i="3"/>
  <c r="M287" i="6"/>
  <c r="N287" i="6" s="1"/>
  <c r="O287" i="6" s="1"/>
  <c r="T287" i="6" s="1"/>
  <c r="L288" i="6"/>
  <c r="U287" i="3"/>
  <c r="AD143" i="3"/>
  <c r="AE143" i="3" s="1"/>
  <c r="AF143" i="3"/>
  <c r="N117" i="4" l="1"/>
  <c r="E117" i="9" s="1"/>
  <c r="AH285" i="3"/>
  <c r="AJ285" i="3" s="1"/>
  <c r="AJ284" i="6"/>
  <c r="F284" i="11"/>
  <c r="AH285" i="6"/>
  <c r="AG141" i="6"/>
  <c r="D141" i="9" s="1"/>
  <c r="AG143" i="3"/>
  <c r="AA144" i="3" s="1"/>
  <c r="AC144" i="3" s="1"/>
  <c r="X287" i="3"/>
  <c r="V287" i="3"/>
  <c r="X286" i="6"/>
  <c r="V286" i="6"/>
  <c r="C286" i="4" s="1"/>
  <c r="Z285" i="6"/>
  <c r="D285" i="11"/>
  <c r="M288" i="6"/>
  <c r="N288" i="6" s="1"/>
  <c r="O288" i="6" s="1"/>
  <c r="T288" i="6" s="1"/>
  <c r="L289" i="6"/>
  <c r="C285" i="4"/>
  <c r="M289" i="3"/>
  <c r="N289" i="3" s="1"/>
  <c r="O289" i="3" s="1"/>
  <c r="T289" i="3" s="1"/>
  <c r="L290" i="3"/>
  <c r="F287" i="3"/>
  <c r="G287" i="3" s="1"/>
  <c r="W287" i="6"/>
  <c r="G287" i="6"/>
  <c r="U287" i="6"/>
  <c r="C286" i="11"/>
  <c r="I288" i="6"/>
  <c r="H289" i="6"/>
  <c r="U288" i="3"/>
  <c r="W286" i="3"/>
  <c r="Z286" i="3" s="1"/>
  <c r="AH286" i="3" s="1"/>
  <c r="F288" i="6"/>
  <c r="K287" i="6"/>
  <c r="I288" i="3"/>
  <c r="K288" i="3" s="1"/>
  <c r="H284" i="4"/>
  <c r="G118" i="4" l="1"/>
  <c r="J118" i="4" s="1"/>
  <c r="M118" i="4" s="1"/>
  <c r="AJ285" i="6"/>
  <c r="AA142" i="6"/>
  <c r="AC142" i="6" s="1"/>
  <c r="AD142" i="6" s="1"/>
  <c r="AE142" i="6" s="1"/>
  <c r="AJ286" i="3"/>
  <c r="C143" i="9"/>
  <c r="AH286" i="6"/>
  <c r="X288" i="3"/>
  <c r="V288" i="3"/>
  <c r="X287" i="6"/>
  <c r="V287" i="6"/>
  <c r="C287" i="4" s="1"/>
  <c r="K288" i="6"/>
  <c r="F289" i="6"/>
  <c r="I289" i="6"/>
  <c r="H290" i="6"/>
  <c r="M289" i="6"/>
  <c r="N289" i="6" s="1"/>
  <c r="O289" i="6" s="1"/>
  <c r="T289" i="6" s="1"/>
  <c r="L290" i="6"/>
  <c r="I289" i="3"/>
  <c r="K289" i="3" s="1"/>
  <c r="F285" i="4"/>
  <c r="P285" i="4" s="1"/>
  <c r="E285" i="11"/>
  <c r="F285" i="11" s="1"/>
  <c r="E286" i="11"/>
  <c r="F286" i="4"/>
  <c r="P286" i="4" s="1"/>
  <c r="D286" i="11"/>
  <c r="Z286" i="6"/>
  <c r="U289" i="3"/>
  <c r="U288" i="6"/>
  <c r="M290" i="3"/>
  <c r="N290" i="3" s="1"/>
  <c r="O290" i="3" s="1"/>
  <c r="T290" i="3" s="1"/>
  <c r="L291" i="3"/>
  <c r="W288" i="6"/>
  <c r="G288" i="6"/>
  <c r="C287" i="11"/>
  <c r="AD144" i="3"/>
  <c r="AE144" i="3" s="1"/>
  <c r="AF144" i="3"/>
  <c r="W287" i="3"/>
  <c r="Z287" i="3" s="1"/>
  <c r="F288" i="3"/>
  <c r="G288" i="3" s="1"/>
  <c r="AF142" i="6" l="1"/>
  <c r="K118" i="4"/>
  <c r="L118" i="4" s="1"/>
  <c r="N118" i="4" s="1"/>
  <c r="AJ286" i="6"/>
  <c r="AH287" i="3"/>
  <c r="AJ287" i="3" s="1"/>
  <c r="AH287" i="6"/>
  <c r="AG142" i="6"/>
  <c r="AA143" i="6" s="1"/>
  <c r="AC143" i="6" s="1"/>
  <c r="F286" i="11"/>
  <c r="AG144" i="3"/>
  <c r="C144" i="9" s="1"/>
  <c r="X289" i="3"/>
  <c r="V289" i="3"/>
  <c r="M290" i="6"/>
  <c r="N290" i="6" s="1"/>
  <c r="O290" i="6" s="1"/>
  <c r="T290" i="6" s="1"/>
  <c r="L291" i="6"/>
  <c r="U289" i="6"/>
  <c r="H291" i="6"/>
  <c r="I290" i="6"/>
  <c r="U290" i="3"/>
  <c r="Z287" i="6"/>
  <c r="D287" i="11"/>
  <c r="F290" i="6"/>
  <c r="K289" i="6"/>
  <c r="H286" i="4"/>
  <c r="W288" i="3"/>
  <c r="Z288" i="3" s="1"/>
  <c r="E287" i="11"/>
  <c r="F287" i="4"/>
  <c r="P287" i="4" s="1"/>
  <c r="H285" i="4"/>
  <c r="C288" i="11"/>
  <c r="M291" i="3"/>
  <c r="N291" i="3" s="1"/>
  <c r="O291" i="3" s="1"/>
  <c r="T291" i="3" s="1"/>
  <c r="L292" i="3"/>
  <c r="W289" i="6"/>
  <c r="G289" i="6"/>
  <c r="I290" i="3"/>
  <c r="K290" i="3" s="1"/>
  <c r="X288" i="6"/>
  <c r="V288" i="6"/>
  <c r="C288" i="4" s="1"/>
  <c r="F289" i="3"/>
  <c r="G289" i="3" s="1"/>
  <c r="G119" i="4" l="1"/>
  <c r="J119" i="4" s="1"/>
  <c r="E118" i="9"/>
  <c r="D142" i="9"/>
  <c r="AA145" i="3"/>
  <c r="AC145" i="3" s="1"/>
  <c r="AF145" i="3" s="1"/>
  <c r="AJ287" i="6"/>
  <c r="AH288" i="6"/>
  <c r="AH288" i="3"/>
  <c r="AJ288" i="3" s="1"/>
  <c r="F287" i="11"/>
  <c r="F288" i="4"/>
  <c r="P288" i="4" s="1"/>
  <c r="E288" i="11"/>
  <c r="X290" i="3"/>
  <c r="V290" i="3"/>
  <c r="W289" i="3"/>
  <c r="Z289" i="3" s="1"/>
  <c r="F291" i="6"/>
  <c r="K290" i="6"/>
  <c r="I291" i="6"/>
  <c r="H292" i="6"/>
  <c r="I291" i="3"/>
  <c r="K291" i="3" s="1"/>
  <c r="X289" i="6"/>
  <c r="V289" i="6"/>
  <c r="C289" i="4" s="1"/>
  <c r="F290" i="3"/>
  <c r="G290" i="3" s="1"/>
  <c r="H287" i="4"/>
  <c r="M291" i="6"/>
  <c r="N291" i="6" s="1"/>
  <c r="O291" i="6" s="1"/>
  <c r="T291" i="6" s="1"/>
  <c r="L292" i="6"/>
  <c r="U290" i="6"/>
  <c r="C289" i="11"/>
  <c r="U291" i="3"/>
  <c r="W290" i="6"/>
  <c r="G290" i="6"/>
  <c r="Z288" i="6"/>
  <c r="D288" i="11"/>
  <c r="M292" i="3"/>
  <c r="N292" i="3" s="1"/>
  <c r="O292" i="3" s="1"/>
  <c r="T292" i="3" s="1"/>
  <c r="L293" i="3"/>
  <c r="AD143" i="6"/>
  <c r="AE143" i="6" s="1"/>
  <c r="AF143" i="6"/>
  <c r="AD145" i="3" l="1"/>
  <c r="AE145" i="3" s="1"/>
  <c r="M119" i="4"/>
  <c r="K119" i="4"/>
  <c r="L119" i="4" s="1"/>
  <c r="AJ288" i="6"/>
  <c r="AH289" i="3"/>
  <c r="AJ289" i="3" s="1"/>
  <c r="AH289" i="6"/>
  <c r="F288" i="11"/>
  <c r="AG145" i="3"/>
  <c r="C145" i="9" s="1"/>
  <c r="AG143" i="6"/>
  <c r="AA144" i="6" s="1"/>
  <c r="AC144" i="6" s="1"/>
  <c r="X291" i="3"/>
  <c r="V291" i="3"/>
  <c r="I292" i="3"/>
  <c r="K292" i="3" s="1"/>
  <c r="F291" i="3"/>
  <c r="G291" i="3" s="1"/>
  <c r="X290" i="6"/>
  <c r="V290" i="6"/>
  <c r="W291" i="6"/>
  <c r="G291" i="6"/>
  <c r="U292" i="3"/>
  <c r="W290" i="3"/>
  <c r="Z290" i="3" s="1"/>
  <c r="C290" i="11"/>
  <c r="M292" i="6"/>
  <c r="N292" i="6" s="1"/>
  <c r="O292" i="6" s="1"/>
  <c r="T292" i="6" s="1"/>
  <c r="L293" i="6"/>
  <c r="F292" i="6"/>
  <c r="K291" i="6"/>
  <c r="U291" i="6"/>
  <c r="Z289" i="6"/>
  <c r="D289" i="11"/>
  <c r="H288" i="4"/>
  <c r="I292" i="6"/>
  <c r="H293" i="6"/>
  <c r="E289" i="11"/>
  <c r="F289" i="4"/>
  <c r="P289" i="4" s="1"/>
  <c r="M293" i="3"/>
  <c r="N293" i="3" s="1"/>
  <c r="O293" i="3" s="1"/>
  <c r="T293" i="3" s="1"/>
  <c r="L294" i="3"/>
  <c r="N119" i="4" l="1"/>
  <c r="E119" i="9" s="1"/>
  <c r="D143" i="9"/>
  <c r="AA146" i="3"/>
  <c r="AC146" i="3" s="1"/>
  <c r="AF146" i="3" s="1"/>
  <c r="AH290" i="6"/>
  <c r="AH290" i="3"/>
  <c r="AJ290" i="3" s="1"/>
  <c r="AJ289" i="6"/>
  <c r="F289" i="11"/>
  <c r="W292" i="6"/>
  <c r="G292" i="6"/>
  <c r="X291" i="6"/>
  <c r="V291" i="6"/>
  <c r="M293" i="6"/>
  <c r="N293" i="6" s="1"/>
  <c r="O293" i="6" s="1"/>
  <c r="T293" i="6" s="1"/>
  <c r="L294" i="6"/>
  <c r="H289" i="4"/>
  <c r="F292" i="3"/>
  <c r="G292" i="3" s="1"/>
  <c r="M294" i="3"/>
  <c r="N294" i="3" s="1"/>
  <c r="O294" i="3" s="1"/>
  <c r="T294" i="3" s="1"/>
  <c r="L295" i="3"/>
  <c r="AD144" i="6"/>
  <c r="AE144" i="6" s="1"/>
  <c r="AF144" i="6"/>
  <c r="Z290" i="6"/>
  <c r="D290" i="11"/>
  <c r="F293" i="6"/>
  <c r="K292" i="6"/>
  <c r="U292" i="6"/>
  <c r="C290" i="4"/>
  <c r="X292" i="3"/>
  <c r="V292" i="3"/>
  <c r="C291" i="11"/>
  <c r="U293" i="3"/>
  <c r="W291" i="3"/>
  <c r="Z291" i="3" s="1"/>
  <c r="AH291" i="3" s="1"/>
  <c r="I293" i="3"/>
  <c r="K293" i="3" s="1"/>
  <c r="I293" i="6"/>
  <c r="H294" i="6"/>
  <c r="AD146" i="3" l="1"/>
  <c r="AE146" i="3" s="1"/>
  <c r="G120" i="4"/>
  <c r="J120" i="4" s="1"/>
  <c r="AJ290" i="6"/>
  <c r="AH291" i="6"/>
  <c r="AJ291" i="3"/>
  <c r="AG146" i="3"/>
  <c r="AA147" i="3" s="1"/>
  <c r="AC147" i="3" s="1"/>
  <c r="AG144" i="6"/>
  <c r="D144" i="9" s="1"/>
  <c r="X293" i="3"/>
  <c r="V293" i="3"/>
  <c r="M295" i="3"/>
  <c r="N295" i="3" s="1"/>
  <c r="O295" i="3" s="1"/>
  <c r="T295" i="3" s="1"/>
  <c r="L296" i="3"/>
  <c r="F294" i="6"/>
  <c r="K293" i="6"/>
  <c r="E290" i="11"/>
  <c r="F290" i="11" s="1"/>
  <c r="F290" i="4"/>
  <c r="P290" i="4" s="1"/>
  <c r="C292" i="11"/>
  <c r="W292" i="3"/>
  <c r="Z292" i="3" s="1"/>
  <c r="X292" i="6"/>
  <c r="V292" i="6"/>
  <c r="C292" i="4" s="1"/>
  <c r="M294" i="6"/>
  <c r="N294" i="6" s="1"/>
  <c r="O294" i="6" s="1"/>
  <c r="T294" i="6" s="1"/>
  <c r="L295" i="6"/>
  <c r="I294" i="3"/>
  <c r="K294" i="3" s="1"/>
  <c r="U293" i="6"/>
  <c r="U294" i="3"/>
  <c r="H295" i="6"/>
  <c r="I294" i="6"/>
  <c r="Z291" i="6"/>
  <c r="AJ291" i="6" s="1"/>
  <c r="D291" i="11"/>
  <c r="F293" i="3"/>
  <c r="G293" i="3" s="1"/>
  <c r="C291" i="4"/>
  <c r="G293" i="6"/>
  <c r="W293" i="6"/>
  <c r="K120" i="4" l="1"/>
  <c r="L120" i="4" s="1"/>
  <c r="M120" i="4"/>
  <c r="AA145" i="6"/>
  <c r="AC145" i="6" s="1"/>
  <c r="AH292" i="3"/>
  <c r="AJ292" i="3" s="1"/>
  <c r="AH292" i="6"/>
  <c r="C146" i="9"/>
  <c r="C14" i="10" s="1"/>
  <c r="X294" i="3"/>
  <c r="V294" i="3"/>
  <c r="X293" i="6"/>
  <c r="V293" i="6"/>
  <c r="F295" i="6"/>
  <c r="K294" i="6"/>
  <c r="F292" i="4"/>
  <c r="P292" i="4" s="1"/>
  <c r="E292" i="11"/>
  <c r="H290" i="4"/>
  <c r="I295" i="3"/>
  <c r="K295" i="3" s="1"/>
  <c r="W294" i="6"/>
  <c r="G294" i="6"/>
  <c r="H296" i="6"/>
  <c r="I295" i="6"/>
  <c r="AD145" i="6"/>
  <c r="AE145" i="6" s="1"/>
  <c r="AF145" i="6"/>
  <c r="F294" i="3"/>
  <c r="G294" i="3" s="1"/>
  <c r="M296" i="3"/>
  <c r="N296" i="3" s="1"/>
  <c r="O296" i="3" s="1"/>
  <c r="T296" i="3" s="1"/>
  <c r="L297" i="3"/>
  <c r="E291" i="11"/>
  <c r="F291" i="11" s="1"/>
  <c r="F291" i="4"/>
  <c r="P291" i="4" s="1"/>
  <c r="M295" i="6"/>
  <c r="N295" i="6" s="1"/>
  <c r="O295" i="6" s="1"/>
  <c r="T295" i="6" s="1"/>
  <c r="L296" i="6"/>
  <c r="U295" i="3"/>
  <c r="W293" i="3"/>
  <c r="Z293" i="3" s="1"/>
  <c r="AH293" i="6" s="1"/>
  <c r="C293" i="11"/>
  <c r="U294" i="6"/>
  <c r="D292" i="11"/>
  <c r="Z292" i="6"/>
  <c r="AD147" i="3"/>
  <c r="AE147" i="3" s="1"/>
  <c r="AF147" i="3"/>
  <c r="N120" i="4" l="1"/>
  <c r="G121" i="4"/>
  <c r="J121" i="4" s="1"/>
  <c r="E120" i="9"/>
  <c r="AJ292" i="6"/>
  <c r="AH293" i="3"/>
  <c r="AJ293" i="3" s="1"/>
  <c r="AG147" i="3"/>
  <c r="AA148" i="3" s="1"/>
  <c r="AC148" i="3" s="1"/>
  <c r="F292" i="11"/>
  <c r="AG145" i="6"/>
  <c r="AA146" i="6" s="1"/>
  <c r="AC146" i="6" s="1"/>
  <c r="W295" i="6"/>
  <c r="G295" i="6"/>
  <c r="M297" i="3"/>
  <c r="N297" i="3" s="1"/>
  <c r="O297" i="3" s="1"/>
  <c r="T297" i="3" s="1"/>
  <c r="L298" i="3"/>
  <c r="W294" i="3"/>
  <c r="C294" i="11"/>
  <c r="Z294" i="3"/>
  <c r="F296" i="6"/>
  <c r="K295" i="6"/>
  <c r="H292" i="4"/>
  <c r="Z293" i="6"/>
  <c r="AJ293" i="6" s="1"/>
  <c r="D293" i="11"/>
  <c r="I296" i="3"/>
  <c r="K296" i="3" s="1"/>
  <c r="C293" i="4"/>
  <c r="M296" i="6"/>
  <c r="N296" i="6" s="1"/>
  <c r="O296" i="6" s="1"/>
  <c r="T296" i="6" s="1"/>
  <c r="L297" i="6"/>
  <c r="F295" i="3"/>
  <c r="G295" i="3" s="1"/>
  <c r="H291" i="4"/>
  <c r="U296" i="3"/>
  <c r="X294" i="6"/>
  <c r="V294" i="6"/>
  <c r="C294" i="4" s="1"/>
  <c r="H297" i="6"/>
  <c r="I296" i="6"/>
  <c r="X295" i="3"/>
  <c r="V295" i="3"/>
  <c r="U295" i="6"/>
  <c r="M121" i="4" l="1"/>
  <c r="K121" i="4"/>
  <c r="L121" i="4" s="1"/>
  <c r="AH294" i="3"/>
  <c r="AJ294" i="3" s="1"/>
  <c r="AH294" i="6"/>
  <c r="D145" i="9"/>
  <c r="C147" i="9"/>
  <c r="X296" i="3"/>
  <c r="V296" i="3"/>
  <c r="X295" i="6"/>
  <c r="V295" i="6"/>
  <c r="W296" i="6"/>
  <c r="G296" i="6"/>
  <c r="W295" i="3"/>
  <c r="Z295" i="3" s="1"/>
  <c r="AD146" i="6"/>
  <c r="AE146" i="6" s="1"/>
  <c r="AF146" i="6"/>
  <c r="C295" i="11"/>
  <c r="F293" i="4"/>
  <c r="P293" i="4" s="1"/>
  <c r="E293" i="11"/>
  <c r="F293" i="11" s="1"/>
  <c r="I297" i="3"/>
  <c r="K297" i="3" s="1"/>
  <c r="M298" i="3"/>
  <c r="N298" i="3" s="1"/>
  <c r="O298" i="3" s="1"/>
  <c r="T298" i="3" s="1"/>
  <c r="L299" i="3"/>
  <c r="F297" i="6"/>
  <c r="K296" i="6"/>
  <c r="U297" i="3"/>
  <c r="U296" i="6"/>
  <c r="I297" i="6"/>
  <c r="H298" i="6"/>
  <c r="D294" i="11"/>
  <c r="Z294" i="6"/>
  <c r="F294" i="4"/>
  <c r="P294" i="4" s="1"/>
  <c r="E294" i="11"/>
  <c r="M297" i="6"/>
  <c r="N297" i="6" s="1"/>
  <c r="O297" i="6" s="1"/>
  <c r="T297" i="6" s="1"/>
  <c r="L298" i="6"/>
  <c r="F296" i="3"/>
  <c r="G296" i="3" s="1"/>
  <c r="AD148" i="3"/>
  <c r="AE148" i="3" s="1"/>
  <c r="AF148" i="3"/>
  <c r="N121" i="4" l="1"/>
  <c r="E121" i="9" s="1"/>
  <c r="AH295" i="6"/>
  <c r="AH295" i="3"/>
  <c r="AJ295" i="3" s="1"/>
  <c r="AJ294" i="6"/>
  <c r="F294" i="11"/>
  <c r="AG146" i="6"/>
  <c r="D146" i="9" s="1"/>
  <c r="H14" i="10" s="1"/>
  <c r="AG148" i="3"/>
  <c r="C148" i="9" s="1"/>
  <c r="X296" i="6"/>
  <c r="V296" i="6"/>
  <c r="C296" i="4" s="1"/>
  <c r="X297" i="3"/>
  <c r="V297" i="3"/>
  <c r="W296" i="3"/>
  <c r="Z296" i="3" s="1"/>
  <c r="AH296" i="3" s="1"/>
  <c r="H294" i="4"/>
  <c r="G297" i="6"/>
  <c r="W297" i="6"/>
  <c r="U297" i="6"/>
  <c r="D295" i="11"/>
  <c r="Z295" i="6"/>
  <c r="M298" i="6"/>
  <c r="N298" i="6" s="1"/>
  <c r="O298" i="6" s="1"/>
  <c r="T298" i="6" s="1"/>
  <c r="L299" i="6"/>
  <c r="I298" i="3"/>
  <c r="K298" i="3" s="1"/>
  <c r="H293" i="4"/>
  <c r="M299" i="3"/>
  <c r="N299" i="3" s="1"/>
  <c r="O299" i="3" s="1"/>
  <c r="T299" i="3" s="1"/>
  <c r="L300" i="3"/>
  <c r="U298" i="3"/>
  <c r="F297" i="3"/>
  <c r="G297" i="3" s="1"/>
  <c r="C296" i="11"/>
  <c r="H299" i="6"/>
  <c r="I298" i="6"/>
  <c r="F298" i="6"/>
  <c r="K297" i="6"/>
  <c r="C295" i="4"/>
  <c r="G122" i="4" l="1"/>
  <c r="J122" i="4" s="1"/>
  <c r="M122" i="4" s="1"/>
  <c r="AJ295" i="6"/>
  <c r="AH296" i="6"/>
  <c r="AJ296" i="3"/>
  <c r="AA149" i="3"/>
  <c r="AC149" i="3" s="1"/>
  <c r="AD149" i="3" s="1"/>
  <c r="AE149" i="3" s="1"/>
  <c r="AA147" i="6"/>
  <c r="AC147" i="6" s="1"/>
  <c r="AF147" i="6" s="1"/>
  <c r="U299" i="3"/>
  <c r="F298" i="3"/>
  <c r="G298" i="3" s="1"/>
  <c r="I299" i="3"/>
  <c r="K299" i="3" s="1"/>
  <c r="F299" i="6"/>
  <c r="K298" i="6"/>
  <c r="C297" i="11"/>
  <c r="W297" i="3"/>
  <c r="Z297" i="3" s="1"/>
  <c r="Z296" i="6"/>
  <c r="D296" i="11"/>
  <c r="E295" i="11"/>
  <c r="F295" i="11" s="1"/>
  <c r="F295" i="4"/>
  <c r="P295" i="4" s="1"/>
  <c r="H300" i="6"/>
  <c r="I299" i="6"/>
  <c r="M299" i="6"/>
  <c r="N299" i="6" s="1"/>
  <c r="O299" i="6" s="1"/>
  <c r="T299" i="6" s="1"/>
  <c r="L300" i="6"/>
  <c r="E296" i="11"/>
  <c r="F296" i="4"/>
  <c r="P296" i="4" s="1"/>
  <c r="W298" i="6"/>
  <c r="G298" i="6"/>
  <c r="U298" i="6"/>
  <c r="X298" i="3"/>
  <c r="V298" i="3"/>
  <c r="X297" i="6"/>
  <c r="V297" i="6"/>
  <c r="C297" i="4" s="1"/>
  <c r="M300" i="3"/>
  <c r="N300" i="3" s="1"/>
  <c r="O300" i="3" s="1"/>
  <c r="T300" i="3" s="1"/>
  <c r="L301" i="3"/>
  <c r="K122" i="4" l="1"/>
  <c r="L122" i="4" s="1"/>
  <c r="N122" i="4" s="1"/>
  <c r="AH297" i="3"/>
  <c r="AJ297" i="3" s="1"/>
  <c r="AJ296" i="6"/>
  <c r="AH297" i="6"/>
  <c r="AD147" i="6"/>
  <c r="AE147" i="6" s="1"/>
  <c r="AG147" i="6" s="1"/>
  <c r="AA148" i="6" s="1"/>
  <c r="AC148" i="6" s="1"/>
  <c r="AF149" i="3"/>
  <c r="AG149" i="3" s="1"/>
  <c r="C149" i="9" s="1"/>
  <c r="F296" i="11"/>
  <c r="X299" i="3"/>
  <c r="V299" i="3"/>
  <c r="F297" i="4"/>
  <c r="P297" i="4" s="1"/>
  <c r="E297" i="11"/>
  <c r="H296" i="4"/>
  <c r="G299" i="6"/>
  <c r="W299" i="6"/>
  <c r="M301" i="3"/>
  <c r="N301" i="3" s="1"/>
  <c r="O301" i="3" s="1"/>
  <c r="T301" i="3" s="1"/>
  <c r="L302" i="3"/>
  <c r="M300" i="6"/>
  <c r="N300" i="6" s="1"/>
  <c r="O300" i="6" s="1"/>
  <c r="T300" i="6" s="1"/>
  <c r="L301" i="6"/>
  <c r="I300" i="3"/>
  <c r="K300" i="3" s="1"/>
  <c r="F300" i="6"/>
  <c r="K299" i="6"/>
  <c r="F299" i="3"/>
  <c r="G299" i="3" s="1"/>
  <c r="W298" i="3"/>
  <c r="Z298" i="3" s="1"/>
  <c r="Z297" i="6"/>
  <c r="D297" i="11"/>
  <c r="U300" i="3"/>
  <c r="C298" i="11"/>
  <c r="U299" i="6"/>
  <c r="H295" i="4"/>
  <c r="X298" i="6"/>
  <c r="V298" i="6"/>
  <c r="C298" i="4" s="1"/>
  <c r="H301" i="6"/>
  <c r="I300" i="6"/>
  <c r="E122" i="9" l="1"/>
  <c r="M12" i="10" s="1"/>
  <c r="G123" i="4"/>
  <c r="J123" i="4" s="1"/>
  <c r="AJ297" i="6"/>
  <c r="AH298" i="3"/>
  <c r="AJ298" i="3" s="1"/>
  <c r="AH298" i="6"/>
  <c r="D147" i="9"/>
  <c r="AA150" i="3"/>
  <c r="AC150" i="3" s="1"/>
  <c r="AD150" i="3" s="1"/>
  <c r="AE150" i="3" s="1"/>
  <c r="F297" i="11"/>
  <c r="F301" i="6"/>
  <c r="K300" i="6"/>
  <c r="X299" i="6"/>
  <c r="V299" i="6"/>
  <c r="C299" i="4" s="1"/>
  <c r="F300" i="3"/>
  <c r="G300" i="3" s="1"/>
  <c r="U301" i="3"/>
  <c r="I301" i="6"/>
  <c r="H302" i="6"/>
  <c r="F298" i="4"/>
  <c r="P298" i="4" s="1"/>
  <c r="E298" i="11"/>
  <c r="M301" i="6"/>
  <c r="N301" i="6" s="1"/>
  <c r="O301" i="6" s="1"/>
  <c r="T301" i="6" s="1"/>
  <c r="L302" i="6"/>
  <c r="X300" i="3"/>
  <c r="V300" i="3"/>
  <c r="U300" i="6"/>
  <c r="M302" i="3"/>
  <c r="N302" i="3" s="1"/>
  <c r="O302" i="3" s="1"/>
  <c r="T302" i="3" s="1"/>
  <c r="L303" i="3"/>
  <c r="Z298" i="6"/>
  <c r="D298" i="11"/>
  <c r="H297" i="4"/>
  <c r="C299" i="11"/>
  <c r="W299" i="3"/>
  <c r="Z299" i="3" s="1"/>
  <c r="AH299" i="3" s="1"/>
  <c r="AD148" i="6"/>
  <c r="AE148" i="6" s="1"/>
  <c r="AF148" i="6"/>
  <c r="W300" i="6"/>
  <c r="G300" i="6"/>
  <c r="I301" i="3"/>
  <c r="K301" i="3" s="1"/>
  <c r="K123" i="4" l="1"/>
  <c r="L123" i="4" s="1"/>
  <c r="M123" i="4"/>
  <c r="AJ298" i="6"/>
  <c r="AF150" i="3"/>
  <c r="AG150" i="3" s="1"/>
  <c r="AA151" i="3" s="1"/>
  <c r="AC151" i="3" s="1"/>
  <c r="AJ299" i="3"/>
  <c r="AH299" i="6"/>
  <c r="F298" i="11"/>
  <c r="AG148" i="6"/>
  <c r="AA149" i="6" s="1"/>
  <c r="AC149" i="6" s="1"/>
  <c r="X300" i="6"/>
  <c r="V300" i="6"/>
  <c r="W300" i="3"/>
  <c r="Z300" i="3" s="1"/>
  <c r="I302" i="6"/>
  <c r="H303" i="6"/>
  <c r="I302" i="3"/>
  <c r="K302" i="3" s="1"/>
  <c r="F302" i="6"/>
  <c r="K301" i="6"/>
  <c r="H298" i="4"/>
  <c r="X301" i="3"/>
  <c r="V301" i="3"/>
  <c r="F301" i="3"/>
  <c r="G301" i="3" s="1"/>
  <c r="M303" i="3"/>
  <c r="N303" i="3" s="1"/>
  <c r="O303" i="3" s="1"/>
  <c r="T303" i="3" s="1"/>
  <c r="L304" i="3"/>
  <c r="U302" i="3"/>
  <c r="C300" i="11"/>
  <c r="D299" i="11"/>
  <c r="Z299" i="6"/>
  <c r="M302" i="6"/>
  <c r="N302" i="6" s="1"/>
  <c r="O302" i="6" s="1"/>
  <c r="T302" i="6" s="1"/>
  <c r="L303" i="6"/>
  <c r="E299" i="11"/>
  <c r="F299" i="4"/>
  <c r="P299" i="4" s="1"/>
  <c r="U301" i="6"/>
  <c r="W301" i="6"/>
  <c r="G301" i="6"/>
  <c r="N123" i="4" l="1"/>
  <c r="AJ299" i="6"/>
  <c r="AH300" i="3"/>
  <c r="AJ300" i="3" s="1"/>
  <c r="AH300" i="6"/>
  <c r="D148" i="9"/>
  <c r="F299" i="11"/>
  <c r="C150" i="9"/>
  <c r="X301" i="6"/>
  <c r="V301" i="6"/>
  <c r="C301" i="4" s="1"/>
  <c r="W302" i="6"/>
  <c r="G302" i="6"/>
  <c r="I303" i="3"/>
  <c r="K303" i="3" s="1"/>
  <c r="F302" i="3"/>
  <c r="G302" i="3" s="1"/>
  <c r="I303" i="6"/>
  <c r="H304" i="6"/>
  <c r="F303" i="6"/>
  <c r="K302" i="6"/>
  <c r="M304" i="3"/>
  <c r="N304" i="3" s="1"/>
  <c r="O304" i="3" s="1"/>
  <c r="T304" i="3" s="1"/>
  <c r="L305" i="3"/>
  <c r="H299" i="4"/>
  <c r="AF149" i="6"/>
  <c r="AD149" i="6"/>
  <c r="AE149" i="6" s="1"/>
  <c r="L304" i="6"/>
  <c r="M303" i="6"/>
  <c r="N303" i="6" s="1"/>
  <c r="O303" i="6" s="1"/>
  <c r="T303" i="6" s="1"/>
  <c r="U303" i="3"/>
  <c r="C301" i="11"/>
  <c r="U302" i="6"/>
  <c r="X302" i="3"/>
  <c r="V302" i="3"/>
  <c r="W301" i="3"/>
  <c r="Z301" i="3" s="1"/>
  <c r="AH301" i="6" s="1"/>
  <c r="Z300" i="6"/>
  <c r="D300" i="11"/>
  <c r="C300" i="4"/>
  <c r="AD151" i="3"/>
  <c r="AE151" i="3" s="1"/>
  <c r="AF151" i="3"/>
  <c r="E123" i="9" l="1"/>
  <c r="G124" i="4"/>
  <c r="J124" i="4" s="1"/>
  <c r="AH301" i="3"/>
  <c r="AJ301" i="3" s="1"/>
  <c r="AJ300" i="6"/>
  <c r="AG149" i="6"/>
  <c r="AA150" i="6" s="1"/>
  <c r="AC150" i="6" s="1"/>
  <c r="AG151" i="3"/>
  <c r="AA152" i="3" s="1"/>
  <c r="AC152" i="3" s="1"/>
  <c r="X302" i="6"/>
  <c r="V302" i="6"/>
  <c r="X303" i="3"/>
  <c r="V303" i="3"/>
  <c r="W303" i="6"/>
  <c r="G303" i="6"/>
  <c r="H305" i="6"/>
  <c r="I304" i="6"/>
  <c r="K303" i="6"/>
  <c r="F304" i="6"/>
  <c r="E301" i="11"/>
  <c r="F301" i="4"/>
  <c r="P301" i="4" s="1"/>
  <c r="W302" i="3"/>
  <c r="Z302" i="3" s="1"/>
  <c r="AH302" i="6" s="1"/>
  <c r="F300" i="4"/>
  <c r="P300" i="4" s="1"/>
  <c r="E300" i="11"/>
  <c r="F300" i="11" s="1"/>
  <c r="M304" i="6"/>
  <c r="N304" i="6" s="1"/>
  <c r="O304" i="6" s="1"/>
  <c r="T304" i="6" s="1"/>
  <c r="L305" i="6"/>
  <c r="I304" i="3"/>
  <c r="K304" i="3" s="1"/>
  <c r="F303" i="3"/>
  <c r="G303" i="3" s="1"/>
  <c r="C302" i="11"/>
  <c r="U303" i="6"/>
  <c r="Z301" i="6"/>
  <c r="AJ301" i="6" s="1"/>
  <c r="D301" i="11"/>
  <c r="M305" i="3"/>
  <c r="N305" i="3" s="1"/>
  <c r="O305" i="3" s="1"/>
  <c r="T305" i="3" s="1"/>
  <c r="L306" i="3"/>
  <c r="U304" i="3"/>
  <c r="K124" i="4" l="1"/>
  <c r="L124" i="4" s="1"/>
  <c r="AH302" i="3"/>
  <c r="AJ302" i="3" s="1"/>
  <c r="D149" i="9"/>
  <c r="C151" i="9"/>
  <c r="F301" i="11"/>
  <c r="X303" i="6"/>
  <c r="V303" i="6"/>
  <c r="C303" i="4" s="1"/>
  <c r="X304" i="3"/>
  <c r="V304" i="3"/>
  <c r="F305" i="6"/>
  <c r="K304" i="6"/>
  <c r="I305" i="3"/>
  <c r="K305" i="3" s="1"/>
  <c r="M306" i="3"/>
  <c r="N306" i="3" s="1"/>
  <c r="O306" i="3" s="1"/>
  <c r="T306" i="3" s="1"/>
  <c r="L307" i="3"/>
  <c r="U305" i="3"/>
  <c r="AF150" i="6"/>
  <c r="AD150" i="6"/>
  <c r="AE150" i="6" s="1"/>
  <c r="H300" i="4"/>
  <c r="AD152" i="3"/>
  <c r="AE152" i="3" s="1"/>
  <c r="AF152" i="3"/>
  <c r="M305" i="6"/>
  <c r="N305" i="6" s="1"/>
  <c r="O305" i="6" s="1"/>
  <c r="T305" i="6" s="1"/>
  <c r="L306" i="6"/>
  <c r="C303" i="11"/>
  <c r="U304" i="6"/>
  <c r="H301" i="4"/>
  <c r="W303" i="3"/>
  <c r="Z303" i="3" s="1"/>
  <c r="AH303" i="3" s="1"/>
  <c r="F304" i="3"/>
  <c r="G304" i="3" s="1"/>
  <c r="D302" i="11"/>
  <c r="Z302" i="6"/>
  <c r="AJ302" i="6" s="1"/>
  <c r="W304" i="6"/>
  <c r="G304" i="6"/>
  <c r="I305" i="6"/>
  <c r="H306" i="6"/>
  <c r="C302" i="4"/>
  <c r="M124" i="4" l="1"/>
  <c r="N124" i="4" s="1"/>
  <c r="AJ303" i="3"/>
  <c r="AH303" i="6"/>
  <c r="AG150" i="6"/>
  <c r="AA151" i="6" s="1"/>
  <c r="AC151" i="6" s="1"/>
  <c r="AG152" i="3"/>
  <c r="AA153" i="3" s="1"/>
  <c r="AC153" i="3" s="1"/>
  <c r="X304" i="6"/>
  <c r="V304" i="6"/>
  <c r="C304" i="4" s="1"/>
  <c r="X305" i="3"/>
  <c r="V305" i="3"/>
  <c r="F302" i="4"/>
  <c r="P302" i="4" s="1"/>
  <c r="E302" i="11"/>
  <c r="F302" i="11" s="1"/>
  <c r="M307" i="3"/>
  <c r="N307" i="3" s="1"/>
  <c r="O307" i="3" s="1"/>
  <c r="T307" i="3" s="1"/>
  <c r="L308" i="3"/>
  <c r="I306" i="3"/>
  <c r="K306" i="3" s="1"/>
  <c r="M306" i="6"/>
  <c r="N306" i="6" s="1"/>
  <c r="O306" i="6" s="1"/>
  <c r="T306" i="6" s="1"/>
  <c r="L307" i="6"/>
  <c r="G305" i="6"/>
  <c r="W305" i="6"/>
  <c r="F306" i="6"/>
  <c r="K305" i="6"/>
  <c r="C304" i="11"/>
  <c r="H307" i="6"/>
  <c r="I306" i="6"/>
  <c r="U305" i="6"/>
  <c r="D303" i="11"/>
  <c r="Z303" i="6"/>
  <c r="U306" i="3"/>
  <c r="E303" i="11"/>
  <c r="F303" i="4"/>
  <c r="P303" i="4" s="1"/>
  <c r="F305" i="3"/>
  <c r="G305" i="3" s="1"/>
  <c r="W304" i="3"/>
  <c r="Z304" i="3" s="1"/>
  <c r="AH304" i="6" s="1"/>
  <c r="E124" i="9" l="1"/>
  <c r="G125" i="4"/>
  <c r="J125" i="4" s="1"/>
  <c r="D150" i="9"/>
  <c r="AH304" i="3"/>
  <c r="AJ304" i="3" s="1"/>
  <c r="AJ303" i="6"/>
  <c r="C152" i="9"/>
  <c r="F303" i="11"/>
  <c r="X305" i="6"/>
  <c r="V305" i="6"/>
  <c r="C305" i="4" s="1"/>
  <c r="H302" i="4"/>
  <c r="AF153" i="3"/>
  <c r="AD153" i="3"/>
  <c r="AE153" i="3" s="1"/>
  <c r="W305" i="3"/>
  <c r="Z305" i="3" s="1"/>
  <c r="C305" i="11"/>
  <c r="W306" i="6"/>
  <c r="G306" i="6"/>
  <c r="Z304" i="6"/>
  <c r="AJ304" i="6" s="1"/>
  <c r="D304" i="11"/>
  <c r="U307" i="3"/>
  <c r="M308" i="3"/>
  <c r="N308" i="3" s="1"/>
  <c r="O308" i="3" s="1"/>
  <c r="T308" i="3" s="1"/>
  <c r="L309" i="3"/>
  <c r="F307" i="6"/>
  <c r="K306" i="6"/>
  <c r="H308" i="6"/>
  <c r="I307" i="6"/>
  <c r="E304" i="11"/>
  <c r="F304" i="4"/>
  <c r="P304" i="4" s="1"/>
  <c r="H303" i="4"/>
  <c r="X306" i="3"/>
  <c r="V306" i="3"/>
  <c r="M307" i="6"/>
  <c r="N307" i="6" s="1"/>
  <c r="O307" i="6" s="1"/>
  <c r="T307" i="6" s="1"/>
  <c r="L308" i="6"/>
  <c r="U306" i="6"/>
  <c r="I307" i="3"/>
  <c r="K307" i="3" s="1"/>
  <c r="F306" i="3"/>
  <c r="G306" i="3" s="1"/>
  <c r="AD151" i="6"/>
  <c r="AE151" i="6" s="1"/>
  <c r="AF151" i="6"/>
  <c r="M125" i="4" l="1"/>
  <c r="AH305" i="3"/>
  <c r="AJ305" i="3" s="1"/>
  <c r="AH305" i="6"/>
  <c r="AG151" i="6"/>
  <c r="AA152" i="6" s="1"/>
  <c r="AC152" i="6" s="1"/>
  <c r="AG153" i="3"/>
  <c r="AA154" i="3" s="1"/>
  <c r="AC154" i="3" s="1"/>
  <c r="F304" i="11"/>
  <c r="X307" i="3"/>
  <c r="V307" i="3"/>
  <c r="X306" i="6"/>
  <c r="V306" i="6"/>
  <c r="C306" i="4" s="1"/>
  <c r="I308" i="6"/>
  <c r="H309" i="6"/>
  <c r="I308" i="3"/>
  <c r="K308" i="3" s="1"/>
  <c r="H304" i="4"/>
  <c r="F308" i="6"/>
  <c r="K307" i="6"/>
  <c r="W307" i="6"/>
  <c r="G307" i="6"/>
  <c r="M309" i="3"/>
  <c r="N309" i="3" s="1"/>
  <c r="O309" i="3" s="1"/>
  <c r="T309" i="3" s="1"/>
  <c r="L310" i="3"/>
  <c r="U308" i="3"/>
  <c r="U307" i="6"/>
  <c r="W306" i="3"/>
  <c r="Z306" i="3" s="1"/>
  <c r="E305" i="11"/>
  <c r="F305" i="4"/>
  <c r="P305" i="4" s="1"/>
  <c r="F307" i="3"/>
  <c r="G307" i="3" s="1"/>
  <c r="M308" i="6"/>
  <c r="N308" i="6" s="1"/>
  <c r="O308" i="6" s="1"/>
  <c r="T308" i="6" s="1"/>
  <c r="L309" i="6"/>
  <c r="Z305" i="6"/>
  <c r="D305" i="11"/>
  <c r="C306" i="11"/>
  <c r="K125" i="4" l="1"/>
  <c r="L125" i="4" s="1"/>
  <c r="N125" i="4" s="1"/>
  <c r="D151" i="9"/>
  <c r="C153" i="9"/>
  <c r="AJ305" i="6"/>
  <c r="AH306" i="3"/>
  <c r="AJ306" i="3" s="1"/>
  <c r="AH306" i="6"/>
  <c r="F305" i="11"/>
  <c r="X307" i="6"/>
  <c r="V307" i="6"/>
  <c r="I309" i="3"/>
  <c r="K309" i="3" s="1"/>
  <c r="I309" i="6"/>
  <c r="H310" i="6"/>
  <c r="X308" i="3"/>
  <c r="V308" i="3"/>
  <c r="D306" i="11"/>
  <c r="Z306" i="6"/>
  <c r="F308" i="3"/>
  <c r="G308" i="3" s="1"/>
  <c r="M310" i="3"/>
  <c r="N310" i="3" s="1"/>
  <c r="O310" i="3" s="1"/>
  <c r="T310" i="3" s="1"/>
  <c r="L311" i="3"/>
  <c r="AD154" i="3"/>
  <c r="AE154" i="3" s="1"/>
  <c r="AF154" i="3"/>
  <c r="F306" i="4"/>
  <c r="P306" i="4" s="1"/>
  <c r="E306" i="11"/>
  <c r="F309" i="6"/>
  <c r="K308" i="6"/>
  <c r="M309" i="6"/>
  <c r="N309" i="6" s="1"/>
  <c r="O309" i="6" s="1"/>
  <c r="T309" i="6" s="1"/>
  <c r="L310" i="6"/>
  <c r="U309" i="3"/>
  <c r="C307" i="11"/>
  <c r="W308" i="6"/>
  <c r="G308" i="6"/>
  <c r="U308" i="6"/>
  <c r="W307" i="3"/>
  <c r="Z307" i="3" s="1"/>
  <c r="AH307" i="3" s="1"/>
  <c r="H305" i="4"/>
  <c r="AF152" i="6"/>
  <c r="AD152" i="6"/>
  <c r="AE152" i="6" s="1"/>
  <c r="E125" i="9" l="1"/>
  <c r="G126" i="4"/>
  <c r="J126" i="4" s="1"/>
  <c r="AJ307" i="3"/>
  <c r="AH307" i="6"/>
  <c r="AJ306" i="6"/>
  <c r="AG152" i="6"/>
  <c r="AA153" i="6" s="1"/>
  <c r="AC153" i="6" s="1"/>
  <c r="AG154" i="3"/>
  <c r="AA155" i="3" s="1"/>
  <c r="AC155" i="3" s="1"/>
  <c r="F306" i="11"/>
  <c r="X308" i="6"/>
  <c r="V308" i="6"/>
  <c r="C308" i="4" s="1"/>
  <c r="X309" i="3"/>
  <c r="V309" i="3"/>
  <c r="U309" i="6"/>
  <c r="H311" i="6"/>
  <c r="I310" i="6"/>
  <c r="W308" i="3"/>
  <c r="Z308" i="3" s="1"/>
  <c r="AH308" i="3" s="1"/>
  <c r="M310" i="6"/>
  <c r="N310" i="6" s="1"/>
  <c r="O310" i="6" s="1"/>
  <c r="T310" i="6" s="1"/>
  <c r="L311" i="6"/>
  <c r="F310" i="6"/>
  <c r="K309" i="6"/>
  <c r="I310" i="3"/>
  <c r="K310" i="3" s="1"/>
  <c r="W309" i="6"/>
  <c r="G309" i="6"/>
  <c r="H306" i="4"/>
  <c r="C308" i="11"/>
  <c r="Z307" i="6"/>
  <c r="D307" i="11"/>
  <c r="M311" i="3"/>
  <c r="N311" i="3" s="1"/>
  <c r="O311" i="3" s="1"/>
  <c r="T311" i="3" s="1"/>
  <c r="L312" i="3"/>
  <c r="F309" i="3"/>
  <c r="G309" i="3" s="1"/>
  <c r="C307" i="4"/>
  <c r="U310" i="3"/>
  <c r="D152" i="9" l="1"/>
  <c r="K126" i="4"/>
  <c r="L126" i="4" s="1"/>
  <c r="AH308" i="6"/>
  <c r="AJ307" i="6"/>
  <c r="C154" i="9"/>
  <c r="AJ308" i="3"/>
  <c r="X310" i="3"/>
  <c r="V310" i="3"/>
  <c r="U310" i="6"/>
  <c r="E307" i="11"/>
  <c r="F307" i="11" s="1"/>
  <c r="F307" i="4"/>
  <c r="P307" i="4" s="1"/>
  <c r="F311" i="6"/>
  <c r="K310" i="6"/>
  <c r="X309" i="6"/>
  <c r="V309" i="6"/>
  <c r="W309" i="3"/>
  <c r="Z309" i="3" s="1"/>
  <c r="AH309" i="3" s="1"/>
  <c r="M312" i="3"/>
  <c r="N312" i="3" s="1"/>
  <c r="O312" i="3" s="1"/>
  <c r="T312" i="3" s="1"/>
  <c r="L313" i="3"/>
  <c r="E308" i="11"/>
  <c r="F308" i="4"/>
  <c r="P308" i="4" s="1"/>
  <c r="AF153" i="6"/>
  <c r="AD153" i="6"/>
  <c r="AE153" i="6" s="1"/>
  <c r="I311" i="3"/>
  <c r="K311" i="3" s="1"/>
  <c r="C309" i="11"/>
  <c r="Z308" i="6"/>
  <c r="AJ308" i="6" s="1"/>
  <c r="D308" i="11"/>
  <c r="H312" i="6"/>
  <c r="I311" i="6"/>
  <c r="U311" i="3"/>
  <c r="F310" i="3"/>
  <c r="G310" i="3" s="1"/>
  <c r="AD155" i="3"/>
  <c r="AE155" i="3" s="1"/>
  <c r="AF155" i="3"/>
  <c r="W310" i="6"/>
  <c r="G310" i="6"/>
  <c r="M311" i="6"/>
  <c r="N311" i="6" s="1"/>
  <c r="O311" i="6" s="1"/>
  <c r="T311" i="6" s="1"/>
  <c r="L312" i="6"/>
  <c r="M126" i="4" l="1"/>
  <c r="N126" i="4" s="1"/>
  <c r="F308" i="11"/>
  <c r="AJ309" i="3"/>
  <c r="AH309" i="6"/>
  <c r="AG153" i="6"/>
  <c r="AA154" i="6" s="1"/>
  <c r="AC154" i="6" s="1"/>
  <c r="AG155" i="3"/>
  <c r="AA156" i="3" s="1"/>
  <c r="AC156" i="3" s="1"/>
  <c r="I312" i="6"/>
  <c r="H313" i="6"/>
  <c r="U311" i="6"/>
  <c r="Z309" i="6"/>
  <c r="D309" i="11"/>
  <c r="F311" i="3"/>
  <c r="G311" i="3" s="1"/>
  <c r="M312" i="6"/>
  <c r="N312" i="6" s="1"/>
  <c r="O312" i="6" s="1"/>
  <c r="T312" i="6" s="1"/>
  <c r="L313" i="6"/>
  <c r="W311" i="6"/>
  <c r="G311" i="6"/>
  <c r="C310" i="11"/>
  <c r="X311" i="3"/>
  <c r="V311" i="3"/>
  <c r="C309" i="4"/>
  <c r="I312" i="3"/>
  <c r="K312" i="3" s="1"/>
  <c r="X310" i="6"/>
  <c r="V310" i="6"/>
  <c r="H308" i="4"/>
  <c r="M313" i="3"/>
  <c r="N313" i="3" s="1"/>
  <c r="O313" i="3" s="1"/>
  <c r="T313" i="3" s="1"/>
  <c r="L314" i="3"/>
  <c r="H307" i="4"/>
  <c r="W310" i="3"/>
  <c r="Z310" i="3" s="1"/>
  <c r="AH310" i="3" s="1"/>
  <c r="F312" i="6"/>
  <c r="K311" i="6"/>
  <c r="U312" i="3"/>
  <c r="G127" i="4" l="1"/>
  <c r="J127" i="4" s="1"/>
  <c r="E126" i="9"/>
  <c r="AJ309" i="6"/>
  <c r="D153" i="9"/>
  <c r="AJ310" i="3"/>
  <c r="AH310" i="6"/>
  <c r="C155" i="9"/>
  <c r="U313" i="3"/>
  <c r="AD154" i="6"/>
  <c r="AE154" i="6" s="1"/>
  <c r="AF154" i="6"/>
  <c r="D310" i="11"/>
  <c r="Z310" i="6"/>
  <c r="M313" i="6"/>
  <c r="N313" i="6" s="1"/>
  <c r="O313" i="6" s="1"/>
  <c r="T313" i="6" s="1"/>
  <c r="L314" i="6"/>
  <c r="I313" i="3"/>
  <c r="K313" i="3" s="1"/>
  <c r="X312" i="3"/>
  <c r="V312" i="3"/>
  <c r="W312" i="6"/>
  <c r="G312" i="6"/>
  <c r="W311" i="3"/>
  <c r="Z311" i="3" s="1"/>
  <c r="AH311" i="6" s="1"/>
  <c r="F313" i="6"/>
  <c r="K312" i="6"/>
  <c r="U312" i="6"/>
  <c r="F312" i="3"/>
  <c r="G312" i="3" s="1"/>
  <c r="F309" i="4"/>
  <c r="P309" i="4" s="1"/>
  <c r="E309" i="11"/>
  <c r="F309" i="11" s="1"/>
  <c r="X311" i="6"/>
  <c r="V311" i="6"/>
  <c r="C310" i="4"/>
  <c r="C311" i="11"/>
  <c r="H314" i="6"/>
  <c r="I313" i="6"/>
  <c r="M314" i="3"/>
  <c r="N314" i="3" s="1"/>
  <c r="O314" i="3" s="1"/>
  <c r="T314" i="3" s="1"/>
  <c r="L315" i="3"/>
  <c r="AF156" i="3"/>
  <c r="AD156" i="3"/>
  <c r="AE156" i="3" s="1"/>
  <c r="M127" i="4" l="1"/>
  <c r="K127" i="4"/>
  <c r="L127" i="4" s="1"/>
  <c r="AJ310" i="6"/>
  <c r="AH311" i="3"/>
  <c r="AJ311" i="3" s="1"/>
  <c r="AG154" i="6"/>
  <c r="D154" i="9" s="1"/>
  <c r="AG156" i="3"/>
  <c r="AA157" i="3" s="1"/>
  <c r="AC157" i="3" s="1"/>
  <c r="D311" i="11"/>
  <c r="Z311" i="6"/>
  <c r="AJ311" i="6" s="1"/>
  <c r="W312" i="3"/>
  <c r="Z312" i="3" s="1"/>
  <c r="M315" i="3"/>
  <c r="N315" i="3" s="1"/>
  <c r="O315" i="3" s="1"/>
  <c r="T315" i="3" s="1"/>
  <c r="L316" i="3"/>
  <c r="M314" i="6"/>
  <c r="N314" i="6" s="1"/>
  <c r="O314" i="6" s="1"/>
  <c r="T314" i="6" s="1"/>
  <c r="L315" i="6"/>
  <c r="U313" i="6"/>
  <c r="H309" i="4"/>
  <c r="H315" i="6"/>
  <c r="I314" i="6"/>
  <c r="U314" i="3"/>
  <c r="I314" i="3"/>
  <c r="K314" i="3" s="1"/>
  <c r="F314" i="6"/>
  <c r="K313" i="6"/>
  <c r="C312" i="11"/>
  <c r="F313" i="3"/>
  <c r="G313" i="3" s="1"/>
  <c r="X312" i="6"/>
  <c r="V312" i="6"/>
  <c r="C311" i="4"/>
  <c r="W313" i="6"/>
  <c r="G313" i="6"/>
  <c r="F310" i="4"/>
  <c r="P310" i="4" s="1"/>
  <c r="E310" i="11"/>
  <c r="F310" i="11" s="1"/>
  <c r="X313" i="3"/>
  <c r="V313" i="3"/>
  <c r="N127" i="4" l="1"/>
  <c r="AA155" i="6"/>
  <c r="AC155" i="6" s="1"/>
  <c r="E127" i="9"/>
  <c r="G128" i="4"/>
  <c r="J128" i="4" s="1"/>
  <c r="AH312" i="6"/>
  <c r="AH312" i="3"/>
  <c r="AJ312" i="3" s="1"/>
  <c r="C156" i="9"/>
  <c r="E311" i="11"/>
  <c r="F311" i="11" s="1"/>
  <c r="F311" i="4"/>
  <c r="P311" i="4" s="1"/>
  <c r="C313" i="11"/>
  <c r="F315" i="6"/>
  <c r="K314" i="6"/>
  <c r="X313" i="6"/>
  <c r="V313" i="6"/>
  <c r="D312" i="11"/>
  <c r="Z312" i="6"/>
  <c r="W313" i="3"/>
  <c r="Z313" i="3" s="1"/>
  <c r="AH313" i="6" s="1"/>
  <c r="U314" i="6"/>
  <c r="M315" i="6"/>
  <c r="N315" i="6" s="1"/>
  <c r="O315" i="6" s="1"/>
  <c r="T315" i="6" s="1"/>
  <c r="L316" i="6"/>
  <c r="H310" i="4"/>
  <c r="F314" i="3"/>
  <c r="G314" i="3" s="1"/>
  <c r="I315" i="6"/>
  <c r="H316" i="6"/>
  <c r="M316" i="3"/>
  <c r="N316" i="3" s="1"/>
  <c r="O316" i="3" s="1"/>
  <c r="T316" i="3" s="1"/>
  <c r="L317" i="3"/>
  <c r="C312" i="4"/>
  <c r="W314" i="6"/>
  <c r="G314" i="6"/>
  <c r="I315" i="3"/>
  <c r="K315" i="3" s="1"/>
  <c r="X314" i="3"/>
  <c r="V314" i="3"/>
  <c r="U315" i="3"/>
  <c r="AD155" i="6"/>
  <c r="AE155" i="6" s="1"/>
  <c r="AF155" i="6"/>
  <c r="AD157" i="3"/>
  <c r="AE157" i="3" s="1"/>
  <c r="AF157" i="3"/>
  <c r="M128" i="4" l="1"/>
  <c r="AH313" i="3"/>
  <c r="AJ313" i="3" s="1"/>
  <c r="AJ312" i="6"/>
  <c r="AG157" i="3"/>
  <c r="AA158" i="3" s="1"/>
  <c r="AC158" i="3" s="1"/>
  <c r="AG155" i="6"/>
  <c r="AA156" i="6" s="1"/>
  <c r="AC156" i="6" s="1"/>
  <c r="X315" i="3"/>
  <c r="V315" i="3"/>
  <c r="M317" i="3"/>
  <c r="N317" i="3" s="1"/>
  <c r="O317" i="3" s="1"/>
  <c r="T317" i="3" s="1"/>
  <c r="L318" i="3"/>
  <c r="E312" i="11"/>
  <c r="F312" i="11" s="1"/>
  <c r="F312" i="4"/>
  <c r="P312" i="4" s="1"/>
  <c r="Z313" i="6"/>
  <c r="AJ313" i="6" s="1"/>
  <c r="D313" i="11"/>
  <c r="U316" i="3"/>
  <c r="H317" i="6"/>
  <c r="I316" i="6"/>
  <c r="C313" i="4"/>
  <c r="U315" i="6"/>
  <c r="C314" i="11"/>
  <c r="X314" i="6"/>
  <c r="V314" i="6"/>
  <c r="C314" i="4" s="1"/>
  <c r="H311" i="4"/>
  <c r="K315" i="6"/>
  <c r="F316" i="6"/>
  <c r="W314" i="3"/>
  <c r="Z314" i="3" s="1"/>
  <c r="W315" i="6"/>
  <c r="G315" i="6"/>
  <c r="I316" i="3"/>
  <c r="K316" i="3" s="1"/>
  <c r="M316" i="6"/>
  <c r="N316" i="6" s="1"/>
  <c r="O316" i="6" s="1"/>
  <c r="T316" i="6" s="1"/>
  <c r="L317" i="6"/>
  <c r="F315" i="3"/>
  <c r="G315" i="3" s="1"/>
  <c r="K128" i="4" l="1"/>
  <c r="L128" i="4" s="1"/>
  <c r="N128" i="4" s="1"/>
  <c r="C157" i="9"/>
  <c r="D155" i="9"/>
  <c r="AH314" i="3"/>
  <c r="AJ314" i="3" s="1"/>
  <c r="AH314" i="6"/>
  <c r="X316" i="3"/>
  <c r="V316" i="3"/>
  <c r="W315" i="3"/>
  <c r="Z315" i="3" s="1"/>
  <c r="AH315" i="3" s="1"/>
  <c r="M317" i="6"/>
  <c r="N317" i="6" s="1"/>
  <c r="O317" i="6" s="1"/>
  <c r="T317" i="6" s="1"/>
  <c r="L318" i="6"/>
  <c r="H312" i="4"/>
  <c r="U317" i="3"/>
  <c r="F316" i="3"/>
  <c r="G316" i="3" s="1"/>
  <c r="E314" i="11"/>
  <c r="F314" i="4"/>
  <c r="P314" i="4" s="1"/>
  <c r="X315" i="6"/>
  <c r="V315" i="6"/>
  <c r="C315" i="4" s="1"/>
  <c r="I317" i="3"/>
  <c r="K317" i="3" s="1"/>
  <c r="M318" i="3"/>
  <c r="N318" i="3" s="1"/>
  <c r="O318" i="3" s="1"/>
  <c r="T318" i="3" s="1"/>
  <c r="L319" i="3"/>
  <c r="F313" i="4"/>
  <c r="P313" i="4" s="1"/>
  <c r="E313" i="11"/>
  <c r="F313" i="11" s="1"/>
  <c r="F317" i="6"/>
  <c r="K316" i="6"/>
  <c r="U316" i="6"/>
  <c r="C315" i="11"/>
  <c r="W316" i="6"/>
  <c r="G316" i="6"/>
  <c r="AF156" i="6"/>
  <c r="AD156" i="6"/>
  <c r="AE156" i="6" s="1"/>
  <c r="Z314" i="6"/>
  <c r="D314" i="11"/>
  <c r="I317" i="6"/>
  <c r="H318" i="6"/>
  <c r="AD158" i="3"/>
  <c r="AE158" i="3" s="1"/>
  <c r="AF158" i="3"/>
  <c r="E128" i="9" l="1"/>
  <c r="G129" i="4"/>
  <c r="J129" i="4" s="1"/>
  <c r="AJ314" i="6"/>
  <c r="F314" i="11"/>
  <c r="AJ315" i="3"/>
  <c r="AH315" i="6"/>
  <c r="AG156" i="6"/>
  <c r="AA157" i="6" s="1"/>
  <c r="AC157" i="6" s="1"/>
  <c r="AG158" i="3"/>
  <c r="C158" i="9" s="1"/>
  <c r="C15" i="10" s="1"/>
  <c r="X317" i="3"/>
  <c r="V317" i="3"/>
  <c r="X316" i="6"/>
  <c r="V316" i="6"/>
  <c r="C316" i="4" s="1"/>
  <c r="E315" i="11"/>
  <c r="F315" i="4"/>
  <c r="P315" i="4" s="1"/>
  <c r="W317" i="6"/>
  <c r="G317" i="6"/>
  <c r="I318" i="6"/>
  <c r="H319" i="6"/>
  <c r="F318" i="6"/>
  <c r="K317" i="6"/>
  <c r="H313" i="4"/>
  <c r="U318" i="3"/>
  <c r="M318" i="6"/>
  <c r="N318" i="6" s="1"/>
  <c r="O318" i="6" s="1"/>
  <c r="T318" i="6" s="1"/>
  <c r="L319" i="6"/>
  <c r="I318" i="3"/>
  <c r="K318" i="3" s="1"/>
  <c r="U317" i="6"/>
  <c r="M319" i="3"/>
  <c r="N319" i="3" s="1"/>
  <c r="O319" i="3" s="1"/>
  <c r="T319" i="3" s="1"/>
  <c r="L320" i="3"/>
  <c r="H314" i="4"/>
  <c r="W316" i="3"/>
  <c r="Z316" i="3" s="1"/>
  <c r="F317" i="3"/>
  <c r="G317" i="3" s="1"/>
  <c r="Z315" i="6"/>
  <c r="D315" i="11"/>
  <c r="C316" i="11"/>
  <c r="K129" i="4" l="1"/>
  <c r="L129" i="4" s="1"/>
  <c r="M129" i="4"/>
  <c r="AA159" i="3"/>
  <c r="AC159" i="3" s="1"/>
  <c r="AD159" i="3" s="1"/>
  <c r="AE159" i="3" s="1"/>
  <c r="AJ315" i="6"/>
  <c r="AH316" i="3"/>
  <c r="AJ316" i="3" s="1"/>
  <c r="AH316" i="6"/>
  <c r="D156" i="9"/>
  <c r="F315" i="11"/>
  <c r="X318" i="3"/>
  <c r="V318" i="3"/>
  <c r="U319" i="3"/>
  <c r="F316" i="4"/>
  <c r="P316" i="4" s="1"/>
  <c r="E316" i="11"/>
  <c r="I319" i="3"/>
  <c r="K319" i="3" s="1"/>
  <c r="F319" i="6"/>
  <c r="K318" i="6"/>
  <c r="F318" i="3"/>
  <c r="G318" i="3" s="1"/>
  <c r="M319" i="6"/>
  <c r="N319" i="6" s="1"/>
  <c r="O319" i="6" s="1"/>
  <c r="T319" i="6" s="1"/>
  <c r="L320" i="6"/>
  <c r="H320" i="6"/>
  <c r="I319" i="6"/>
  <c r="U318" i="6"/>
  <c r="X317" i="6"/>
  <c r="V317" i="6"/>
  <c r="C317" i="4" s="1"/>
  <c r="H315" i="4"/>
  <c r="Z316" i="6"/>
  <c r="D316" i="11"/>
  <c r="C317" i="11"/>
  <c r="AD157" i="6"/>
  <c r="AE157" i="6" s="1"/>
  <c r="AF157" i="6"/>
  <c r="W317" i="3"/>
  <c r="Z317" i="3" s="1"/>
  <c r="AH317" i="3" s="1"/>
  <c r="M320" i="3"/>
  <c r="N320" i="3" s="1"/>
  <c r="O320" i="3" s="1"/>
  <c r="T320" i="3" s="1"/>
  <c r="L321" i="3"/>
  <c r="W318" i="6"/>
  <c r="G318" i="6"/>
  <c r="N129" i="4" l="1"/>
  <c r="E129" i="9" s="1"/>
  <c r="AF159" i="3"/>
  <c r="AG159" i="3" s="1"/>
  <c r="AA160" i="3" s="1"/>
  <c r="AC160" i="3" s="1"/>
  <c r="AJ316" i="6"/>
  <c r="AJ317" i="3"/>
  <c r="AH317" i="6"/>
  <c r="AG157" i="6"/>
  <c r="AA158" i="6" s="1"/>
  <c r="AC158" i="6" s="1"/>
  <c r="F316" i="11"/>
  <c r="M321" i="3"/>
  <c r="N321" i="3" s="1"/>
  <c r="O321" i="3" s="1"/>
  <c r="T321" i="3" s="1"/>
  <c r="L322" i="3"/>
  <c r="F317" i="4"/>
  <c r="P317" i="4" s="1"/>
  <c r="E317" i="11"/>
  <c r="U319" i="6"/>
  <c r="W318" i="3"/>
  <c r="Z318" i="3" s="1"/>
  <c r="W319" i="6"/>
  <c r="G319" i="6"/>
  <c r="I320" i="3"/>
  <c r="K320" i="3" s="1"/>
  <c r="D317" i="11"/>
  <c r="Z317" i="6"/>
  <c r="F319" i="3"/>
  <c r="G319" i="3" s="1"/>
  <c r="H316" i="4"/>
  <c r="X318" i="6"/>
  <c r="V318" i="6"/>
  <c r="X319" i="3"/>
  <c r="V319" i="3"/>
  <c r="F320" i="6"/>
  <c r="K319" i="6"/>
  <c r="C318" i="11"/>
  <c r="U320" i="3"/>
  <c r="I320" i="6"/>
  <c r="H321" i="6"/>
  <c r="M320" i="6"/>
  <c r="N320" i="6" s="1"/>
  <c r="O320" i="6" s="1"/>
  <c r="T320" i="6" s="1"/>
  <c r="L321" i="6"/>
  <c r="G130" i="4" l="1"/>
  <c r="J130" i="4" s="1"/>
  <c r="AJ317" i="6"/>
  <c r="AH318" i="3"/>
  <c r="AJ318" i="3" s="1"/>
  <c r="AH318" i="6"/>
  <c r="C159" i="9"/>
  <c r="D157" i="9"/>
  <c r="F317" i="11"/>
  <c r="X320" i="3"/>
  <c r="V320" i="3"/>
  <c r="C319" i="11"/>
  <c r="H322" i="6"/>
  <c r="I321" i="6"/>
  <c r="F321" i="6"/>
  <c r="K320" i="6"/>
  <c r="M321" i="6"/>
  <c r="N321" i="6" s="1"/>
  <c r="O321" i="6" s="1"/>
  <c r="T321" i="6" s="1"/>
  <c r="L322" i="6"/>
  <c r="D318" i="11"/>
  <c r="Z318" i="6"/>
  <c r="X319" i="6"/>
  <c r="V319" i="6"/>
  <c r="C319" i="4" s="1"/>
  <c r="U320" i="6"/>
  <c r="C318" i="4"/>
  <c r="W319" i="3"/>
  <c r="Z319" i="3" s="1"/>
  <c r="AH319" i="3" s="1"/>
  <c r="H317" i="4"/>
  <c r="M322" i="3"/>
  <c r="N322" i="3" s="1"/>
  <c r="O322" i="3" s="1"/>
  <c r="T322" i="3" s="1"/>
  <c r="L323" i="3"/>
  <c r="U321" i="3"/>
  <c r="W320" i="6"/>
  <c r="G320" i="6"/>
  <c r="I321" i="3"/>
  <c r="K321" i="3" s="1"/>
  <c r="AD160" i="3"/>
  <c r="AE160" i="3" s="1"/>
  <c r="AF160" i="3"/>
  <c r="F320" i="3"/>
  <c r="G320" i="3" s="1"/>
  <c r="AD158" i="6"/>
  <c r="AE158" i="6" s="1"/>
  <c r="AF158" i="6"/>
  <c r="M130" i="4" l="1"/>
  <c r="K130" i="4"/>
  <c r="L130" i="4" s="1"/>
  <c r="AJ318" i="6"/>
  <c r="AJ319" i="3"/>
  <c r="AH319" i="6"/>
  <c r="AG160" i="3"/>
  <c r="AA161" i="3" s="1"/>
  <c r="AC161" i="3" s="1"/>
  <c r="AG158" i="6"/>
  <c r="AA159" i="6" s="1"/>
  <c r="AC159" i="6" s="1"/>
  <c r="E319" i="11"/>
  <c r="F319" i="4"/>
  <c r="P319" i="4" s="1"/>
  <c r="X321" i="3"/>
  <c r="V321" i="3"/>
  <c r="U321" i="6"/>
  <c r="M323" i="3"/>
  <c r="N323" i="3" s="1"/>
  <c r="O323" i="3" s="1"/>
  <c r="T323" i="3" s="1"/>
  <c r="L324" i="3"/>
  <c r="W321" i="6"/>
  <c r="G321" i="6"/>
  <c r="F322" i="6"/>
  <c r="K321" i="6"/>
  <c r="I322" i="6"/>
  <c r="H323" i="6"/>
  <c r="M322" i="6"/>
  <c r="N322" i="6" s="1"/>
  <c r="O322" i="6" s="1"/>
  <c r="T322" i="6" s="1"/>
  <c r="L323" i="6"/>
  <c r="W320" i="3"/>
  <c r="Z320" i="3" s="1"/>
  <c r="AH320" i="6" s="1"/>
  <c r="U322" i="3"/>
  <c r="I322" i="3"/>
  <c r="K322" i="3" s="1"/>
  <c r="C320" i="11"/>
  <c r="E318" i="11"/>
  <c r="F318" i="11" s="1"/>
  <c r="F318" i="4"/>
  <c r="P318" i="4" s="1"/>
  <c r="F321" i="3"/>
  <c r="G321" i="3" s="1"/>
  <c r="X320" i="6"/>
  <c r="V320" i="6"/>
  <c r="C320" i="4" s="1"/>
  <c r="D319" i="11"/>
  <c r="Z319" i="6"/>
  <c r="N130" i="4" l="1"/>
  <c r="E130" i="9" s="1"/>
  <c r="AJ319" i="6"/>
  <c r="F319" i="11"/>
  <c r="AH320" i="3"/>
  <c r="AJ320" i="3" s="1"/>
  <c r="C160" i="9"/>
  <c r="D158" i="9"/>
  <c r="H15" i="10" s="1"/>
  <c r="X321" i="6"/>
  <c r="V321" i="6"/>
  <c r="C321" i="4" s="1"/>
  <c r="I323" i="3"/>
  <c r="K323" i="3" s="1"/>
  <c r="M324" i="3"/>
  <c r="N324" i="3" s="1"/>
  <c r="O324" i="3" s="1"/>
  <c r="T324" i="3" s="1"/>
  <c r="L325" i="3"/>
  <c r="U323" i="3"/>
  <c r="F320" i="4"/>
  <c r="P320" i="4" s="1"/>
  <c r="E320" i="11"/>
  <c r="X322" i="3"/>
  <c r="V322" i="3"/>
  <c r="D320" i="11"/>
  <c r="Z320" i="6"/>
  <c r="AJ320" i="6" s="1"/>
  <c r="M323" i="6"/>
  <c r="N323" i="6" s="1"/>
  <c r="O323" i="6" s="1"/>
  <c r="T323" i="6" s="1"/>
  <c r="L324" i="6"/>
  <c r="U322" i="6"/>
  <c r="C321" i="11"/>
  <c r="F322" i="3"/>
  <c r="G322" i="3" s="1"/>
  <c r="H324" i="6"/>
  <c r="I323" i="6"/>
  <c r="F323" i="6"/>
  <c r="K322" i="6"/>
  <c r="AF161" i="3"/>
  <c r="AD161" i="3"/>
  <c r="AE161" i="3" s="1"/>
  <c r="AD159" i="6"/>
  <c r="AE159" i="6" s="1"/>
  <c r="AF159" i="6"/>
  <c r="W321" i="3"/>
  <c r="Z321" i="3" s="1"/>
  <c r="AH321" i="3" s="1"/>
  <c r="H318" i="4"/>
  <c r="W322" i="6"/>
  <c r="G322" i="6"/>
  <c r="H319" i="4"/>
  <c r="G131" i="4" l="1"/>
  <c r="J131" i="4" s="1"/>
  <c r="AJ321" i="3"/>
  <c r="AH321" i="6"/>
  <c r="AG161" i="3"/>
  <c r="C161" i="9" s="1"/>
  <c r="AG159" i="6"/>
  <c r="D159" i="9" s="1"/>
  <c r="F320" i="11"/>
  <c r="X322" i="6"/>
  <c r="V322" i="6"/>
  <c r="C322" i="4" s="1"/>
  <c r="E321" i="11"/>
  <c r="F321" i="4"/>
  <c r="P321" i="4" s="1"/>
  <c r="C322" i="11"/>
  <c r="F324" i="6"/>
  <c r="K323" i="6"/>
  <c r="W322" i="3"/>
  <c r="Z322" i="3" s="1"/>
  <c r="H320" i="4"/>
  <c r="X323" i="3"/>
  <c r="V323" i="3"/>
  <c r="M325" i="3"/>
  <c r="N325" i="3" s="1"/>
  <c r="O325" i="3" s="1"/>
  <c r="T325" i="3" s="1"/>
  <c r="L326" i="3"/>
  <c r="U324" i="3"/>
  <c r="W323" i="6"/>
  <c r="G323" i="6"/>
  <c r="I324" i="3"/>
  <c r="K324" i="3" s="1"/>
  <c r="F323" i="3"/>
  <c r="G323" i="3" s="1"/>
  <c r="H325" i="6"/>
  <c r="I324" i="6"/>
  <c r="M324" i="6"/>
  <c r="N324" i="6" s="1"/>
  <c r="O324" i="6" s="1"/>
  <c r="T324" i="6" s="1"/>
  <c r="L325" i="6"/>
  <c r="U323" i="6"/>
  <c r="D321" i="11"/>
  <c r="Z321" i="6"/>
  <c r="M131" i="4" l="1"/>
  <c r="K131" i="4"/>
  <c r="L131" i="4" s="1"/>
  <c r="AJ321" i="6"/>
  <c r="AH322" i="3"/>
  <c r="AJ322" i="3" s="1"/>
  <c r="AH322" i="6"/>
  <c r="AA162" i="3"/>
  <c r="AC162" i="3" s="1"/>
  <c r="AD162" i="3" s="1"/>
  <c r="AE162" i="3" s="1"/>
  <c r="AA160" i="6"/>
  <c r="AC160" i="6" s="1"/>
  <c r="AD160" i="6" s="1"/>
  <c r="AE160" i="6" s="1"/>
  <c r="F321" i="11"/>
  <c r="X324" i="3"/>
  <c r="V324" i="3"/>
  <c r="I325" i="3"/>
  <c r="K325" i="3" s="1"/>
  <c r="F324" i="3"/>
  <c r="G324" i="3" s="1"/>
  <c r="X323" i="6"/>
  <c r="V323" i="6"/>
  <c r="G324" i="6"/>
  <c r="W324" i="6"/>
  <c r="H326" i="6"/>
  <c r="I325" i="6"/>
  <c r="E322" i="11"/>
  <c r="F322" i="4"/>
  <c r="P322" i="4" s="1"/>
  <c r="M326" i="3"/>
  <c r="N326" i="3" s="1"/>
  <c r="O326" i="3" s="1"/>
  <c r="T326" i="3" s="1"/>
  <c r="L327" i="3"/>
  <c r="W323" i="3"/>
  <c r="Z323" i="3" s="1"/>
  <c r="H321" i="4"/>
  <c r="U324" i="6"/>
  <c r="U325" i="3"/>
  <c r="D322" i="11"/>
  <c r="Z322" i="6"/>
  <c r="M325" i="6"/>
  <c r="N325" i="6" s="1"/>
  <c r="O325" i="6" s="1"/>
  <c r="T325" i="6" s="1"/>
  <c r="L326" i="6"/>
  <c r="C323" i="11"/>
  <c r="F325" i="6"/>
  <c r="K324" i="6"/>
  <c r="N131" i="4" l="1"/>
  <c r="E131" i="9" s="1"/>
  <c r="AJ322" i="6"/>
  <c r="AH323" i="3"/>
  <c r="AJ323" i="3" s="1"/>
  <c r="AH323" i="6"/>
  <c r="AF162" i="3"/>
  <c r="AG162" i="3" s="1"/>
  <c r="AA163" i="3" s="1"/>
  <c r="AC163" i="3" s="1"/>
  <c r="AF160" i="6"/>
  <c r="AG160" i="6" s="1"/>
  <c r="F322" i="11"/>
  <c r="X325" i="3"/>
  <c r="V325" i="3"/>
  <c r="D323" i="11"/>
  <c r="Z323" i="6"/>
  <c r="I326" i="6"/>
  <c r="H327" i="6"/>
  <c r="M327" i="3"/>
  <c r="N327" i="3" s="1"/>
  <c r="O327" i="3" s="1"/>
  <c r="T327" i="3" s="1"/>
  <c r="L328" i="3"/>
  <c r="W324" i="3"/>
  <c r="Z324" i="3" s="1"/>
  <c r="AH324" i="6" s="1"/>
  <c r="H322" i="4"/>
  <c r="U326" i="3"/>
  <c r="C323" i="4"/>
  <c r="I326" i="3"/>
  <c r="K326" i="3" s="1"/>
  <c r="F325" i="3"/>
  <c r="G325" i="3" s="1"/>
  <c r="C324" i="11"/>
  <c r="M326" i="6"/>
  <c r="N326" i="6" s="1"/>
  <c r="O326" i="6" s="1"/>
  <c r="T326" i="6" s="1"/>
  <c r="L327" i="6"/>
  <c r="X324" i="6"/>
  <c r="V324" i="6"/>
  <c r="C324" i="4" s="1"/>
  <c r="U325" i="6"/>
  <c r="W325" i="6"/>
  <c r="G325" i="6"/>
  <c r="F326" i="6"/>
  <c r="K325" i="6"/>
  <c r="G132" i="4" l="1"/>
  <c r="J132" i="4" s="1"/>
  <c r="M132" i="4" s="1"/>
  <c r="AJ323" i="6"/>
  <c r="AH324" i="3"/>
  <c r="AJ324" i="3" s="1"/>
  <c r="D160" i="9"/>
  <c r="AA161" i="6"/>
  <c r="AC161" i="6" s="1"/>
  <c r="AF161" i="6" s="1"/>
  <c r="C162" i="9"/>
  <c r="X326" i="3"/>
  <c r="V326" i="3"/>
  <c r="W326" i="6"/>
  <c r="G326" i="6"/>
  <c r="M328" i="3"/>
  <c r="N328" i="3" s="1"/>
  <c r="O328" i="3" s="1"/>
  <c r="T328" i="3" s="1"/>
  <c r="L329" i="3"/>
  <c r="F324" i="4"/>
  <c r="P324" i="4" s="1"/>
  <c r="E324" i="11"/>
  <c r="U327" i="3"/>
  <c r="AD163" i="3"/>
  <c r="AE163" i="3" s="1"/>
  <c r="AF163" i="3"/>
  <c r="W325" i="3"/>
  <c r="Z325" i="3" s="1"/>
  <c r="H328" i="6"/>
  <c r="I327" i="6"/>
  <c r="F327" i="6"/>
  <c r="K326" i="6"/>
  <c r="L328" i="6"/>
  <c r="M327" i="6"/>
  <c r="N327" i="6" s="1"/>
  <c r="O327" i="6" s="1"/>
  <c r="T327" i="6" s="1"/>
  <c r="I327" i="3"/>
  <c r="K327" i="3" s="1"/>
  <c r="F326" i="3"/>
  <c r="G326" i="3" s="1"/>
  <c r="C325" i="11"/>
  <c r="U326" i="6"/>
  <c r="X325" i="6"/>
  <c r="V325" i="6"/>
  <c r="C325" i="4" s="1"/>
  <c r="F323" i="4"/>
  <c r="P323" i="4" s="1"/>
  <c r="E323" i="11"/>
  <c r="F323" i="11" s="1"/>
  <c r="D324" i="11"/>
  <c r="Z324" i="6"/>
  <c r="AJ324" i="6" s="1"/>
  <c r="K132" i="4" l="1"/>
  <c r="L132" i="4" s="1"/>
  <c r="N132" i="4" s="1"/>
  <c r="G133" i="4" s="1"/>
  <c r="J133" i="4" s="1"/>
  <c r="AH325" i="3"/>
  <c r="AJ325" i="3" s="1"/>
  <c r="AH325" i="6"/>
  <c r="AG163" i="3"/>
  <c r="AA164" i="3" s="1"/>
  <c r="AC164" i="3" s="1"/>
  <c r="AD161" i="6"/>
  <c r="AE161" i="6" s="1"/>
  <c r="AG161" i="6" s="1"/>
  <c r="AA162" i="6" s="1"/>
  <c r="AC162" i="6" s="1"/>
  <c r="F324" i="11"/>
  <c r="X326" i="6"/>
  <c r="V326" i="6"/>
  <c r="C326" i="4" s="1"/>
  <c r="X327" i="3"/>
  <c r="V327" i="3"/>
  <c r="W326" i="3"/>
  <c r="Z326" i="3" s="1"/>
  <c r="H324" i="4"/>
  <c r="F327" i="3"/>
  <c r="G327" i="3" s="1"/>
  <c r="M328" i="6"/>
  <c r="N328" i="6" s="1"/>
  <c r="O328" i="6" s="1"/>
  <c r="T328" i="6" s="1"/>
  <c r="L329" i="6"/>
  <c r="F325" i="4"/>
  <c r="P325" i="4" s="1"/>
  <c r="E325" i="11"/>
  <c r="M329" i="3"/>
  <c r="N329" i="3" s="1"/>
  <c r="O329" i="3" s="1"/>
  <c r="T329" i="3" s="1"/>
  <c r="L330" i="3"/>
  <c r="G327" i="6"/>
  <c r="W327" i="6"/>
  <c r="U328" i="3"/>
  <c r="U327" i="6"/>
  <c r="F328" i="6"/>
  <c r="K327" i="6"/>
  <c r="I328" i="3"/>
  <c r="K328" i="3" s="1"/>
  <c r="H323" i="4"/>
  <c r="H329" i="6"/>
  <c r="I328" i="6"/>
  <c r="C326" i="11"/>
  <c r="Z325" i="6"/>
  <c r="D325" i="11"/>
  <c r="E132" i="9" l="1"/>
  <c r="K133" i="4"/>
  <c r="L133" i="4" s="1"/>
  <c r="M133" i="4"/>
  <c r="C163" i="9"/>
  <c r="AJ325" i="6"/>
  <c r="AH326" i="3"/>
  <c r="AJ326" i="3" s="1"/>
  <c r="AH326" i="6"/>
  <c r="D161" i="9"/>
  <c r="F325" i="11"/>
  <c r="X328" i="3"/>
  <c r="V328" i="3"/>
  <c r="U328" i="6"/>
  <c r="W327" i="3"/>
  <c r="Z327" i="3" s="1"/>
  <c r="F326" i="4"/>
  <c r="P326" i="4" s="1"/>
  <c r="E326" i="11"/>
  <c r="AF162" i="6"/>
  <c r="AD162" i="6"/>
  <c r="AE162" i="6" s="1"/>
  <c r="W328" i="6"/>
  <c r="G328" i="6"/>
  <c r="M329" i="6"/>
  <c r="N329" i="6" s="1"/>
  <c r="O329" i="6" s="1"/>
  <c r="T329" i="6" s="1"/>
  <c r="L330" i="6"/>
  <c r="F329" i="6"/>
  <c r="K328" i="6"/>
  <c r="H330" i="6"/>
  <c r="I329" i="6"/>
  <c r="AD164" i="3"/>
  <c r="AE164" i="3" s="1"/>
  <c r="AF164" i="3"/>
  <c r="C327" i="11"/>
  <c r="X327" i="6"/>
  <c r="V327" i="6"/>
  <c r="C327" i="4" s="1"/>
  <c r="M330" i="3"/>
  <c r="N330" i="3" s="1"/>
  <c r="O330" i="3" s="1"/>
  <c r="T330" i="3" s="1"/>
  <c r="L331" i="3"/>
  <c r="U329" i="3"/>
  <c r="I329" i="3"/>
  <c r="K329" i="3" s="1"/>
  <c r="D326" i="11"/>
  <c r="Z326" i="6"/>
  <c r="F328" i="3"/>
  <c r="G328" i="3" s="1"/>
  <c r="H325" i="4"/>
  <c r="N133" i="4" l="1"/>
  <c r="E133" i="9" s="1"/>
  <c r="AJ326" i="6"/>
  <c r="AH327" i="3"/>
  <c r="AJ327" i="3" s="1"/>
  <c r="AH327" i="6"/>
  <c r="F326" i="11"/>
  <c r="AG164" i="3"/>
  <c r="AA165" i="3" s="1"/>
  <c r="AC165" i="3" s="1"/>
  <c r="AG162" i="6"/>
  <c r="AA163" i="6" s="1"/>
  <c r="AC163" i="6" s="1"/>
  <c r="X329" i="3"/>
  <c r="V329" i="3"/>
  <c r="X328" i="6"/>
  <c r="V328" i="6"/>
  <c r="C328" i="4" s="1"/>
  <c r="Z327" i="6"/>
  <c r="D327" i="11"/>
  <c r="H326" i="4"/>
  <c r="I330" i="3"/>
  <c r="K330" i="3" s="1"/>
  <c r="F330" i="6"/>
  <c r="K329" i="6"/>
  <c r="F329" i="3"/>
  <c r="G329" i="3" s="1"/>
  <c r="H331" i="6"/>
  <c r="I330" i="6"/>
  <c r="W328" i="3"/>
  <c r="Z328" i="3" s="1"/>
  <c r="C328" i="11"/>
  <c r="M331" i="3"/>
  <c r="N331" i="3" s="1"/>
  <c r="O331" i="3" s="1"/>
  <c r="T331" i="3" s="1"/>
  <c r="L332" i="3"/>
  <c r="W329" i="6"/>
  <c r="G329" i="6"/>
  <c r="U330" i="3"/>
  <c r="M330" i="6"/>
  <c r="N330" i="6" s="1"/>
  <c r="O330" i="6" s="1"/>
  <c r="T330" i="6" s="1"/>
  <c r="L331" i="6"/>
  <c r="E327" i="11"/>
  <c r="F327" i="4"/>
  <c r="P327" i="4" s="1"/>
  <c r="U329" i="6"/>
  <c r="G134" i="4" l="1"/>
  <c r="J134" i="4" s="1"/>
  <c r="K134" i="4" s="1"/>
  <c r="L134" i="4" s="1"/>
  <c r="AJ327" i="6"/>
  <c r="AH328" i="3"/>
  <c r="AJ328" i="3" s="1"/>
  <c r="AH328" i="6"/>
  <c r="C164" i="9"/>
  <c r="D162" i="9"/>
  <c r="F327" i="11"/>
  <c r="X330" i="3"/>
  <c r="V330" i="3"/>
  <c r="I331" i="3"/>
  <c r="K331" i="3" s="1"/>
  <c r="X329" i="6"/>
  <c r="V329" i="6"/>
  <c r="C329" i="4" s="1"/>
  <c r="M332" i="3"/>
  <c r="N332" i="3" s="1"/>
  <c r="O332" i="3" s="1"/>
  <c r="T332" i="3" s="1"/>
  <c r="L333" i="3"/>
  <c r="Z328" i="6"/>
  <c r="D328" i="11"/>
  <c r="W329" i="3"/>
  <c r="Z329" i="3" s="1"/>
  <c r="U331" i="3"/>
  <c r="E328" i="11"/>
  <c r="F328" i="4"/>
  <c r="P328" i="4" s="1"/>
  <c r="AF165" i="3"/>
  <c r="AD165" i="3"/>
  <c r="AE165" i="3" s="1"/>
  <c r="F330" i="3"/>
  <c r="G330" i="3" s="1"/>
  <c r="H327" i="4"/>
  <c r="F331" i="6"/>
  <c r="K330" i="6"/>
  <c r="M331" i="6"/>
  <c r="N331" i="6" s="1"/>
  <c r="O331" i="6" s="1"/>
  <c r="T331" i="6" s="1"/>
  <c r="L332" i="6"/>
  <c r="U330" i="6"/>
  <c r="H332" i="6"/>
  <c r="I331" i="6"/>
  <c r="AD163" i="6"/>
  <c r="AE163" i="6" s="1"/>
  <c r="AF163" i="6"/>
  <c r="C329" i="11"/>
  <c r="W330" i="6"/>
  <c r="G330" i="6"/>
  <c r="M134" i="4" l="1"/>
  <c r="N134" i="4" s="1"/>
  <c r="F328" i="11"/>
  <c r="AH329" i="3"/>
  <c r="AJ329" i="3" s="1"/>
  <c r="AJ328" i="6"/>
  <c r="AH329" i="6"/>
  <c r="AG163" i="6"/>
  <c r="AA164" i="6" s="1"/>
  <c r="AC164" i="6" s="1"/>
  <c r="AG165" i="3"/>
  <c r="AA166" i="3" s="1"/>
  <c r="AC166" i="3" s="1"/>
  <c r="X331" i="3"/>
  <c r="V331" i="3"/>
  <c r="X330" i="6"/>
  <c r="V330" i="6"/>
  <c r="F329" i="4"/>
  <c r="P329" i="4" s="1"/>
  <c r="E329" i="11"/>
  <c r="W331" i="6"/>
  <c r="G331" i="6"/>
  <c r="I332" i="3"/>
  <c r="K332" i="3" s="1"/>
  <c r="W330" i="3"/>
  <c r="Z330" i="3" s="1"/>
  <c r="F331" i="3"/>
  <c r="G331" i="3" s="1"/>
  <c r="U331" i="6"/>
  <c r="D329" i="11"/>
  <c r="Z329" i="6"/>
  <c r="U332" i="3"/>
  <c r="H333" i="6"/>
  <c r="I332" i="6"/>
  <c r="C330" i="11"/>
  <c r="M333" i="3"/>
  <c r="N333" i="3" s="1"/>
  <c r="O333" i="3" s="1"/>
  <c r="T333" i="3" s="1"/>
  <c r="L334" i="3"/>
  <c r="F332" i="6"/>
  <c r="K331" i="6"/>
  <c r="H328" i="4"/>
  <c r="M332" i="6"/>
  <c r="N332" i="6" s="1"/>
  <c r="O332" i="6" s="1"/>
  <c r="T332" i="6" s="1"/>
  <c r="L333" i="6"/>
  <c r="E134" i="9" l="1"/>
  <c r="G135" i="4"/>
  <c r="J135" i="4" s="1"/>
  <c r="AJ329" i="6"/>
  <c r="D163" i="9"/>
  <c r="C165" i="9"/>
  <c r="AH330" i="3"/>
  <c r="AJ330" i="3" s="1"/>
  <c r="AH330" i="6"/>
  <c r="F329" i="11"/>
  <c r="X332" i="3"/>
  <c r="V332" i="3"/>
  <c r="X331" i="6"/>
  <c r="V331" i="6"/>
  <c r="C331" i="4" s="1"/>
  <c r="H329" i="4"/>
  <c r="U332" i="6"/>
  <c r="AD166" i="3"/>
  <c r="AE166" i="3" s="1"/>
  <c r="AF166" i="3"/>
  <c r="Z330" i="6"/>
  <c r="D330" i="11"/>
  <c r="M333" i="6"/>
  <c r="N333" i="6" s="1"/>
  <c r="O333" i="6" s="1"/>
  <c r="T333" i="6" s="1"/>
  <c r="L334" i="6"/>
  <c r="W332" i="6"/>
  <c r="G332" i="6"/>
  <c r="C331" i="11"/>
  <c r="I333" i="3"/>
  <c r="K333" i="3" s="1"/>
  <c r="M334" i="3"/>
  <c r="N334" i="3" s="1"/>
  <c r="O334" i="3" s="1"/>
  <c r="T334" i="3" s="1"/>
  <c r="L335" i="3"/>
  <c r="C330" i="4"/>
  <c r="H334" i="6"/>
  <c r="I333" i="6"/>
  <c r="F332" i="3"/>
  <c r="G332" i="3" s="1"/>
  <c r="W331" i="3"/>
  <c r="Z331" i="3" s="1"/>
  <c r="U333" i="3"/>
  <c r="F333" i="6"/>
  <c r="K332" i="6"/>
  <c r="AF164" i="6"/>
  <c r="AD164" i="6"/>
  <c r="AE164" i="6" s="1"/>
  <c r="M135" i="4" l="1"/>
  <c r="D29" i="5" a="1"/>
  <c r="D29" i="5" s="1"/>
  <c r="M13" i="10"/>
  <c r="AJ330" i="6"/>
  <c r="AH331" i="3"/>
  <c r="AJ331" i="3" s="1"/>
  <c r="AH331" i="6"/>
  <c r="AG164" i="6"/>
  <c r="D164" i="9" s="1"/>
  <c r="AG166" i="3"/>
  <c r="AA167" i="3" s="1"/>
  <c r="AC167" i="3" s="1"/>
  <c r="I334" i="3"/>
  <c r="K334" i="3" s="1"/>
  <c r="X333" i="3"/>
  <c r="V333" i="3"/>
  <c r="X332" i="6"/>
  <c r="V332" i="6"/>
  <c r="C332" i="4" s="1"/>
  <c r="W333" i="6"/>
  <c r="G333" i="6"/>
  <c r="Z331" i="6"/>
  <c r="D331" i="11"/>
  <c r="U333" i="6"/>
  <c r="U334" i="3"/>
  <c r="C332" i="11"/>
  <c r="E331" i="11"/>
  <c r="F331" i="4"/>
  <c r="P331" i="4" s="1"/>
  <c r="W332" i="3"/>
  <c r="Z332" i="3" s="1"/>
  <c r="M334" i="6"/>
  <c r="N334" i="6" s="1"/>
  <c r="O334" i="6" s="1"/>
  <c r="T334" i="6" s="1"/>
  <c r="L335" i="6"/>
  <c r="F334" i="6"/>
  <c r="K333" i="6"/>
  <c r="H335" i="6"/>
  <c r="I334" i="6"/>
  <c r="F333" i="3"/>
  <c r="G333" i="3" s="1"/>
  <c r="E330" i="11"/>
  <c r="F330" i="11" s="1"/>
  <c r="F330" i="4"/>
  <c r="P330" i="4" s="1"/>
  <c r="M335" i="3"/>
  <c r="N335" i="3" s="1"/>
  <c r="O335" i="3" s="1"/>
  <c r="T335" i="3" s="1"/>
  <c r="L336" i="3"/>
  <c r="K135" i="4" l="1"/>
  <c r="L135" i="4" s="1"/>
  <c r="N135" i="4" s="1"/>
  <c r="AA165" i="6"/>
  <c r="AC165" i="6" s="1"/>
  <c r="AD165" i="6" s="1"/>
  <c r="AE165" i="6" s="1"/>
  <c r="C166" i="9"/>
  <c r="AJ331" i="6"/>
  <c r="AH332" i="3"/>
  <c r="AJ332" i="3" s="1"/>
  <c r="AH332" i="6"/>
  <c r="F331" i="11"/>
  <c r="X333" i="6"/>
  <c r="V333" i="6"/>
  <c r="C333" i="4" s="1"/>
  <c r="H331" i="4"/>
  <c r="C333" i="11"/>
  <c r="H330" i="4"/>
  <c r="E332" i="11"/>
  <c r="F332" i="4"/>
  <c r="P332" i="4" s="1"/>
  <c r="W333" i="3"/>
  <c r="Z333" i="3" s="1"/>
  <c r="AH333" i="6" s="1"/>
  <c r="I335" i="3"/>
  <c r="K335" i="3" s="1"/>
  <c r="F334" i="3"/>
  <c r="G334" i="3" s="1"/>
  <c r="G334" i="6"/>
  <c r="W334" i="6"/>
  <c r="M336" i="3"/>
  <c r="N336" i="3" s="1"/>
  <c r="O336" i="3" s="1"/>
  <c r="T336" i="3" s="1"/>
  <c r="L337" i="3"/>
  <c r="U335" i="3"/>
  <c r="U334" i="6"/>
  <c r="D332" i="11"/>
  <c r="Z332" i="6"/>
  <c r="X334" i="3"/>
  <c r="V334" i="3"/>
  <c r="F335" i="6"/>
  <c r="K334" i="6"/>
  <c r="H336" i="6"/>
  <c r="I335" i="6"/>
  <c r="M335" i="6"/>
  <c r="N335" i="6" s="1"/>
  <c r="O335" i="6" s="1"/>
  <c r="T335" i="6" s="1"/>
  <c r="L336" i="6"/>
  <c r="AD167" i="3"/>
  <c r="AE167" i="3" s="1"/>
  <c r="AF167" i="3"/>
  <c r="E135" i="9" l="1"/>
  <c r="G136" i="4"/>
  <c r="J136" i="4" s="1"/>
  <c r="AJ332" i="6"/>
  <c r="AF165" i="6"/>
  <c r="AG165" i="6" s="1"/>
  <c r="AA166" i="6" s="1"/>
  <c r="AC166" i="6" s="1"/>
  <c r="AH333" i="3"/>
  <c r="AJ333" i="3" s="1"/>
  <c r="F332" i="11"/>
  <c r="AG167" i="3"/>
  <c r="AA168" i="3" s="1"/>
  <c r="AC168" i="3" s="1"/>
  <c r="X335" i="3"/>
  <c r="V335" i="3"/>
  <c r="X334" i="6"/>
  <c r="V334" i="6"/>
  <c r="C334" i="4" s="1"/>
  <c r="H332" i="4"/>
  <c r="M337" i="3"/>
  <c r="N337" i="3" s="1"/>
  <c r="O337" i="3" s="1"/>
  <c r="T337" i="3" s="1"/>
  <c r="L338" i="3"/>
  <c r="U336" i="3"/>
  <c r="U335" i="6"/>
  <c r="F336" i="6"/>
  <c r="K335" i="6"/>
  <c r="C334" i="11"/>
  <c r="E333" i="11"/>
  <c r="F333" i="4"/>
  <c r="P333" i="4" s="1"/>
  <c r="M336" i="6"/>
  <c r="N336" i="6" s="1"/>
  <c r="O336" i="6" s="1"/>
  <c r="T336" i="6" s="1"/>
  <c r="L337" i="6"/>
  <c r="H337" i="6"/>
  <c r="I336" i="6"/>
  <c r="W334" i="3"/>
  <c r="Z334" i="3" s="1"/>
  <c r="I336" i="3"/>
  <c r="K336" i="3" s="1"/>
  <c r="Z333" i="6"/>
  <c r="AJ333" i="6" s="1"/>
  <c r="D333" i="11"/>
  <c r="W335" i="6"/>
  <c r="G335" i="6"/>
  <c r="F335" i="3"/>
  <c r="G335" i="3" s="1"/>
  <c r="K136" i="4" l="1"/>
  <c r="L136" i="4" s="1"/>
  <c r="C167" i="9"/>
  <c r="AH334" i="3"/>
  <c r="AJ334" i="3" s="1"/>
  <c r="AH334" i="6"/>
  <c r="D165" i="9"/>
  <c r="F333" i="11"/>
  <c r="F337" i="6"/>
  <c r="K336" i="6"/>
  <c r="X336" i="3"/>
  <c r="V336" i="3"/>
  <c r="W335" i="3"/>
  <c r="Z335" i="3" s="1"/>
  <c r="AD168" i="3"/>
  <c r="AE168" i="3" s="1"/>
  <c r="AF168" i="3"/>
  <c r="M337" i="6"/>
  <c r="N337" i="6" s="1"/>
  <c r="O337" i="6" s="1"/>
  <c r="T337" i="6" s="1"/>
  <c r="L338" i="6"/>
  <c r="H333" i="4"/>
  <c r="I337" i="3"/>
  <c r="K337" i="3" s="1"/>
  <c r="Z334" i="6"/>
  <c r="D334" i="11"/>
  <c r="I337" i="6"/>
  <c r="H338" i="6"/>
  <c r="M338" i="3"/>
  <c r="N338" i="3" s="1"/>
  <c r="O338" i="3" s="1"/>
  <c r="T338" i="3" s="1"/>
  <c r="L339" i="3"/>
  <c r="E334" i="11"/>
  <c r="F334" i="4"/>
  <c r="P334" i="4" s="1"/>
  <c r="U337" i="3"/>
  <c r="G336" i="6"/>
  <c r="W336" i="6"/>
  <c r="AF166" i="6"/>
  <c r="AD166" i="6"/>
  <c r="AE166" i="6" s="1"/>
  <c r="U336" i="6"/>
  <c r="X335" i="6"/>
  <c r="V335" i="6"/>
  <c r="C335" i="4" s="1"/>
  <c r="F336" i="3"/>
  <c r="G336" i="3" s="1"/>
  <c r="C335" i="11"/>
  <c r="M136" i="4" l="1"/>
  <c r="N136" i="4" s="1"/>
  <c r="AJ334" i="6"/>
  <c r="AH335" i="3"/>
  <c r="AJ335" i="3" s="1"/>
  <c r="AH335" i="6"/>
  <c r="F334" i="11"/>
  <c r="AG168" i="3"/>
  <c r="C168" i="9" s="1"/>
  <c r="AG166" i="6"/>
  <c r="AA167" i="6" s="1"/>
  <c r="AC167" i="6" s="1"/>
  <c r="F337" i="3"/>
  <c r="G337" i="3" s="1"/>
  <c r="X337" i="3"/>
  <c r="V337" i="3"/>
  <c r="M339" i="3"/>
  <c r="N339" i="3" s="1"/>
  <c r="O339" i="3" s="1"/>
  <c r="T339" i="3" s="1"/>
  <c r="L340" i="3"/>
  <c r="C336" i="11"/>
  <c r="E335" i="11"/>
  <c r="F335" i="4"/>
  <c r="P335" i="4" s="1"/>
  <c r="U337" i="6"/>
  <c r="H334" i="4"/>
  <c r="H339" i="6"/>
  <c r="I338" i="6"/>
  <c r="M338" i="6"/>
  <c r="N338" i="6" s="1"/>
  <c r="O338" i="6" s="1"/>
  <c r="T338" i="6" s="1"/>
  <c r="L339" i="6"/>
  <c r="W336" i="3"/>
  <c r="Z336" i="3" s="1"/>
  <c r="U338" i="3"/>
  <c r="F338" i="6"/>
  <c r="K337" i="6"/>
  <c r="I338" i="3"/>
  <c r="K338" i="3" s="1"/>
  <c r="D335" i="11"/>
  <c r="Z335" i="6"/>
  <c r="X336" i="6"/>
  <c r="V336" i="6"/>
  <c r="C336" i="4" s="1"/>
  <c r="W337" i="6"/>
  <c r="G337" i="6"/>
  <c r="AJ335" i="6" l="1"/>
  <c r="E136" i="9"/>
  <c r="G137" i="4"/>
  <c r="J137" i="4" s="1"/>
  <c r="AA169" i="3"/>
  <c r="AC169" i="3" s="1"/>
  <c r="AD169" i="3" s="1"/>
  <c r="AE169" i="3" s="1"/>
  <c r="D166" i="9"/>
  <c r="AH336" i="3"/>
  <c r="AJ336" i="3" s="1"/>
  <c r="AH336" i="6"/>
  <c r="F335" i="11"/>
  <c r="E336" i="11"/>
  <c r="F336" i="4"/>
  <c r="P336" i="4" s="1"/>
  <c r="F338" i="3"/>
  <c r="G338" i="3" s="1"/>
  <c r="U338" i="6"/>
  <c r="H335" i="4"/>
  <c r="W337" i="3"/>
  <c r="Z337" i="3" s="1"/>
  <c r="Z336" i="6"/>
  <c r="D336" i="11"/>
  <c r="C337" i="11"/>
  <c r="X337" i="6"/>
  <c r="V337" i="6"/>
  <c r="C337" i="4" s="1"/>
  <c r="G338" i="6"/>
  <c r="W338" i="6"/>
  <c r="X338" i="3"/>
  <c r="V338" i="3"/>
  <c r="U339" i="3"/>
  <c r="M340" i="3"/>
  <c r="N340" i="3" s="1"/>
  <c r="O340" i="3" s="1"/>
  <c r="T340" i="3" s="1"/>
  <c r="L341" i="3"/>
  <c r="M339" i="6"/>
  <c r="N339" i="6" s="1"/>
  <c r="O339" i="6" s="1"/>
  <c r="T339" i="6" s="1"/>
  <c r="L340" i="6"/>
  <c r="F339" i="6"/>
  <c r="K338" i="6"/>
  <c r="H340" i="6"/>
  <c r="I339" i="6"/>
  <c r="I339" i="3"/>
  <c r="K339" i="3" s="1"/>
  <c r="AF167" i="6"/>
  <c r="AD167" i="6"/>
  <c r="AE167" i="6" s="1"/>
  <c r="AF169" i="3" l="1"/>
  <c r="AG169" i="3" s="1"/>
  <c r="AA170" i="3" s="1"/>
  <c r="AC170" i="3" s="1"/>
  <c r="M137" i="4"/>
  <c r="F336" i="11"/>
  <c r="AJ336" i="6"/>
  <c r="AH337" i="3"/>
  <c r="AJ337" i="3" s="1"/>
  <c r="AH337" i="6"/>
  <c r="AG167" i="6"/>
  <c r="AA168" i="6" s="1"/>
  <c r="AC168" i="6" s="1"/>
  <c r="X339" i="3"/>
  <c r="V339" i="3"/>
  <c r="X338" i="6"/>
  <c r="V338" i="6"/>
  <c r="E337" i="11"/>
  <c r="F337" i="4"/>
  <c r="P337" i="4" s="1"/>
  <c r="U340" i="3"/>
  <c r="I340" i="3"/>
  <c r="K340" i="3" s="1"/>
  <c r="M341" i="3"/>
  <c r="N341" i="3" s="1"/>
  <c r="O341" i="3" s="1"/>
  <c r="T341" i="3" s="1"/>
  <c r="L342" i="3"/>
  <c r="C338" i="11"/>
  <c r="F339" i="3"/>
  <c r="G339" i="3" s="1"/>
  <c r="W338" i="3"/>
  <c r="Z338" i="3" s="1"/>
  <c r="U339" i="6"/>
  <c r="D337" i="11"/>
  <c r="Z337" i="6"/>
  <c r="W339" i="6"/>
  <c r="G339" i="6"/>
  <c r="H336" i="4"/>
  <c r="F340" i="6"/>
  <c r="K339" i="6"/>
  <c r="I340" i="6"/>
  <c r="H341" i="6"/>
  <c r="M340" i="6"/>
  <c r="N340" i="6" s="1"/>
  <c r="O340" i="6" s="1"/>
  <c r="T340" i="6" s="1"/>
  <c r="L341" i="6"/>
  <c r="K137" i="4" l="1"/>
  <c r="L137" i="4" s="1"/>
  <c r="N137" i="4" s="1"/>
  <c r="AJ337" i="6"/>
  <c r="C169" i="9"/>
  <c r="D167" i="9"/>
  <c r="AH338" i="3"/>
  <c r="AJ338" i="3" s="1"/>
  <c r="AH338" i="6"/>
  <c r="F337" i="11"/>
  <c r="F340" i="3"/>
  <c r="G340" i="3" s="1"/>
  <c r="U340" i="6"/>
  <c r="X340" i="3"/>
  <c r="V340" i="3"/>
  <c r="H342" i="6"/>
  <c r="I341" i="6"/>
  <c r="C339" i="11"/>
  <c r="AD168" i="6"/>
  <c r="AE168" i="6" s="1"/>
  <c r="AF168" i="6"/>
  <c r="W339" i="3"/>
  <c r="Z339" i="3" s="1"/>
  <c r="I341" i="3"/>
  <c r="K341" i="3" s="1"/>
  <c r="X339" i="6"/>
  <c r="V339" i="6"/>
  <c r="C339" i="4" s="1"/>
  <c r="H337" i="4"/>
  <c r="F341" i="6"/>
  <c r="K340" i="6"/>
  <c r="Z338" i="6"/>
  <c r="D338" i="11"/>
  <c r="C338" i="4"/>
  <c r="M342" i="3"/>
  <c r="N342" i="3" s="1"/>
  <c r="O342" i="3" s="1"/>
  <c r="T342" i="3" s="1"/>
  <c r="L343" i="3"/>
  <c r="M341" i="6"/>
  <c r="N341" i="6" s="1"/>
  <c r="O341" i="6" s="1"/>
  <c r="T341" i="6" s="1"/>
  <c r="L342" i="6"/>
  <c r="W340" i="6"/>
  <c r="G340" i="6"/>
  <c r="U341" i="3"/>
  <c r="AD170" i="3"/>
  <c r="AE170" i="3" s="1"/>
  <c r="AF170" i="3"/>
  <c r="G138" i="4" l="1"/>
  <c r="J138" i="4" s="1"/>
  <c r="E137" i="9"/>
  <c r="AJ338" i="6"/>
  <c r="AH339" i="3"/>
  <c r="AJ339" i="3" s="1"/>
  <c r="AH339" i="6"/>
  <c r="AG170" i="3"/>
  <c r="AA171" i="3" s="1"/>
  <c r="AC171" i="3" s="1"/>
  <c r="AG168" i="6"/>
  <c r="AA169" i="6" s="1"/>
  <c r="AC169" i="6" s="1"/>
  <c r="X340" i="6"/>
  <c r="V340" i="6"/>
  <c r="C340" i="4" s="1"/>
  <c r="E338" i="11"/>
  <c r="F338" i="11" s="1"/>
  <c r="F338" i="4"/>
  <c r="P338" i="4" s="1"/>
  <c r="I342" i="3"/>
  <c r="K342" i="3" s="1"/>
  <c r="E339" i="11"/>
  <c r="F339" i="4"/>
  <c r="P339" i="4" s="1"/>
  <c r="C340" i="11"/>
  <c r="I342" i="6"/>
  <c r="H343" i="6"/>
  <c r="D339" i="11"/>
  <c r="Z339" i="6"/>
  <c r="W340" i="3"/>
  <c r="Z340" i="3" s="1"/>
  <c r="X341" i="3"/>
  <c r="V341" i="3"/>
  <c r="F342" i="6"/>
  <c r="K341" i="6"/>
  <c r="M342" i="6"/>
  <c r="N342" i="6" s="1"/>
  <c r="O342" i="6" s="1"/>
  <c r="T342" i="6" s="1"/>
  <c r="L343" i="6"/>
  <c r="M343" i="3"/>
  <c r="N343" i="3" s="1"/>
  <c r="O343" i="3" s="1"/>
  <c r="T343" i="3" s="1"/>
  <c r="L344" i="3"/>
  <c r="W341" i="6"/>
  <c r="G341" i="6"/>
  <c r="F341" i="3"/>
  <c r="G341" i="3" s="1"/>
  <c r="U341" i="6"/>
  <c r="U342" i="3"/>
  <c r="M138" i="4" l="1"/>
  <c r="K138" i="4"/>
  <c r="L138" i="4" s="1"/>
  <c r="C170" i="9"/>
  <c r="C16" i="10" s="1"/>
  <c r="AJ339" i="6"/>
  <c r="AH340" i="3"/>
  <c r="AJ340" i="3" s="1"/>
  <c r="AH340" i="6"/>
  <c r="D168" i="9"/>
  <c r="F339" i="11"/>
  <c r="X341" i="6"/>
  <c r="V341" i="6"/>
  <c r="C341" i="4" s="1"/>
  <c r="U342" i="6"/>
  <c r="W342" i="6"/>
  <c r="G342" i="6"/>
  <c r="I343" i="3"/>
  <c r="K343" i="3" s="1"/>
  <c r="H339" i="4"/>
  <c r="X342" i="3"/>
  <c r="V342" i="3"/>
  <c r="H338" i="4"/>
  <c r="W341" i="3"/>
  <c r="Z341" i="3" s="1"/>
  <c r="C341" i="11"/>
  <c r="F342" i="3"/>
  <c r="G342" i="3" s="1"/>
  <c r="H344" i="6"/>
  <c r="I343" i="6"/>
  <c r="AF171" i="3"/>
  <c r="AD171" i="3"/>
  <c r="AE171" i="3" s="1"/>
  <c r="M344" i="3"/>
  <c r="N344" i="3" s="1"/>
  <c r="O344" i="3" s="1"/>
  <c r="T344" i="3" s="1"/>
  <c r="L345" i="3"/>
  <c r="F343" i="6"/>
  <c r="K342" i="6"/>
  <c r="E340" i="11"/>
  <c r="F340" i="4"/>
  <c r="P340" i="4" s="1"/>
  <c r="Z340" i="6"/>
  <c r="D340" i="11"/>
  <c r="AD169" i="6"/>
  <c r="AE169" i="6" s="1"/>
  <c r="AF169" i="6"/>
  <c r="U343" i="3"/>
  <c r="M343" i="6"/>
  <c r="N343" i="6" s="1"/>
  <c r="O343" i="6" s="1"/>
  <c r="T343" i="6" s="1"/>
  <c r="L344" i="6"/>
  <c r="N138" i="4" l="1"/>
  <c r="E138" i="9" s="1"/>
  <c r="G139" i="4"/>
  <c r="J139" i="4" s="1"/>
  <c r="AJ340" i="6"/>
  <c r="AH341" i="3"/>
  <c r="AJ341" i="3" s="1"/>
  <c r="AH341" i="6"/>
  <c r="AG169" i="6"/>
  <c r="AA170" i="6" s="1"/>
  <c r="AC170" i="6" s="1"/>
  <c r="AG171" i="3"/>
  <c r="C171" i="9" s="1"/>
  <c r="F340" i="11"/>
  <c r="E341" i="11"/>
  <c r="F341" i="4"/>
  <c r="P341" i="4" s="1"/>
  <c r="M345" i="3"/>
  <c r="N345" i="3" s="1"/>
  <c r="O345" i="3" s="1"/>
  <c r="T345" i="3" s="1"/>
  <c r="L346" i="3"/>
  <c r="F344" i="6"/>
  <c r="K343" i="6"/>
  <c r="F343" i="3"/>
  <c r="G343" i="3" s="1"/>
  <c r="X343" i="3"/>
  <c r="V343" i="3"/>
  <c r="I344" i="6"/>
  <c r="H345" i="6"/>
  <c r="W342" i="3"/>
  <c r="Z342" i="3" s="1"/>
  <c r="I344" i="3"/>
  <c r="K344" i="3" s="1"/>
  <c r="H340" i="4"/>
  <c r="U344" i="3"/>
  <c r="Z341" i="6"/>
  <c r="D341" i="11"/>
  <c r="W343" i="6"/>
  <c r="G343" i="6"/>
  <c r="M344" i="6"/>
  <c r="N344" i="6" s="1"/>
  <c r="O344" i="6" s="1"/>
  <c r="T344" i="6" s="1"/>
  <c r="L345" i="6"/>
  <c r="C342" i="11"/>
  <c r="X342" i="6"/>
  <c r="V342" i="6"/>
  <c r="C342" i="4" s="1"/>
  <c r="U343" i="6"/>
  <c r="M139" i="4" l="1"/>
  <c r="AJ341" i="6"/>
  <c r="AH342" i="3"/>
  <c r="AJ342" i="3" s="1"/>
  <c r="AH342" i="6"/>
  <c r="F341" i="11"/>
  <c r="D169" i="9"/>
  <c r="AA172" i="3"/>
  <c r="AC172" i="3" s="1"/>
  <c r="AF172" i="3" s="1"/>
  <c r="E342" i="11"/>
  <c r="F342" i="4"/>
  <c r="P342" i="4" s="1"/>
  <c r="AD170" i="6"/>
  <c r="AE170" i="6" s="1"/>
  <c r="AF170" i="6"/>
  <c r="I345" i="3"/>
  <c r="K345" i="3" s="1"/>
  <c r="W344" i="6"/>
  <c r="G344" i="6"/>
  <c r="X343" i="6"/>
  <c r="V343" i="6"/>
  <c r="C343" i="4" s="1"/>
  <c r="F344" i="3"/>
  <c r="G344" i="3" s="1"/>
  <c r="M346" i="3"/>
  <c r="N346" i="3" s="1"/>
  <c r="O346" i="3" s="1"/>
  <c r="T346" i="3" s="1"/>
  <c r="L347" i="3"/>
  <c r="U345" i="3"/>
  <c r="C343" i="11"/>
  <c r="H341" i="4"/>
  <c r="F345" i="6"/>
  <c r="K344" i="6"/>
  <c r="W343" i="3"/>
  <c r="Z343" i="3" s="1"/>
  <c r="X344" i="3"/>
  <c r="V344" i="3"/>
  <c r="D342" i="11"/>
  <c r="Z342" i="6"/>
  <c r="M345" i="6"/>
  <c r="N345" i="6" s="1"/>
  <c r="O345" i="6" s="1"/>
  <c r="T345" i="6" s="1"/>
  <c r="L346" i="6"/>
  <c r="I345" i="6"/>
  <c r="H346" i="6"/>
  <c r="U344" i="6"/>
  <c r="K139" i="4" l="1"/>
  <c r="L139" i="4" s="1"/>
  <c r="N139" i="4" s="1"/>
  <c r="AH343" i="3"/>
  <c r="AJ343" i="3" s="1"/>
  <c r="AH343" i="6"/>
  <c r="AJ342" i="6"/>
  <c r="AD172" i="3"/>
  <c r="AE172" i="3" s="1"/>
  <c r="AG172" i="3" s="1"/>
  <c r="F342" i="11"/>
  <c r="AG170" i="6"/>
  <c r="D170" i="9" s="1"/>
  <c r="H16" i="10" s="1"/>
  <c r="X345" i="3"/>
  <c r="V345" i="3"/>
  <c r="X344" i="6"/>
  <c r="V344" i="6"/>
  <c r="C344" i="4" s="1"/>
  <c r="Z343" i="6"/>
  <c r="D343" i="11"/>
  <c r="I346" i="3"/>
  <c r="K346" i="3" s="1"/>
  <c r="W345" i="6"/>
  <c r="G345" i="6"/>
  <c r="F345" i="3"/>
  <c r="G345" i="3" s="1"/>
  <c r="H347" i="6"/>
  <c r="I346" i="6"/>
  <c r="K345" i="6"/>
  <c r="F346" i="6"/>
  <c r="M347" i="3"/>
  <c r="N347" i="3" s="1"/>
  <c r="O347" i="3" s="1"/>
  <c r="T347" i="3" s="1"/>
  <c r="L348" i="3"/>
  <c r="H342" i="4"/>
  <c r="E343" i="11"/>
  <c r="F343" i="4"/>
  <c r="P343" i="4" s="1"/>
  <c r="U346" i="3"/>
  <c r="M346" i="6"/>
  <c r="N346" i="6" s="1"/>
  <c r="O346" i="6" s="1"/>
  <c r="T346" i="6" s="1"/>
  <c r="L347" i="6"/>
  <c r="U345" i="6"/>
  <c r="C344" i="11"/>
  <c r="W344" i="3"/>
  <c r="Z344" i="3" s="1"/>
  <c r="AH344" i="3" s="1"/>
  <c r="E139" i="9" l="1"/>
  <c r="G140" i="4"/>
  <c r="J140" i="4" s="1"/>
  <c r="C172" i="9"/>
  <c r="AA173" i="3"/>
  <c r="AC173" i="3" s="1"/>
  <c r="AF173" i="3" s="1"/>
  <c r="AJ343" i="6"/>
  <c r="AJ344" i="3"/>
  <c r="AH344" i="6"/>
  <c r="AA171" i="6"/>
  <c r="AC171" i="6" s="1"/>
  <c r="AF171" i="6" s="1"/>
  <c r="F343" i="11"/>
  <c r="F346" i="3"/>
  <c r="G346" i="3" s="1"/>
  <c r="I347" i="3"/>
  <c r="K347" i="3" s="1"/>
  <c r="H343" i="4"/>
  <c r="F344" i="4"/>
  <c r="P344" i="4" s="1"/>
  <c r="E344" i="11"/>
  <c r="M348" i="3"/>
  <c r="N348" i="3" s="1"/>
  <c r="O348" i="3" s="1"/>
  <c r="T348" i="3" s="1"/>
  <c r="L349" i="3"/>
  <c r="D344" i="11"/>
  <c r="Z344" i="6"/>
  <c r="C345" i="11"/>
  <c r="U347" i="3"/>
  <c r="W346" i="6"/>
  <c r="G346" i="6"/>
  <c r="X345" i="6"/>
  <c r="V345" i="6"/>
  <c r="X346" i="3"/>
  <c r="V346" i="3"/>
  <c r="M347" i="6"/>
  <c r="N347" i="6" s="1"/>
  <c r="O347" i="6" s="1"/>
  <c r="T347" i="6" s="1"/>
  <c r="L348" i="6"/>
  <c r="F347" i="6"/>
  <c r="K346" i="6"/>
  <c r="U346" i="6"/>
  <c r="H348" i="6"/>
  <c r="I347" i="6"/>
  <c r="W345" i="3"/>
  <c r="Z345" i="3" s="1"/>
  <c r="AH345" i="3" s="1"/>
  <c r="M140" i="4" l="1"/>
  <c r="AD173" i="3"/>
  <c r="AE173" i="3" s="1"/>
  <c r="AG173" i="3" s="1"/>
  <c r="C173" i="9" s="1"/>
  <c r="AJ345" i="3"/>
  <c r="AH345" i="6"/>
  <c r="AJ344" i="6"/>
  <c r="AD171" i="6"/>
  <c r="AE171" i="6" s="1"/>
  <c r="AG171" i="6" s="1"/>
  <c r="AA172" i="6" s="1"/>
  <c r="AC172" i="6" s="1"/>
  <c r="F344" i="11"/>
  <c r="X346" i="6"/>
  <c r="V346" i="6"/>
  <c r="C346" i="4" s="1"/>
  <c r="D345" i="11"/>
  <c r="Z345" i="6"/>
  <c r="H344" i="4"/>
  <c r="M349" i="3"/>
  <c r="N349" i="3" s="1"/>
  <c r="O349" i="3" s="1"/>
  <c r="T349" i="3" s="1"/>
  <c r="L350" i="3"/>
  <c r="I348" i="6"/>
  <c r="H349" i="6"/>
  <c r="U348" i="3"/>
  <c r="X347" i="3"/>
  <c r="V347" i="3"/>
  <c r="I348" i="3"/>
  <c r="K348" i="3" s="1"/>
  <c r="F347" i="3"/>
  <c r="G347" i="3" s="1"/>
  <c r="W347" i="6"/>
  <c r="G347" i="6"/>
  <c r="W346" i="3"/>
  <c r="Z346" i="3" s="1"/>
  <c r="F348" i="6"/>
  <c r="K347" i="6"/>
  <c r="M348" i="6"/>
  <c r="N348" i="6" s="1"/>
  <c r="O348" i="6" s="1"/>
  <c r="T348" i="6" s="1"/>
  <c r="L349" i="6"/>
  <c r="U347" i="6"/>
  <c r="C345" i="4"/>
  <c r="C346" i="11"/>
  <c r="K140" i="4" l="1"/>
  <c r="L140" i="4" s="1"/>
  <c r="N140" i="4" s="1"/>
  <c r="AJ345" i="6"/>
  <c r="AH346" i="3"/>
  <c r="AJ346" i="3" s="1"/>
  <c r="AH346" i="6"/>
  <c r="D171" i="9"/>
  <c r="AA174" i="3"/>
  <c r="AC174" i="3" s="1"/>
  <c r="AF174" i="3" s="1"/>
  <c r="X347" i="6"/>
  <c r="V347" i="6"/>
  <c r="C347" i="4" s="1"/>
  <c r="X348" i="3"/>
  <c r="V348" i="3"/>
  <c r="E346" i="11"/>
  <c r="F346" i="4"/>
  <c r="P346" i="4" s="1"/>
  <c r="H350" i="6"/>
  <c r="I349" i="6"/>
  <c r="M350" i="3"/>
  <c r="N350" i="3" s="1"/>
  <c r="O350" i="3" s="1"/>
  <c r="T350" i="3" s="1"/>
  <c r="L351" i="3"/>
  <c r="U349" i="3"/>
  <c r="C347" i="11"/>
  <c r="AF172" i="6"/>
  <c r="AD172" i="6"/>
  <c r="AE172" i="6" s="1"/>
  <c r="F349" i="6"/>
  <c r="K348" i="6"/>
  <c r="F345" i="4"/>
  <c r="P345" i="4" s="1"/>
  <c r="E345" i="11"/>
  <c r="F345" i="11" s="1"/>
  <c r="W347" i="3"/>
  <c r="Z347" i="3" s="1"/>
  <c r="W348" i="6"/>
  <c r="G348" i="6"/>
  <c r="I349" i="3"/>
  <c r="K349" i="3" s="1"/>
  <c r="F348" i="3"/>
  <c r="G348" i="3" s="1"/>
  <c r="D346" i="11"/>
  <c r="Z346" i="6"/>
  <c r="M349" i="6"/>
  <c r="N349" i="6" s="1"/>
  <c r="O349" i="6" s="1"/>
  <c r="T349" i="6" s="1"/>
  <c r="L350" i="6"/>
  <c r="U348" i="6"/>
  <c r="G141" i="4" l="1"/>
  <c r="J141" i="4" s="1"/>
  <c r="E140" i="9"/>
  <c r="AJ346" i="6"/>
  <c r="AH347" i="3"/>
  <c r="AJ347" i="3" s="1"/>
  <c r="AH347" i="6"/>
  <c r="AD174" i="3"/>
  <c r="AE174" i="3" s="1"/>
  <c r="AG174" i="3" s="1"/>
  <c r="AA175" i="3" s="1"/>
  <c r="AC175" i="3" s="1"/>
  <c r="AG172" i="6"/>
  <c r="AA173" i="6" s="1"/>
  <c r="AC173" i="6" s="1"/>
  <c r="F346" i="11"/>
  <c r="X349" i="3"/>
  <c r="V349" i="3"/>
  <c r="U350" i="3"/>
  <c r="X348" i="6"/>
  <c r="V348" i="6"/>
  <c r="C348" i="4" s="1"/>
  <c r="H351" i="6"/>
  <c r="I350" i="6"/>
  <c r="F350" i="6"/>
  <c r="K349" i="6"/>
  <c r="H345" i="4"/>
  <c r="H346" i="4"/>
  <c r="M351" i="3"/>
  <c r="N351" i="3" s="1"/>
  <c r="O351" i="3" s="1"/>
  <c r="T351" i="3" s="1"/>
  <c r="L352" i="3"/>
  <c r="M350" i="6"/>
  <c r="N350" i="6" s="1"/>
  <c r="O350" i="6" s="1"/>
  <c r="T350" i="6" s="1"/>
  <c r="L351" i="6"/>
  <c r="U349" i="6"/>
  <c r="G349" i="6"/>
  <c r="W349" i="6"/>
  <c r="C348" i="11"/>
  <c r="W348" i="3"/>
  <c r="Z348" i="3" s="1"/>
  <c r="I350" i="3"/>
  <c r="K350" i="3" s="1"/>
  <c r="F349" i="3"/>
  <c r="G349" i="3" s="1"/>
  <c r="F347" i="4"/>
  <c r="P347" i="4" s="1"/>
  <c r="E347" i="11"/>
  <c r="Z347" i="6"/>
  <c r="D347" i="11"/>
  <c r="M141" i="4" l="1"/>
  <c r="K141" i="4"/>
  <c r="L141" i="4" s="1"/>
  <c r="AJ347" i="6"/>
  <c r="AH348" i="6"/>
  <c r="AH348" i="3"/>
  <c r="AJ348" i="3" s="1"/>
  <c r="C174" i="9"/>
  <c r="D172" i="9"/>
  <c r="F347" i="11"/>
  <c r="F348" i="4"/>
  <c r="P348" i="4" s="1"/>
  <c r="E348" i="11"/>
  <c r="W350" i="6"/>
  <c r="G350" i="6"/>
  <c r="I351" i="6"/>
  <c r="H352" i="6"/>
  <c r="L352" i="6"/>
  <c r="M351" i="6"/>
  <c r="N351" i="6" s="1"/>
  <c r="O351" i="6" s="1"/>
  <c r="T351" i="6" s="1"/>
  <c r="W349" i="3"/>
  <c r="Z349" i="3" s="1"/>
  <c r="AH349" i="3" s="1"/>
  <c r="U350" i="6"/>
  <c r="Z348" i="6"/>
  <c r="D348" i="11"/>
  <c r="F351" i="6"/>
  <c r="K350" i="6"/>
  <c r="U351" i="3"/>
  <c r="X350" i="3"/>
  <c r="V350" i="3"/>
  <c r="H347" i="4"/>
  <c r="M352" i="3"/>
  <c r="N352" i="3" s="1"/>
  <c r="O352" i="3" s="1"/>
  <c r="T352" i="3" s="1"/>
  <c r="L353" i="3"/>
  <c r="I351" i="3"/>
  <c r="K351" i="3" s="1"/>
  <c r="C349" i="11"/>
  <c r="AD175" i="3"/>
  <c r="AE175" i="3" s="1"/>
  <c r="AF175" i="3"/>
  <c r="AD173" i="6"/>
  <c r="AE173" i="6" s="1"/>
  <c r="AF173" i="6"/>
  <c r="F350" i="3"/>
  <c r="G350" i="3" s="1"/>
  <c r="X349" i="6"/>
  <c r="V349" i="6"/>
  <c r="N141" i="4" l="1"/>
  <c r="E141" i="9" s="1"/>
  <c r="AJ348" i="6"/>
  <c r="AJ349" i="3"/>
  <c r="AH349" i="6"/>
  <c r="AG173" i="6"/>
  <c r="AA174" i="6" s="1"/>
  <c r="AC174" i="6" s="1"/>
  <c r="AG175" i="3"/>
  <c r="AA176" i="3" s="1"/>
  <c r="AC176" i="3" s="1"/>
  <c r="F348" i="11"/>
  <c r="X350" i="6"/>
  <c r="V350" i="6"/>
  <c r="C350" i="4" s="1"/>
  <c r="X351" i="3"/>
  <c r="V351" i="3"/>
  <c r="I352" i="3"/>
  <c r="K352" i="3" s="1"/>
  <c r="D349" i="11"/>
  <c r="Z349" i="6"/>
  <c r="F351" i="3"/>
  <c r="G351" i="3" s="1"/>
  <c r="M353" i="3"/>
  <c r="N353" i="3" s="1"/>
  <c r="O353" i="3" s="1"/>
  <c r="T353" i="3" s="1"/>
  <c r="L354" i="3"/>
  <c r="U351" i="6"/>
  <c r="W350" i="3"/>
  <c r="Z350" i="3" s="1"/>
  <c r="AH350" i="3" s="1"/>
  <c r="M352" i="6"/>
  <c r="N352" i="6" s="1"/>
  <c r="O352" i="6" s="1"/>
  <c r="T352" i="6" s="1"/>
  <c r="L353" i="6"/>
  <c r="I352" i="6"/>
  <c r="H353" i="6"/>
  <c r="C350" i="11"/>
  <c r="F352" i="6"/>
  <c r="K351" i="6"/>
  <c r="U352" i="3"/>
  <c r="H348" i="4"/>
  <c r="C349" i="4"/>
  <c r="W351" i="6"/>
  <c r="G351" i="6"/>
  <c r="G142" i="4" l="1"/>
  <c r="J142" i="4" s="1"/>
  <c r="AJ349" i="6"/>
  <c r="AJ350" i="3"/>
  <c r="AH350" i="6"/>
  <c r="D173" i="9"/>
  <c r="C175" i="9"/>
  <c r="X352" i="3"/>
  <c r="V352" i="3"/>
  <c r="U353" i="3"/>
  <c r="F350" i="4"/>
  <c r="P350" i="4" s="1"/>
  <c r="E350" i="11"/>
  <c r="F352" i="3"/>
  <c r="G352" i="3" s="1"/>
  <c r="AD176" i="3"/>
  <c r="AE176" i="3" s="1"/>
  <c r="AF176" i="3"/>
  <c r="E349" i="11"/>
  <c r="F349" i="11" s="1"/>
  <c r="F349" i="4"/>
  <c r="P349" i="4" s="1"/>
  <c r="AD174" i="6"/>
  <c r="AE174" i="6" s="1"/>
  <c r="AF174" i="6"/>
  <c r="W351" i="3"/>
  <c r="Z351" i="3" s="1"/>
  <c r="U352" i="6"/>
  <c r="C351" i="11"/>
  <c r="I353" i="3"/>
  <c r="K353" i="3" s="1"/>
  <c r="X351" i="6"/>
  <c r="V351" i="6"/>
  <c r="C351" i="4" s="1"/>
  <c r="D350" i="11"/>
  <c r="Z350" i="6"/>
  <c r="F353" i="6"/>
  <c r="K352" i="6"/>
  <c r="W352" i="6"/>
  <c r="G352" i="6"/>
  <c r="I353" i="6"/>
  <c r="H354" i="6"/>
  <c r="M353" i="6"/>
  <c r="N353" i="6" s="1"/>
  <c r="O353" i="6" s="1"/>
  <c r="T353" i="6" s="1"/>
  <c r="L354" i="6"/>
  <c r="M354" i="3"/>
  <c r="N354" i="3" s="1"/>
  <c r="O354" i="3" s="1"/>
  <c r="T354" i="3" s="1"/>
  <c r="L355" i="3"/>
  <c r="M142" i="4" l="1"/>
  <c r="K142" i="4"/>
  <c r="L142" i="4" s="1"/>
  <c r="AJ350" i="6"/>
  <c r="AH351" i="3"/>
  <c r="AJ351" i="3" s="1"/>
  <c r="AH351" i="6"/>
  <c r="F350" i="11"/>
  <c r="AG174" i="6"/>
  <c r="AA175" i="6" s="1"/>
  <c r="AC175" i="6" s="1"/>
  <c r="AG176" i="3"/>
  <c r="AA177" i="3" s="1"/>
  <c r="AC177" i="3" s="1"/>
  <c r="X352" i="6"/>
  <c r="V352" i="6"/>
  <c r="C352" i="4" s="1"/>
  <c r="F353" i="3"/>
  <c r="G353" i="3" s="1"/>
  <c r="W352" i="3"/>
  <c r="Z352" i="3" s="1"/>
  <c r="H355" i="6"/>
  <c r="I354" i="6"/>
  <c r="U354" i="3"/>
  <c r="H350" i="4"/>
  <c r="E351" i="11"/>
  <c r="F351" i="4"/>
  <c r="P351" i="4" s="1"/>
  <c r="X353" i="3"/>
  <c r="V353" i="3"/>
  <c r="G353" i="6"/>
  <c r="W353" i="6"/>
  <c r="M354" i="6"/>
  <c r="N354" i="6" s="1"/>
  <c r="O354" i="6" s="1"/>
  <c r="T354" i="6" s="1"/>
  <c r="L355" i="6"/>
  <c r="I354" i="3"/>
  <c r="K354" i="3" s="1"/>
  <c r="C352" i="11"/>
  <c r="F354" i="6"/>
  <c r="K353" i="6"/>
  <c r="D351" i="11"/>
  <c r="Z351" i="6"/>
  <c r="H349" i="4"/>
  <c r="M355" i="3"/>
  <c r="N355" i="3" s="1"/>
  <c r="O355" i="3" s="1"/>
  <c r="T355" i="3" s="1"/>
  <c r="L356" i="3"/>
  <c r="U353" i="6"/>
  <c r="N142" i="4" l="1"/>
  <c r="E142" i="9" s="1"/>
  <c r="AJ351" i="6"/>
  <c r="AH352" i="3"/>
  <c r="AJ352" i="3" s="1"/>
  <c r="AH352" i="6"/>
  <c r="D174" i="9"/>
  <c r="C176" i="9"/>
  <c r="F351" i="11"/>
  <c r="X354" i="3"/>
  <c r="V354" i="3"/>
  <c r="U354" i="6"/>
  <c r="U355" i="3"/>
  <c r="F355" i="6"/>
  <c r="K354" i="6"/>
  <c r="X353" i="6"/>
  <c r="V353" i="6"/>
  <c r="C353" i="4" s="1"/>
  <c r="H356" i="6"/>
  <c r="I355" i="6"/>
  <c r="W353" i="3"/>
  <c r="Z353" i="3" s="1"/>
  <c r="D352" i="11"/>
  <c r="Z352" i="6"/>
  <c r="W354" i="6"/>
  <c r="G354" i="6"/>
  <c r="C353" i="11"/>
  <c r="H351" i="4"/>
  <c r="AF177" i="3"/>
  <c r="AD177" i="3"/>
  <c r="AE177" i="3" s="1"/>
  <c r="F354" i="3"/>
  <c r="G354" i="3" s="1"/>
  <c r="M356" i="3"/>
  <c r="N356" i="3" s="1"/>
  <c r="O356" i="3" s="1"/>
  <c r="T356" i="3" s="1"/>
  <c r="L357" i="3"/>
  <c r="F352" i="4"/>
  <c r="P352" i="4" s="1"/>
  <c r="E352" i="11"/>
  <c r="I355" i="3"/>
  <c r="K355" i="3" s="1"/>
  <c r="M355" i="6"/>
  <c r="N355" i="6" s="1"/>
  <c r="O355" i="6" s="1"/>
  <c r="T355" i="6" s="1"/>
  <c r="L356" i="6"/>
  <c r="AD175" i="6"/>
  <c r="AE175" i="6" s="1"/>
  <c r="AF175" i="6"/>
  <c r="G143" i="4" l="1"/>
  <c r="J143" i="4" s="1"/>
  <c r="K143" i="4" s="1"/>
  <c r="L143" i="4" s="1"/>
  <c r="AJ352" i="6"/>
  <c r="AH353" i="3"/>
  <c r="AJ353" i="3" s="1"/>
  <c r="AH353" i="6"/>
  <c r="AG175" i="6"/>
  <c r="D175" i="9" s="1"/>
  <c r="F352" i="11"/>
  <c r="AG177" i="3"/>
  <c r="AA178" i="3" s="1"/>
  <c r="AC178" i="3" s="1"/>
  <c r="F353" i="4"/>
  <c r="P353" i="4" s="1"/>
  <c r="E353" i="11"/>
  <c r="X355" i="3"/>
  <c r="V355" i="3"/>
  <c r="F356" i="6"/>
  <c r="K355" i="6"/>
  <c r="U355" i="6"/>
  <c r="W355" i="6"/>
  <c r="G355" i="6"/>
  <c r="F355" i="3"/>
  <c r="G355" i="3" s="1"/>
  <c r="I356" i="3"/>
  <c r="K356" i="3" s="1"/>
  <c r="X354" i="6"/>
  <c r="V354" i="6"/>
  <c r="C354" i="4" s="1"/>
  <c r="I356" i="6"/>
  <c r="H357" i="6"/>
  <c r="H352" i="4"/>
  <c r="M357" i="3"/>
  <c r="N357" i="3" s="1"/>
  <c r="O357" i="3" s="1"/>
  <c r="T357" i="3" s="1"/>
  <c r="L358" i="3"/>
  <c r="W354" i="3"/>
  <c r="Z354" i="3" s="1"/>
  <c r="AH354" i="6" s="1"/>
  <c r="C354" i="11"/>
  <c r="D353" i="11"/>
  <c r="Z353" i="6"/>
  <c r="M356" i="6"/>
  <c r="N356" i="6" s="1"/>
  <c r="O356" i="6" s="1"/>
  <c r="T356" i="6" s="1"/>
  <c r="L357" i="6"/>
  <c r="U356" i="3"/>
  <c r="M143" i="4" l="1"/>
  <c r="N143" i="4" s="1"/>
  <c r="C177" i="9"/>
  <c r="AJ353" i="6"/>
  <c r="AH354" i="3"/>
  <c r="AJ354" i="3" s="1"/>
  <c r="AA176" i="6"/>
  <c r="AC176" i="6" s="1"/>
  <c r="AD176" i="6" s="1"/>
  <c r="AE176" i="6" s="1"/>
  <c r="F353" i="11"/>
  <c r="U356" i="6"/>
  <c r="F357" i="6"/>
  <c r="K356" i="6"/>
  <c r="Z354" i="6"/>
  <c r="AJ354" i="6" s="1"/>
  <c r="D354" i="11"/>
  <c r="W356" i="6"/>
  <c r="G356" i="6"/>
  <c r="AD178" i="3"/>
  <c r="AE178" i="3" s="1"/>
  <c r="AF178" i="3"/>
  <c r="I357" i="3"/>
  <c r="K357" i="3" s="1"/>
  <c r="C355" i="11"/>
  <c r="X355" i="6"/>
  <c r="V355" i="6"/>
  <c r="F356" i="3"/>
  <c r="G356" i="3" s="1"/>
  <c r="X356" i="3"/>
  <c r="V356" i="3"/>
  <c r="H358" i="6"/>
  <c r="I357" i="6"/>
  <c r="M357" i="6"/>
  <c r="N357" i="6" s="1"/>
  <c r="O357" i="6" s="1"/>
  <c r="T357" i="6" s="1"/>
  <c r="L358" i="6"/>
  <c r="F354" i="4"/>
  <c r="P354" i="4" s="1"/>
  <c r="E354" i="11"/>
  <c r="M358" i="3"/>
  <c r="N358" i="3" s="1"/>
  <c r="O358" i="3" s="1"/>
  <c r="T358" i="3" s="1"/>
  <c r="L359" i="3"/>
  <c r="U357" i="3"/>
  <c r="W355" i="3"/>
  <c r="Z355" i="3" s="1"/>
  <c r="H353" i="4"/>
  <c r="G144" i="4" l="1"/>
  <c r="J144" i="4" s="1"/>
  <c r="E143" i="9"/>
  <c r="AF176" i="6"/>
  <c r="AH355" i="3"/>
  <c r="AJ355" i="3" s="1"/>
  <c r="AH355" i="6"/>
  <c r="AG178" i="3"/>
  <c r="AA179" i="3" s="1"/>
  <c r="AC179" i="3" s="1"/>
  <c r="AG176" i="6"/>
  <c r="AA177" i="6" s="1"/>
  <c r="AC177" i="6" s="1"/>
  <c r="F354" i="11"/>
  <c r="X356" i="6"/>
  <c r="V356" i="6"/>
  <c r="C356" i="4" s="1"/>
  <c r="W356" i="3"/>
  <c r="Z356" i="3" s="1"/>
  <c r="Z355" i="6"/>
  <c r="AJ355" i="6" s="1"/>
  <c r="D355" i="11"/>
  <c r="W357" i="6"/>
  <c r="G357" i="6"/>
  <c r="C355" i="4"/>
  <c r="M358" i="6"/>
  <c r="N358" i="6" s="1"/>
  <c r="O358" i="6" s="1"/>
  <c r="T358" i="6" s="1"/>
  <c r="L359" i="6"/>
  <c r="I358" i="3"/>
  <c r="K358" i="3" s="1"/>
  <c r="M359" i="3"/>
  <c r="N359" i="3" s="1"/>
  <c r="O359" i="3" s="1"/>
  <c r="T359" i="3" s="1"/>
  <c r="L360" i="3"/>
  <c r="F358" i="6"/>
  <c r="K357" i="6"/>
  <c r="U358" i="3"/>
  <c r="U357" i="6"/>
  <c r="I358" i="6"/>
  <c r="H359" i="6"/>
  <c r="X357" i="3"/>
  <c r="V357" i="3"/>
  <c r="H354" i="4"/>
  <c r="F357" i="3"/>
  <c r="G357" i="3" s="1"/>
  <c r="C356" i="11"/>
  <c r="M144" i="4" l="1"/>
  <c r="K144" i="4"/>
  <c r="L144" i="4" s="1"/>
  <c r="C178" i="9"/>
  <c r="D176" i="9"/>
  <c r="AH356" i="3"/>
  <c r="AJ356" i="3" s="1"/>
  <c r="AH356" i="6"/>
  <c r="X358" i="3"/>
  <c r="V358" i="3"/>
  <c r="E355" i="11"/>
  <c r="F355" i="11" s="1"/>
  <c r="F355" i="4"/>
  <c r="P355" i="4" s="1"/>
  <c r="U358" i="6"/>
  <c r="H360" i="6"/>
  <c r="I359" i="6"/>
  <c r="F359" i="6"/>
  <c r="K358" i="6"/>
  <c r="X357" i="6"/>
  <c r="V357" i="6"/>
  <c r="W357" i="3"/>
  <c r="Z357" i="3" s="1"/>
  <c r="C357" i="11"/>
  <c r="W358" i="6"/>
  <c r="G358" i="6"/>
  <c r="M360" i="3"/>
  <c r="N360" i="3" s="1"/>
  <c r="O360" i="3" s="1"/>
  <c r="T360" i="3" s="1"/>
  <c r="L361" i="3"/>
  <c r="U359" i="3"/>
  <c r="AD177" i="6"/>
  <c r="AE177" i="6" s="1"/>
  <c r="AF177" i="6"/>
  <c r="E356" i="11"/>
  <c r="F356" i="4"/>
  <c r="P356" i="4" s="1"/>
  <c r="AD179" i="3"/>
  <c r="AE179" i="3" s="1"/>
  <c r="AF179" i="3"/>
  <c r="I359" i="3"/>
  <c r="K359" i="3" s="1"/>
  <c r="D356" i="11"/>
  <c r="Z356" i="6"/>
  <c r="F358" i="3"/>
  <c r="G358" i="3" s="1"/>
  <c r="M359" i="6"/>
  <c r="N359" i="6" s="1"/>
  <c r="O359" i="6" s="1"/>
  <c r="T359" i="6" s="1"/>
  <c r="L360" i="6"/>
  <c r="N144" i="4" l="1"/>
  <c r="E144" i="9" s="1"/>
  <c r="AJ356" i="6"/>
  <c r="AH357" i="3"/>
  <c r="AJ357" i="3" s="1"/>
  <c r="AH357" i="6"/>
  <c r="AG179" i="3"/>
  <c r="AA180" i="3" s="1"/>
  <c r="AC180" i="3" s="1"/>
  <c r="F356" i="11"/>
  <c r="AG177" i="6"/>
  <c r="AA178" i="6" s="1"/>
  <c r="AC178" i="6" s="1"/>
  <c r="X358" i="6"/>
  <c r="V358" i="6"/>
  <c r="C358" i="4" s="1"/>
  <c r="X359" i="3"/>
  <c r="V359" i="3"/>
  <c r="M360" i="6"/>
  <c r="N360" i="6" s="1"/>
  <c r="O360" i="6" s="1"/>
  <c r="T360" i="6" s="1"/>
  <c r="L361" i="6"/>
  <c r="D357" i="11"/>
  <c r="Z357" i="6"/>
  <c r="W358" i="3"/>
  <c r="Z358" i="3" s="1"/>
  <c r="AH358" i="6" s="1"/>
  <c r="F360" i="6"/>
  <c r="K359" i="6"/>
  <c r="U360" i="3"/>
  <c r="I360" i="6"/>
  <c r="H361" i="6"/>
  <c r="U359" i="6"/>
  <c r="W359" i="6"/>
  <c r="G359" i="6"/>
  <c r="M361" i="3"/>
  <c r="N361" i="3" s="1"/>
  <c r="O361" i="3" s="1"/>
  <c r="T361" i="3" s="1"/>
  <c r="L362" i="3"/>
  <c r="I360" i="3"/>
  <c r="K360" i="3" s="1"/>
  <c r="H355" i="4"/>
  <c r="C357" i="4"/>
  <c r="C358" i="11"/>
  <c r="F359" i="3"/>
  <c r="G359" i="3" s="1"/>
  <c r="H356" i="4"/>
  <c r="G145" i="4" l="1"/>
  <c r="J145" i="4" s="1"/>
  <c r="D177" i="9"/>
  <c r="C179" i="9"/>
  <c r="AH358" i="3"/>
  <c r="AJ358" i="3" s="1"/>
  <c r="AJ357" i="6"/>
  <c r="X360" i="3"/>
  <c r="V360" i="3"/>
  <c r="M362" i="3"/>
  <c r="N362" i="3" s="1"/>
  <c r="O362" i="3" s="1"/>
  <c r="T362" i="3" s="1"/>
  <c r="L363" i="3"/>
  <c r="M361" i="6"/>
  <c r="N361" i="6" s="1"/>
  <c r="O361" i="6" s="1"/>
  <c r="T361" i="6" s="1"/>
  <c r="L362" i="6"/>
  <c r="U360" i="6"/>
  <c r="C359" i="11"/>
  <c r="W359" i="3"/>
  <c r="Z359" i="3" s="1"/>
  <c r="X359" i="6"/>
  <c r="V359" i="6"/>
  <c r="C359" i="4" s="1"/>
  <c r="F360" i="3"/>
  <c r="G360" i="3" s="1"/>
  <c r="F357" i="4"/>
  <c r="P357" i="4" s="1"/>
  <c r="E357" i="11"/>
  <c r="F357" i="11" s="1"/>
  <c r="H362" i="6"/>
  <c r="I361" i="6"/>
  <c r="AD178" i="6"/>
  <c r="AE178" i="6" s="1"/>
  <c r="AF178" i="6"/>
  <c r="I361" i="3"/>
  <c r="K361" i="3" s="1"/>
  <c r="D358" i="11"/>
  <c r="Z358" i="6"/>
  <c r="AJ358" i="6" s="1"/>
  <c r="U361" i="3"/>
  <c r="F358" i="4"/>
  <c r="P358" i="4" s="1"/>
  <c r="E358" i="11"/>
  <c r="F361" i="6"/>
  <c r="K360" i="6"/>
  <c r="G360" i="6"/>
  <c r="W360" i="6"/>
  <c r="AF180" i="3"/>
  <c r="AD180" i="3"/>
  <c r="AE180" i="3" s="1"/>
  <c r="K145" i="4" l="1"/>
  <c r="L145" i="4" s="1"/>
  <c r="M145" i="4"/>
  <c r="AH359" i="3"/>
  <c r="AJ359" i="3" s="1"/>
  <c r="AH359" i="6"/>
  <c r="AG180" i="3"/>
  <c r="AA181" i="3" s="1"/>
  <c r="AC181" i="3" s="1"/>
  <c r="AG178" i="6"/>
  <c r="AA179" i="6" s="1"/>
  <c r="AC179" i="6" s="1"/>
  <c r="F358" i="11"/>
  <c r="X360" i="6"/>
  <c r="V360" i="6"/>
  <c r="C360" i="4" s="1"/>
  <c r="E359" i="11"/>
  <c r="F359" i="4"/>
  <c r="P359" i="4" s="1"/>
  <c r="F361" i="3"/>
  <c r="G361" i="3" s="1"/>
  <c r="F362" i="6"/>
  <c r="K361" i="6"/>
  <c r="W361" i="6"/>
  <c r="G361" i="6"/>
  <c r="H363" i="6"/>
  <c r="I362" i="6"/>
  <c r="M362" i="6"/>
  <c r="N362" i="6" s="1"/>
  <c r="O362" i="6" s="1"/>
  <c r="T362" i="6" s="1"/>
  <c r="L363" i="6"/>
  <c r="U361" i="6"/>
  <c r="I362" i="3"/>
  <c r="K362" i="3" s="1"/>
  <c r="H357" i="4"/>
  <c r="M363" i="3"/>
  <c r="N363" i="3" s="1"/>
  <c r="O363" i="3" s="1"/>
  <c r="T363" i="3" s="1"/>
  <c r="L364" i="3"/>
  <c r="H358" i="4"/>
  <c r="U362" i="3"/>
  <c r="W360" i="3"/>
  <c r="Z360" i="3" s="1"/>
  <c r="AH360" i="3" s="1"/>
  <c r="C360" i="11"/>
  <c r="Z359" i="6"/>
  <c r="AJ359" i="6" s="1"/>
  <c r="D359" i="11"/>
  <c r="X361" i="3"/>
  <c r="V361" i="3"/>
  <c r="C180" i="9" l="1"/>
  <c r="N145" i="4"/>
  <c r="G146" i="4" s="1"/>
  <c r="J146" i="4" s="1"/>
  <c r="AJ360" i="3"/>
  <c r="AH360" i="6"/>
  <c r="D178" i="9"/>
  <c r="F359" i="11"/>
  <c r="X362" i="3"/>
  <c r="V362" i="3"/>
  <c r="X361" i="6"/>
  <c r="V361" i="6"/>
  <c r="C361" i="4" s="1"/>
  <c r="M364" i="3"/>
  <c r="N364" i="3" s="1"/>
  <c r="O364" i="3" s="1"/>
  <c r="T364" i="3" s="1"/>
  <c r="L365" i="3"/>
  <c r="W362" i="6"/>
  <c r="G362" i="6"/>
  <c r="C361" i="11"/>
  <c r="W361" i="3"/>
  <c r="Z361" i="3" s="1"/>
  <c r="AH361" i="6" s="1"/>
  <c r="H359" i="4"/>
  <c r="I363" i="3"/>
  <c r="K363" i="3" s="1"/>
  <c r="F362" i="3"/>
  <c r="G362" i="3" s="1"/>
  <c r="AF179" i="6"/>
  <c r="AD179" i="6"/>
  <c r="AE179" i="6" s="1"/>
  <c r="E360" i="11"/>
  <c r="F360" i="4"/>
  <c r="P360" i="4" s="1"/>
  <c r="M363" i="6"/>
  <c r="N363" i="6" s="1"/>
  <c r="O363" i="6" s="1"/>
  <c r="T363" i="6" s="1"/>
  <c r="L364" i="6"/>
  <c r="U362" i="6"/>
  <c r="D360" i="11"/>
  <c r="Z360" i="6"/>
  <c r="AJ360" i="6" s="1"/>
  <c r="F363" i="6"/>
  <c r="K362" i="6"/>
  <c r="H364" i="6"/>
  <c r="I363" i="6"/>
  <c r="AF181" i="3"/>
  <c r="AD181" i="3"/>
  <c r="AE181" i="3" s="1"/>
  <c r="E145" i="9" l="1"/>
  <c r="K146" i="4"/>
  <c r="L146" i="4" s="1"/>
  <c r="AH361" i="3"/>
  <c r="AJ361" i="3" s="1"/>
  <c r="AG179" i="6"/>
  <c r="D179" i="9" s="1"/>
  <c r="AG181" i="3"/>
  <c r="C181" i="9" s="1"/>
  <c r="F360" i="11"/>
  <c r="F361" i="4"/>
  <c r="P361" i="4" s="1"/>
  <c r="E361" i="11"/>
  <c r="H365" i="6"/>
  <c r="I364" i="6"/>
  <c r="U364" i="3"/>
  <c r="W362" i="3"/>
  <c r="Z362" i="3" s="1"/>
  <c r="M365" i="3"/>
  <c r="N365" i="3" s="1"/>
  <c r="O365" i="3" s="1"/>
  <c r="T365" i="3" s="1"/>
  <c r="L366" i="3"/>
  <c r="U363" i="3"/>
  <c r="W363" i="6"/>
  <c r="G363" i="6"/>
  <c r="F364" i="6"/>
  <c r="K363" i="6"/>
  <c r="F363" i="3"/>
  <c r="C362" i="11"/>
  <c r="Z361" i="6"/>
  <c r="AJ361" i="6" s="1"/>
  <c r="D361" i="11"/>
  <c r="I364" i="3"/>
  <c r="K364" i="3" s="1"/>
  <c r="X362" i="6"/>
  <c r="V362" i="6"/>
  <c r="C362" i="4" s="1"/>
  <c r="M364" i="6"/>
  <c r="N364" i="6" s="1"/>
  <c r="O364" i="6" s="1"/>
  <c r="T364" i="6" s="1"/>
  <c r="L365" i="6"/>
  <c r="H360" i="4"/>
  <c r="U363" i="6"/>
  <c r="M146" i="4" l="1"/>
  <c r="N146" i="4" s="1"/>
  <c r="G363" i="3"/>
  <c r="AA180" i="6"/>
  <c r="AC180" i="6" s="1"/>
  <c r="AH362" i="3"/>
  <c r="AJ362" i="3" s="1"/>
  <c r="AH362" i="6"/>
  <c r="F361" i="11"/>
  <c r="AA182" i="3"/>
  <c r="AC182" i="3" s="1"/>
  <c r="AD182" i="3" s="1"/>
  <c r="AE182" i="3" s="1"/>
  <c r="X363" i="6"/>
  <c r="V363" i="6"/>
  <c r="F362" i="4"/>
  <c r="P362" i="4" s="1"/>
  <c r="E362" i="11"/>
  <c r="W363" i="3"/>
  <c r="U365" i="3"/>
  <c r="AF180" i="6"/>
  <c r="AD180" i="6"/>
  <c r="AE180" i="6" s="1"/>
  <c r="M366" i="3"/>
  <c r="N366" i="3" s="1"/>
  <c r="O366" i="3" s="1"/>
  <c r="T366" i="3" s="1"/>
  <c r="L367" i="3"/>
  <c r="X364" i="3"/>
  <c r="V364" i="3"/>
  <c r="W364" i="6"/>
  <c r="G364" i="6"/>
  <c r="U364" i="6"/>
  <c r="Z362" i="6"/>
  <c r="D362" i="11"/>
  <c r="F365" i="6"/>
  <c r="K364" i="6"/>
  <c r="M365" i="6"/>
  <c r="N365" i="6" s="1"/>
  <c r="O365" i="6" s="1"/>
  <c r="T365" i="6" s="1"/>
  <c r="L366" i="6"/>
  <c r="I365" i="6"/>
  <c r="H366" i="6"/>
  <c r="I365" i="3"/>
  <c r="K365" i="3" s="1"/>
  <c r="H361" i="4"/>
  <c r="F364" i="3"/>
  <c r="G364" i="3" s="1"/>
  <c r="X363" i="3"/>
  <c r="V363" i="3"/>
  <c r="G147" i="4" l="1"/>
  <c r="J147" i="4" s="1"/>
  <c r="E146" i="9"/>
  <c r="M14" i="10" s="1"/>
  <c r="AJ362" i="6"/>
  <c r="AF182" i="3"/>
  <c r="AG182" i="3" s="1"/>
  <c r="AA183" i="3" s="1"/>
  <c r="AC183" i="3" s="1"/>
  <c r="F362" i="11"/>
  <c r="AG180" i="6"/>
  <c r="AA181" i="6" s="1"/>
  <c r="AC181" i="6" s="1"/>
  <c r="X365" i="3"/>
  <c r="V365" i="3"/>
  <c r="X364" i="6"/>
  <c r="V364" i="6"/>
  <c r="W364" i="3"/>
  <c r="Z364" i="3" s="1"/>
  <c r="W365" i="6"/>
  <c r="G365" i="6"/>
  <c r="M367" i="3"/>
  <c r="N367" i="3" s="1"/>
  <c r="O367" i="3" s="1"/>
  <c r="T367" i="3" s="1"/>
  <c r="L368" i="3"/>
  <c r="Z363" i="3"/>
  <c r="C363" i="11"/>
  <c r="C363" i="4"/>
  <c r="C364" i="11"/>
  <c r="U366" i="3"/>
  <c r="H362" i="4"/>
  <c r="F365" i="3"/>
  <c r="D363" i="11"/>
  <c r="Z363" i="6"/>
  <c r="I366" i="3"/>
  <c r="K366" i="3" s="1"/>
  <c r="I366" i="6"/>
  <c r="H367" i="6"/>
  <c r="F366" i="6"/>
  <c r="K365" i="6"/>
  <c r="M366" i="6"/>
  <c r="N366" i="6" s="1"/>
  <c r="O366" i="6" s="1"/>
  <c r="T366" i="6" s="1"/>
  <c r="L367" i="6"/>
  <c r="M147" i="4" l="1"/>
  <c r="K147" i="4"/>
  <c r="L147" i="4" s="1"/>
  <c r="N147" i="4" s="1"/>
  <c r="G365" i="3"/>
  <c r="AH363" i="6"/>
  <c r="AJ363" i="6" s="1"/>
  <c r="AH363" i="3"/>
  <c r="AJ363" i="3" s="1"/>
  <c r="AH364" i="3"/>
  <c r="AJ364" i="3" s="1"/>
  <c r="AH364" i="6"/>
  <c r="C182" i="9"/>
  <c r="C17" i="10" s="1"/>
  <c r="D180" i="9"/>
  <c r="X366" i="3"/>
  <c r="V366" i="3"/>
  <c r="M367" i="6"/>
  <c r="N367" i="6" s="1"/>
  <c r="O367" i="6" s="1"/>
  <c r="T367" i="6" s="1"/>
  <c r="L368" i="6"/>
  <c r="U366" i="6"/>
  <c r="H368" i="6"/>
  <c r="I367" i="6"/>
  <c r="W366" i="6"/>
  <c r="G366" i="6"/>
  <c r="D364" i="11"/>
  <c r="Z364" i="6"/>
  <c r="C364" i="4"/>
  <c r="E363" i="11"/>
  <c r="F363" i="11" s="1"/>
  <c r="F363" i="4"/>
  <c r="P363" i="4" s="1"/>
  <c r="I367" i="3"/>
  <c r="K367" i="3" s="1"/>
  <c r="M368" i="3"/>
  <c r="N368" i="3" s="1"/>
  <c r="O368" i="3" s="1"/>
  <c r="T368" i="3" s="1"/>
  <c r="L369" i="3"/>
  <c r="C365" i="11"/>
  <c r="U365" i="6"/>
  <c r="F367" i="6"/>
  <c r="K366" i="6"/>
  <c r="U367" i="3"/>
  <c r="F366" i="3"/>
  <c r="G366" i="3" s="1"/>
  <c r="AD181" i="6"/>
  <c r="AE181" i="6" s="1"/>
  <c r="AF181" i="6"/>
  <c r="W365" i="3"/>
  <c r="Z365" i="3" s="1"/>
  <c r="AD183" i="3"/>
  <c r="AE183" i="3" s="1"/>
  <c r="AF183" i="3"/>
  <c r="E147" i="9" l="1"/>
  <c r="G148" i="4"/>
  <c r="J148" i="4" s="1"/>
  <c r="AJ364" i="6"/>
  <c r="AH365" i="3"/>
  <c r="AJ365" i="3" s="1"/>
  <c r="AH365" i="6"/>
  <c r="AG181" i="6"/>
  <c r="AA182" i="6" s="1"/>
  <c r="AC182" i="6" s="1"/>
  <c r="AG183" i="3"/>
  <c r="AA184" i="3" s="1"/>
  <c r="AC184" i="3" s="1"/>
  <c r="X367" i="3"/>
  <c r="V367" i="3"/>
  <c r="G367" i="6"/>
  <c r="W367" i="6"/>
  <c r="X365" i="6"/>
  <c r="V365" i="6"/>
  <c r="M369" i="3"/>
  <c r="N369" i="3" s="1"/>
  <c r="O369" i="3" s="1"/>
  <c r="T369" i="3" s="1"/>
  <c r="L370" i="3"/>
  <c r="F368" i="6"/>
  <c r="K367" i="6"/>
  <c r="H369" i="6"/>
  <c r="I368" i="6"/>
  <c r="I368" i="3"/>
  <c r="K368" i="3" s="1"/>
  <c r="X366" i="6"/>
  <c r="V366" i="6"/>
  <c r="C366" i="4" s="1"/>
  <c r="U368" i="3"/>
  <c r="W366" i="3"/>
  <c r="Z366" i="3" s="1"/>
  <c r="AH366" i="6" s="1"/>
  <c r="F367" i="3"/>
  <c r="H363" i="4"/>
  <c r="M368" i="6"/>
  <c r="N368" i="6" s="1"/>
  <c r="O368" i="6" s="1"/>
  <c r="T368" i="6" s="1"/>
  <c r="L369" i="6"/>
  <c r="U367" i="6"/>
  <c r="F364" i="4"/>
  <c r="P364" i="4" s="1"/>
  <c r="E364" i="11"/>
  <c r="F364" i="11" s="1"/>
  <c r="C366" i="11"/>
  <c r="K148" i="4" l="1"/>
  <c r="L148" i="4" s="1"/>
  <c r="G367" i="3"/>
  <c r="AH366" i="3"/>
  <c r="AJ366" i="3" s="1"/>
  <c r="D181" i="9"/>
  <c r="C183" i="9"/>
  <c r="X368" i="3"/>
  <c r="V368" i="3"/>
  <c r="F368" i="3"/>
  <c r="G368" i="3" s="1"/>
  <c r="E366" i="11"/>
  <c r="F366" i="4"/>
  <c r="P366" i="4" s="1"/>
  <c r="AD182" i="6"/>
  <c r="AE182" i="6" s="1"/>
  <c r="AF182" i="6"/>
  <c r="Z365" i="6"/>
  <c r="AJ365" i="6" s="1"/>
  <c r="D365" i="11"/>
  <c r="C365" i="4"/>
  <c r="Z366" i="6"/>
  <c r="AJ366" i="6" s="1"/>
  <c r="D366" i="11"/>
  <c r="H364" i="4"/>
  <c r="X367" i="6"/>
  <c r="V367" i="6"/>
  <c r="C367" i="4" s="1"/>
  <c r="I369" i="3"/>
  <c r="K369" i="3" s="1"/>
  <c r="U368" i="6"/>
  <c r="F369" i="6"/>
  <c r="K368" i="6"/>
  <c r="AD184" i="3"/>
  <c r="AE184" i="3" s="1"/>
  <c r="AF184" i="3"/>
  <c r="H370" i="6"/>
  <c r="I369" i="6"/>
  <c r="C367" i="11"/>
  <c r="M369" i="6"/>
  <c r="N369" i="6" s="1"/>
  <c r="O369" i="6" s="1"/>
  <c r="T369" i="6" s="1"/>
  <c r="L370" i="6"/>
  <c r="W368" i="6"/>
  <c r="G368" i="6"/>
  <c r="M370" i="3"/>
  <c r="N370" i="3" s="1"/>
  <c r="O370" i="3" s="1"/>
  <c r="T370" i="3" s="1"/>
  <c r="L371" i="3"/>
  <c r="W367" i="3"/>
  <c r="Z367" i="3" s="1"/>
  <c r="U369" i="3"/>
  <c r="M148" i="4" l="1"/>
  <c r="N148" i="4" s="1"/>
  <c r="AH367" i="3"/>
  <c r="AJ367" i="3" s="1"/>
  <c r="AH367" i="6"/>
  <c r="F366" i="11"/>
  <c r="AG182" i="6"/>
  <c r="AA183" i="6" s="1"/>
  <c r="AC183" i="6" s="1"/>
  <c r="AG184" i="3"/>
  <c r="AA185" i="3" s="1"/>
  <c r="AC185" i="3" s="1"/>
  <c r="M371" i="3"/>
  <c r="N371" i="3" s="1"/>
  <c r="O371" i="3" s="1"/>
  <c r="T371" i="3" s="1"/>
  <c r="L372" i="3"/>
  <c r="U370" i="3"/>
  <c r="F365" i="4"/>
  <c r="P365" i="4" s="1"/>
  <c r="E365" i="11"/>
  <c r="F365" i="11" s="1"/>
  <c r="X368" i="6"/>
  <c r="V368" i="6"/>
  <c r="W369" i="6"/>
  <c r="G369" i="6"/>
  <c r="M370" i="6"/>
  <c r="N370" i="6" s="1"/>
  <c r="O370" i="6" s="1"/>
  <c r="T370" i="6" s="1"/>
  <c r="L371" i="6"/>
  <c r="U369" i="6"/>
  <c r="I370" i="3"/>
  <c r="K370" i="3" s="1"/>
  <c r="F369" i="3"/>
  <c r="H366" i="4"/>
  <c r="D367" i="11"/>
  <c r="Z367" i="6"/>
  <c r="C368" i="11"/>
  <c r="X369" i="3"/>
  <c r="V369" i="3"/>
  <c r="W368" i="3"/>
  <c r="Z368" i="3" s="1"/>
  <c r="AH368" i="3" s="1"/>
  <c r="F370" i="6"/>
  <c r="K369" i="6"/>
  <c r="F367" i="4"/>
  <c r="P367" i="4" s="1"/>
  <c r="E367" i="11"/>
  <c r="H371" i="6"/>
  <c r="I370" i="6"/>
  <c r="G149" i="4" l="1"/>
  <c r="J149" i="4" s="1"/>
  <c r="E148" i="9"/>
  <c r="G369" i="3"/>
  <c r="AJ367" i="6"/>
  <c r="AJ368" i="3"/>
  <c r="AH368" i="6"/>
  <c r="C184" i="9"/>
  <c r="D182" i="9"/>
  <c r="H17" i="10" s="1"/>
  <c r="F367" i="11"/>
  <c r="X370" i="3"/>
  <c r="V370" i="3"/>
  <c r="X369" i="6"/>
  <c r="V369" i="6"/>
  <c r="AF183" i="6"/>
  <c r="AD183" i="6"/>
  <c r="AE183" i="6" s="1"/>
  <c r="Z368" i="6"/>
  <c r="D368" i="11"/>
  <c r="W369" i="3"/>
  <c r="Z369" i="3" s="1"/>
  <c r="AH369" i="3" s="1"/>
  <c r="I371" i="3"/>
  <c r="K371" i="3" s="1"/>
  <c r="M371" i="6"/>
  <c r="N371" i="6" s="1"/>
  <c r="O371" i="6" s="1"/>
  <c r="T371" i="6" s="1"/>
  <c r="L372" i="6"/>
  <c r="C369" i="11"/>
  <c r="F370" i="3"/>
  <c r="G370" i="3" s="1"/>
  <c r="C368" i="4"/>
  <c r="U370" i="6"/>
  <c r="H365" i="4"/>
  <c r="M372" i="3"/>
  <c r="N372" i="3" s="1"/>
  <c r="O372" i="3" s="1"/>
  <c r="T372" i="3" s="1"/>
  <c r="L373" i="3"/>
  <c r="H372" i="6"/>
  <c r="I371" i="6"/>
  <c r="U371" i="3"/>
  <c r="W370" i="6"/>
  <c r="G370" i="6"/>
  <c r="F371" i="6"/>
  <c r="K370" i="6"/>
  <c r="H367" i="4"/>
  <c r="AD185" i="3"/>
  <c r="AE185" i="3" s="1"/>
  <c r="AF185" i="3"/>
  <c r="K149" i="4" l="1"/>
  <c r="L149" i="4" s="1"/>
  <c r="M149" i="4"/>
  <c r="AJ368" i="6"/>
  <c r="AJ369" i="3"/>
  <c r="AH369" i="6"/>
  <c r="AG185" i="3"/>
  <c r="C185" i="9" s="1"/>
  <c r="AG183" i="6"/>
  <c r="AA184" i="6" s="1"/>
  <c r="AC184" i="6" s="1"/>
  <c r="X371" i="3"/>
  <c r="V371" i="3"/>
  <c r="M373" i="3"/>
  <c r="N373" i="3" s="1"/>
  <c r="O373" i="3" s="1"/>
  <c r="T373" i="3" s="1"/>
  <c r="L374" i="3"/>
  <c r="I372" i="3"/>
  <c r="K372" i="3" s="1"/>
  <c r="U372" i="3"/>
  <c r="F371" i="3"/>
  <c r="G371" i="3" s="1"/>
  <c r="F368" i="4"/>
  <c r="P368" i="4" s="1"/>
  <c r="E368" i="11"/>
  <c r="F368" i="11" s="1"/>
  <c r="W371" i="6"/>
  <c r="G371" i="6"/>
  <c r="W370" i="3"/>
  <c r="Z370" i="3" s="1"/>
  <c r="Z369" i="6"/>
  <c r="D369" i="11"/>
  <c r="X370" i="6"/>
  <c r="V370" i="6"/>
  <c r="C370" i="4" s="1"/>
  <c r="C369" i="4"/>
  <c r="C370" i="11"/>
  <c r="F372" i="6"/>
  <c r="K371" i="6"/>
  <c r="M372" i="6"/>
  <c r="N372" i="6" s="1"/>
  <c r="O372" i="6" s="1"/>
  <c r="T372" i="6" s="1"/>
  <c r="L373" i="6"/>
  <c r="H373" i="6"/>
  <c r="I372" i="6"/>
  <c r="U371" i="6"/>
  <c r="N149" i="4" l="1"/>
  <c r="E149" i="9" s="1"/>
  <c r="AJ369" i="6"/>
  <c r="AH370" i="3"/>
  <c r="AJ370" i="3" s="1"/>
  <c r="AH370" i="6"/>
  <c r="AA186" i="3"/>
  <c r="AC186" i="3" s="1"/>
  <c r="AD186" i="3" s="1"/>
  <c r="AE186" i="3" s="1"/>
  <c r="D183" i="9"/>
  <c r="X371" i="6"/>
  <c r="V371" i="6"/>
  <c r="C371" i="4" s="1"/>
  <c r="M373" i="6"/>
  <c r="N373" i="6" s="1"/>
  <c r="O373" i="6" s="1"/>
  <c r="T373" i="6" s="1"/>
  <c r="L374" i="6"/>
  <c r="F373" i="6"/>
  <c r="K372" i="6"/>
  <c r="W371" i="3"/>
  <c r="Z371" i="3" s="1"/>
  <c r="I373" i="3"/>
  <c r="K373" i="3" s="1"/>
  <c r="U372" i="6"/>
  <c r="F372" i="3"/>
  <c r="G372" i="3" s="1"/>
  <c r="H374" i="6"/>
  <c r="I373" i="6"/>
  <c r="W372" i="6"/>
  <c r="G372" i="6"/>
  <c r="M374" i="3"/>
  <c r="N374" i="3" s="1"/>
  <c r="O374" i="3" s="1"/>
  <c r="T374" i="3" s="1"/>
  <c r="L375" i="3"/>
  <c r="U373" i="3"/>
  <c r="X372" i="3"/>
  <c r="V372" i="3"/>
  <c r="AD184" i="6"/>
  <c r="AE184" i="6" s="1"/>
  <c r="AF184" i="6"/>
  <c r="E369" i="11"/>
  <c r="F369" i="11" s="1"/>
  <c r="F369" i="4"/>
  <c r="P369" i="4" s="1"/>
  <c r="H368" i="4"/>
  <c r="C371" i="11"/>
  <c r="E370" i="11"/>
  <c r="F370" i="4"/>
  <c r="P370" i="4" s="1"/>
  <c r="D370" i="11"/>
  <c r="Z370" i="6"/>
  <c r="G150" i="4" l="1"/>
  <c r="AJ370" i="6"/>
  <c r="AH371" i="3"/>
  <c r="AJ371" i="3" s="1"/>
  <c r="AH371" i="6"/>
  <c r="AF186" i="3"/>
  <c r="AG186" i="3" s="1"/>
  <c r="AA187" i="3" s="1"/>
  <c r="AC187" i="3" s="1"/>
  <c r="AG184" i="6"/>
  <c r="AA185" i="6" s="1"/>
  <c r="AC185" i="6" s="1"/>
  <c r="F370" i="11"/>
  <c r="X373" i="3"/>
  <c r="V373" i="3"/>
  <c r="F371" i="4"/>
  <c r="P371" i="4" s="1"/>
  <c r="E371" i="11"/>
  <c r="I374" i="3"/>
  <c r="K374" i="3" s="1"/>
  <c r="F373" i="3"/>
  <c r="G373" i="3" s="1"/>
  <c r="H370" i="4"/>
  <c r="M375" i="3"/>
  <c r="N375" i="3" s="1"/>
  <c r="O375" i="3" s="1"/>
  <c r="T375" i="3" s="1"/>
  <c r="L376" i="3"/>
  <c r="U374" i="3"/>
  <c r="W373" i="6"/>
  <c r="G373" i="6"/>
  <c r="M374" i="6"/>
  <c r="N374" i="6" s="1"/>
  <c r="O374" i="6" s="1"/>
  <c r="T374" i="6" s="1"/>
  <c r="L375" i="6"/>
  <c r="U373" i="6"/>
  <c r="Z371" i="6"/>
  <c r="D371" i="11"/>
  <c r="C372" i="11"/>
  <c r="F374" i="6"/>
  <c r="K373" i="6"/>
  <c r="X372" i="6"/>
  <c r="V372" i="6"/>
  <c r="C372" i="4" s="1"/>
  <c r="H369" i="4"/>
  <c r="H375" i="6"/>
  <c r="I374" i="6"/>
  <c r="W372" i="3"/>
  <c r="Z372" i="3" s="1"/>
  <c r="AH372" i="3" s="1"/>
  <c r="J150" i="4" l="1"/>
  <c r="K150" i="4" s="1"/>
  <c r="L150" i="4" s="1"/>
  <c r="AJ371" i="6"/>
  <c r="D184" i="9"/>
  <c r="AH372" i="6"/>
  <c r="AJ372" i="3"/>
  <c r="F371" i="11"/>
  <c r="C186" i="9"/>
  <c r="X374" i="3"/>
  <c r="V374" i="3"/>
  <c r="W374" i="6"/>
  <c r="G374" i="6"/>
  <c r="U375" i="3"/>
  <c r="AD185" i="6"/>
  <c r="AE185" i="6" s="1"/>
  <c r="AF185" i="6"/>
  <c r="F372" i="4"/>
  <c r="P372" i="4" s="1"/>
  <c r="E372" i="11"/>
  <c r="W373" i="3"/>
  <c r="Z373" i="3" s="1"/>
  <c r="AH373" i="6" s="1"/>
  <c r="I375" i="3"/>
  <c r="K375" i="3" s="1"/>
  <c r="X373" i="6"/>
  <c r="V373" i="6"/>
  <c r="C373" i="4" s="1"/>
  <c r="F374" i="3"/>
  <c r="G374" i="3" s="1"/>
  <c r="F375" i="6"/>
  <c r="K374" i="6"/>
  <c r="C9" i="5" s="1"/>
  <c r="M375" i="6"/>
  <c r="N375" i="6" s="1"/>
  <c r="O375" i="6" s="1"/>
  <c r="T375" i="6" s="1"/>
  <c r="L376" i="6"/>
  <c r="H371" i="4"/>
  <c r="AF187" i="3"/>
  <c r="AD187" i="3"/>
  <c r="AE187" i="3" s="1"/>
  <c r="H376" i="6"/>
  <c r="I375" i="6"/>
  <c r="M376" i="3"/>
  <c r="N376" i="3" s="1"/>
  <c r="O376" i="3" s="1"/>
  <c r="T376" i="3" s="1"/>
  <c r="L377" i="3"/>
  <c r="U374" i="6"/>
  <c r="D372" i="11"/>
  <c r="Z372" i="6"/>
  <c r="C373" i="11"/>
  <c r="M150" i="4" l="1"/>
  <c r="N150" i="4" s="1"/>
  <c r="AJ372" i="6"/>
  <c r="AH373" i="3"/>
  <c r="AJ373" i="3" s="1"/>
  <c r="F372" i="11"/>
  <c r="AG187" i="3"/>
  <c r="C187" i="9" s="1"/>
  <c r="AG185" i="6"/>
  <c r="AA186" i="6" s="1"/>
  <c r="AC186" i="6" s="1"/>
  <c r="X374" i="6"/>
  <c r="V374" i="6"/>
  <c r="C374" i="4" s="1"/>
  <c r="X375" i="3"/>
  <c r="V375" i="3"/>
  <c r="H372" i="4"/>
  <c r="W374" i="3"/>
  <c r="Z374" i="3" s="1"/>
  <c r="U375" i="6"/>
  <c r="U376" i="3"/>
  <c r="M377" i="3"/>
  <c r="N377" i="3" s="1"/>
  <c r="O377" i="3" s="1"/>
  <c r="T377" i="3" s="1"/>
  <c r="L378" i="3"/>
  <c r="W375" i="6"/>
  <c r="G375" i="6"/>
  <c r="I376" i="3"/>
  <c r="K376" i="3" s="1"/>
  <c r="Z373" i="6"/>
  <c r="AJ373" i="6" s="1"/>
  <c r="D373" i="11"/>
  <c r="E373" i="11"/>
  <c r="F373" i="4"/>
  <c r="P373" i="4" s="1"/>
  <c r="M376" i="6"/>
  <c r="N376" i="6" s="1"/>
  <c r="O376" i="6" s="1"/>
  <c r="T376" i="6" s="1"/>
  <c r="L377" i="6"/>
  <c r="F376" i="6"/>
  <c r="K375" i="6"/>
  <c r="I376" i="6"/>
  <c r="H377" i="6"/>
  <c r="C374" i="11"/>
  <c r="C8" i="5"/>
  <c r="F375" i="3"/>
  <c r="G375" i="3" s="1"/>
  <c r="G151" i="4" l="1"/>
  <c r="J151" i="4" s="1"/>
  <c r="M151" i="4" s="1"/>
  <c r="E150" i="9"/>
  <c r="AH374" i="3"/>
  <c r="AJ374" i="3" s="1"/>
  <c r="AH374" i="6"/>
  <c r="AA188" i="3"/>
  <c r="AC188" i="3" s="1"/>
  <c r="AD188" i="3" s="1"/>
  <c r="AE188" i="3" s="1"/>
  <c r="D185" i="9"/>
  <c r="F373" i="11"/>
  <c r="X375" i="6"/>
  <c r="V375" i="6"/>
  <c r="M377" i="6"/>
  <c r="N377" i="6" s="1"/>
  <c r="O377" i="6" s="1"/>
  <c r="T377" i="6" s="1"/>
  <c r="L378" i="6"/>
  <c r="I377" i="6"/>
  <c r="H378" i="6"/>
  <c r="I377" i="3"/>
  <c r="K377" i="3" s="1"/>
  <c r="H373" i="4"/>
  <c r="C375" i="11"/>
  <c r="K376" i="6"/>
  <c r="F377" i="6"/>
  <c r="F376" i="3"/>
  <c r="G376" i="3" s="1"/>
  <c r="U376" i="6"/>
  <c r="F374" i="4"/>
  <c r="P374" i="4" s="1"/>
  <c r="E374" i="11"/>
  <c r="AF186" i="6"/>
  <c r="AD186" i="6"/>
  <c r="AE186" i="6" s="1"/>
  <c r="M378" i="3"/>
  <c r="N378" i="3" s="1"/>
  <c r="O378" i="3" s="1"/>
  <c r="T378" i="3" s="1"/>
  <c r="L379" i="3"/>
  <c r="U377" i="3"/>
  <c r="Z374" i="6"/>
  <c r="D374" i="11"/>
  <c r="W375" i="3"/>
  <c r="Z375" i="3" s="1"/>
  <c r="W376" i="6"/>
  <c r="G376" i="6"/>
  <c r="X376" i="3"/>
  <c r="V376" i="3"/>
  <c r="K151" i="4" l="1"/>
  <c r="L151" i="4" s="1"/>
  <c r="N151" i="4" s="1"/>
  <c r="G152" i="4" s="1"/>
  <c r="J152" i="4" s="1"/>
  <c r="AF188" i="3"/>
  <c r="AG188" i="3" s="1"/>
  <c r="AA189" i="3" s="1"/>
  <c r="AC189" i="3" s="1"/>
  <c r="AJ374" i="6"/>
  <c r="AH375" i="3"/>
  <c r="AJ375" i="3" s="1"/>
  <c r="AH375" i="6"/>
  <c r="AG186" i="6"/>
  <c r="AA187" i="6" s="1"/>
  <c r="AC187" i="6" s="1"/>
  <c r="F374" i="11"/>
  <c r="X376" i="6"/>
  <c r="V376" i="6"/>
  <c r="C376" i="4" s="1"/>
  <c r="X377" i="3"/>
  <c r="V377" i="3"/>
  <c r="M379" i="3"/>
  <c r="N379" i="3" s="1"/>
  <c r="O379" i="3" s="1"/>
  <c r="T379" i="3" s="1"/>
  <c r="L380" i="3"/>
  <c r="U378" i="3"/>
  <c r="I378" i="3"/>
  <c r="K378" i="3" s="1"/>
  <c r="F377" i="3"/>
  <c r="G377" i="3" s="1"/>
  <c r="I378" i="6"/>
  <c r="H379" i="6"/>
  <c r="F378" i="6"/>
  <c r="K377" i="6"/>
  <c r="C376" i="11"/>
  <c r="H374" i="4"/>
  <c r="M378" i="6"/>
  <c r="N378" i="6" s="1"/>
  <c r="O378" i="6" s="1"/>
  <c r="T378" i="6" s="1"/>
  <c r="L379" i="6"/>
  <c r="U377" i="6"/>
  <c r="Z375" i="6"/>
  <c r="D375" i="11"/>
  <c r="W376" i="3"/>
  <c r="Z376" i="3" s="1"/>
  <c r="AH376" i="3" s="1"/>
  <c r="W377" i="6"/>
  <c r="G377" i="6"/>
  <c r="C375" i="4"/>
  <c r="E151" i="9" l="1"/>
  <c r="AJ375" i="6"/>
  <c r="AJ376" i="3"/>
  <c r="AH376" i="6"/>
  <c r="C188" i="9"/>
  <c r="D186" i="9"/>
  <c r="I379" i="3"/>
  <c r="K379" i="3" s="1"/>
  <c r="F378" i="3"/>
  <c r="G378" i="3" s="1"/>
  <c r="U378" i="6"/>
  <c r="X378" i="3"/>
  <c r="V378" i="3"/>
  <c r="X377" i="6"/>
  <c r="V377" i="6"/>
  <c r="M379" i="6"/>
  <c r="N379" i="6" s="1"/>
  <c r="O379" i="6" s="1"/>
  <c r="T379" i="6" s="1"/>
  <c r="L380" i="6"/>
  <c r="M380" i="3"/>
  <c r="N380" i="3" s="1"/>
  <c r="O380" i="3" s="1"/>
  <c r="T380" i="3" s="1"/>
  <c r="L381" i="3"/>
  <c r="F376" i="4"/>
  <c r="P376" i="4" s="1"/>
  <c r="E376" i="11"/>
  <c r="U379" i="3"/>
  <c r="C377" i="11"/>
  <c r="W378" i="6"/>
  <c r="G378" i="6"/>
  <c r="AF187" i="6"/>
  <c r="AD187" i="6"/>
  <c r="AE187" i="6" s="1"/>
  <c r="H380" i="6"/>
  <c r="I379" i="6"/>
  <c r="AD189" i="3"/>
  <c r="AE189" i="3" s="1"/>
  <c r="AF189" i="3"/>
  <c r="F379" i="6"/>
  <c r="K378" i="6"/>
  <c r="D376" i="11"/>
  <c r="Z376" i="6"/>
  <c r="W377" i="3"/>
  <c r="Z377" i="3" s="1"/>
  <c r="E375" i="11"/>
  <c r="F375" i="11" s="1"/>
  <c r="F375" i="4"/>
  <c r="P375" i="4" s="1"/>
  <c r="K152" i="4" l="1"/>
  <c r="L152" i="4" s="1"/>
  <c r="M152" i="4"/>
  <c r="AH377" i="3"/>
  <c r="AJ377" i="3" s="1"/>
  <c r="AJ376" i="6"/>
  <c r="AH377" i="6"/>
  <c r="F376" i="11"/>
  <c r="AG189" i="3"/>
  <c r="C189" i="9" s="1"/>
  <c r="AG187" i="6"/>
  <c r="D187" i="9" s="1"/>
  <c r="X378" i="6"/>
  <c r="V378" i="6"/>
  <c r="C378" i="4" s="1"/>
  <c r="H375" i="4"/>
  <c r="W379" i="6"/>
  <c r="G379" i="6"/>
  <c r="U380" i="3"/>
  <c r="M380" i="6"/>
  <c r="N380" i="6" s="1"/>
  <c r="O380" i="6" s="1"/>
  <c r="T380" i="6" s="1"/>
  <c r="L381" i="6"/>
  <c r="U379" i="6"/>
  <c r="Z377" i="6"/>
  <c r="D377" i="11"/>
  <c r="C378" i="11"/>
  <c r="C377" i="4"/>
  <c r="W378" i="3"/>
  <c r="Z378" i="3" s="1"/>
  <c r="X379" i="3"/>
  <c r="V379" i="3"/>
  <c r="I380" i="3"/>
  <c r="K380" i="3" s="1"/>
  <c r="F380" i="6"/>
  <c r="K379" i="6"/>
  <c r="H381" i="6"/>
  <c r="I380" i="6"/>
  <c r="H376" i="4"/>
  <c r="F379" i="3"/>
  <c r="G379" i="3" s="1"/>
  <c r="M381" i="3"/>
  <c r="N381" i="3" s="1"/>
  <c r="O381" i="3" s="1"/>
  <c r="T381" i="3" s="1"/>
  <c r="L382" i="3"/>
  <c r="N152" i="4" l="1"/>
  <c r="E152" i="9" s="1"/>
  <c r="AJ377" i="6"/>
  <c r="AH378" i="3"/>
  <c r="AJ378" i="3" s="1"/>
  <c r="AH378" i="6"/>
  <c r="AA188" i="6"/>
  <c r="AC188" i="6" s="1"/>
  <c r="AD188" i="6" s="1"/>
  <c r="AE188" i="6" s="1"/>
  <c r="AA190" i="3"/>
  <c r="AC190" i="3" s="1"/>
  <c r="AD190" i="3" s="1"/>
  <c r="AE190" i="3" s="1"/>
  <c r="X379" i="6"/>
  <c r="V379" i="6"/>
  <c r="C379" i="4" s="1"/>
  <c r="W380" i="6"/>
  <c r="G380" i="6"/>
  <c r="M381" i="6"/>
  <c r="N381" i="6" s="1"/>
  <c r="O381" i="6" s="1"/>
  <c r="T381" i="6" s="1"/>
  <c r="L382" i="6"/>
  <c r="U380" i="6"/>
  <c r="M382" i="3"/>
  <c r="N382" i="3" s="1"/>
  <c r="O382" i="3" s="1"/>
  <c r="T382" i="3" s="1"/>
  <c r="L383" i="3"/>
  <c r="U381" i="3"/>
  <c r="X380" i="3"/>
  <c r="V380" i="3"/>
  <c r="F381" i="6"/>
  <c r="K380" i="6"/>
  <c r="I381" i="6"/>
  <c r="H382" i="6"/>
  <c r="E378" i="11"/>
  <c r="F378" i="4"/>
  <c r="P378" i="4" s="1"/>
  <c r="W379" i="3"/>
  <c r="Z379" i="3" s="1"/>
  <c r="E377" i="11"/>
  <c r="F377" i="11" s="1"/>
  <c r="F377" i="4"/>
  <c r="P377" i="4" s="1"/>
  <c r="I381" i="3"/>
  <c r="K381" i="3" s="1"/>
  <c r="F380" i="3"/>
  <c r="G380" i="3" s="1"/>
  <c r="D378" i="11"/>
  <c r="Z378" i="6"/>
  <c r="C379" i="11"/>
  <c r="G153" i="4" l="1"/>
  <c r="J153" i="4" s="1"/>
  <c r="K153" i="4" s="1"/>
  <c r="L153" i="4" s="1"/>
  <c r="AJ378" i="6"/>
  <c r="AH379" i="3"/>
  <c r="AJ379" i="3" s="1"/>
  <c r="AH379" i="6"/>
  <c r="AF190" i="3"/>
  <c r="AG190" i="3" s="1"/>
  <c r="AA191" i="3" s="1"/>
  <c r="AC191" i="3" s="1"/>
  <c r="AF188" i="6"/>
  <c r="AG188" i="6" s="1"/>
  <c r="D188" i="9" s="1"/>
  <c r="F378" i="11"/>
  <c r="F379" i="4"/>
  <c r="P379" i="4" s="1"/>
  <c r="E379" i="11"/>
  <c r="C380" i="11"/>
  <c r="X381" i="3"/>
  <c r="V381" i="3"/>
  <c r="M383" i="3"/>
  <c r="N383" i="3" s="1"/>
  <c r="O383" i="3" s="1"/>
  <c r="T383" i="3" s="1"/>
  <c r="L384" i="3"/>
  <c r="U382" i="3"/>
  <c r="H378" i="4"/>
  <c r="W380" i="3"/>
  <c r="Z380" i="3" s="1"/>
  <c r="AH380" i="6" s="1"/>
  <c r="X380" i="6"/>
  <c r="V380" i="6"/>
  <c r="H383" i="6"/>
  <c r="I382" i="6"/>
  <c r="K381" i="6"/>
  <c r="F382" i="6"/>
  <c r="M382" i="6"/>
  <c r="N382" i="6" s="1"/>
  <c r="O382" i="6" s="1"/>
  <c r="T382" i="6" s="1"/>
  <c r="L383" i="6"/>
  <c r="U381" i="6"/>
  <c r="I382" i="3"/>
  <c r="K382" i="3" s="1"/>
  <c r="F381" i="3"/>
  <c r="G381" i="3" s="1"/>
  <c r="D379" i="11"/>
  <c r="Z379" i="6"/>
  <c r="W381" i="6"/>
  <c r="G381" i="6"/>
  <c r="H377" i="4"/>
  <c r="M153" i="4" l="1"/>
  <c r="N153" i="4" s="1"/>
  <c r="AH380" i="3"/>
  <c r="AJ380" i="3" s="1"/>
  <c r="AJ379" i="6"/>
  <c r="AA189" i="6"/>
  <c r="AC189" i="6" s="1"/>
  <c r="AF189" i="6" s="1"/>
  <c r="F379" i="11"/>
  <c r="C190" i="9"/>
  <c r="X381" i="6"/>
  <c r="V381" i="6"/>
  <c r="C381" i="4" s="1"/>
  <c r="X382" i="3"/>
  <c r="V382" i="3"/>
  <c r="U382" i="6"/>
  <c r="W382" i="6"/>
  <c r="G382" i="6"/>
  <c r="Z380" i="6"/>
  <c r="AJ380" i="6" s="1"/>
  <c r="D380" i="11"/>
  <c r="C380" i="4"/>
  <c r="C381" i="11"/>
  <c r="W381" i="3"/>
  <c r="Z381" i="3" s="1"/>
  <c r="AH381" i="6" s="1"/>
  <c r="H379" i="4"/>
  <c r="M384" i="3"/>
  <c r="N384" i="3" s="1"/>
  <c r="O384" i="3" s="1"/>
  <c r="T384" i="3" s="1"/>
  <c r="L385" i="3"/>
  <c r="F383" i="6"/>
  <c r="K382" i="6"/>
  <c r="H384" i="6"/>
  <c r="I383" i="6"/>
  <c r="F382" i="3"/>
  <c r="G382" i="3" s="1"/>
  <c r="M383" i="6"/>
  <c r="N383" i="6" s="1"/>
  <c r="O383" i="6" s="1"/>
  <c r="T383" i="6" s="1"/>
  <c r="L384" i="6"/>
  <c r="U383" i="3"/>
  <c r="I383" i="3"/>
  <c r="K383" i="3" s="1"/>
  <c r="AD191" i="3"/>
  <c r="AE191" i="3" s="1"/>
  <c r="AF191" i="3"/>
  <c r="E153" i="9" l="1"/>
  <c r="G154" i="4"/>
  <c r="J154" i="4" s="1"/>
  <c r="AD189" i="6"/>
  <c r="AE189" i="6" s="1"/>
  <c r="AG189" i="6" s="1"/>
  <c r="AA190" i="6" s="1"/>
  <c r="AC190" i="6" s="1"/>
  <c r="AH381" i="3"/>
  <c r="AJ381" i="3" s="1"/>
  <c r="AG191" i="3"/>
  <c r="AA192" i="3" s="1"/>
  <c r="AC192" i="3" s="1"/>
  <c r="X382" i="6"/>
  <c r="V382" i="6"/>
  <c r="C382" i="4" s="1"/>
  <c r="E380" i="11"/>
  <c r="F380" i="11" s="1"/>
  <c r="F380" i="4"/>
  <c r="P380" i="4" s="1"/>
  <c r="M385" i="3"/>
  <c r="N385" i="3" s="1"/>
  <c r="O385" i="3" s="1"/>
  <c r="T385" i="3" s="1"/>
  <c r="L386" i="3"/>
  <c r="F383" i="3"/>
  <c r="G383" i="3" s="1"/>
  <c r="W383" i="6"/>
  <c r="G383" i="6"/>
  <c r="M384" i="6"/>
  <c r="N384" i="6" s="1"/>
  <c r="O384" i="6" s="1"/>
  <c r="T384" i="6" s="1"/>
  <c r="L385" i="6"/>
  <c r="X383" i="3"/>
  <c r="V383" i="3"/>
  <c r="I384" i="3"/>
  <c r="K384" i="3" s="1"/>
  <c r="U383" i="6"/>
  <c r="W382" i="3"/>
  <c r="Z382" i="3" s="1"/>
  <c r="C382" i="11"/>
  <c r="U384" i="3"/>
  <c r="F384" i="6"/>
  <c r="K383" i="6"/>
  <c r="H385" i="6"/>
  <c r="I384" i="6"/>
  <c r="F381" i="4"/>
  <c r="P381" i="4" s="1"/>
  <c r="E381" i="11"/>
  <c r="D381" i="11"/>
  <c r="Z381" i="6"/>
  <c r="AJ381" i="6" s="1"/>
  <c r="C191" i="9" l="1"/>
  <c r="M154" i="4"/>
  <c r="K154" i="4"/>
  <c r="L154" i="4" s="1"/>
  <c r="D189" i="9"/>
  <c r="F381" i="11"/>
  <c r="AH382" i="3"/>
  <c r="AJ382" i="3" s="1"/>
  <c r="AH382" i="6"/>
  <c r="X384" i="3"/>
  <c r="V384" i="3"/>
  <c r="W383" i="3"/>
  <c r="Z383" i="3" s="1"/>
  <c r="M386" i="3"/>
  <c r="N386" i="3" s="1"/>
  <c r="O386" i="3" s="1"/>
  <c r="T386" i="3" s="1"/>
  <c r="L387" i="3"/>
  <c r="U385" i="3"/>
  <c r="X383" i="6"/>
  <c r="V383" i="6"/>
  <c r="AD192" i="3"/>
  <c r="AE192" i="3" s="1"/>
  <c r="AF192" i="3"/>
  <c r="H380" i="4"/>
  <c r="H381" i="4"/>
  <c r="I385" i="3"/>
  <c r="K385" i="3" s="1"/>
  <c r="F385" i="6"/>
  <c r="K384" i="6"/>
  <c r="F384" i="3"/>
  <c r="G384" i="3" s="1"/>
  <c r="Z382" i="6"/>
  <c r="D382" i="11"/>
  <c r="F382" i="4"/>
  <c r="P382" i="4" s="1"/>
  <c r="E382" i="11"/>
  <c r="W384" i="6"/>
  <c r="G384" i="6"/>
  <c r="H386" i="6"/>
  <c r="I385" i="6"/>
  <c r="C383" i="11"/>
  <c r="M385" i="6"/>
  <c r="N385" i="6" s="1"/>
  <c r="O385" i="6" s="1"/>
  <c r="T385" i="6" s="1"/>
  <c r="L386" i="6"/>
  <c r="AF190" i="6"/>
  <c r="AD190" i="6"/>
  <c r="AE190" i="6" s="1"/>
  <c r="U384" i="6"/>
  <c r="N154" i="4" l="1"/>
  <c r="G155" i="4" s="1"/>
  <c r="J155" i="4" s="1"/>
  <c r="AJ382" i="6"/>
  <c r="AH383" i="3"/>
  <c r="AJ383" i="3" s="1"/>
  <c r="AH383" i="6"/>
  <c r="AG192" i="3"/>
  <c r="AA193" i="3" s="1"/>
  <c r="AC193" i="3" s="1"/>
  <c r="F382" i="11"/>
  <c r="AG190" i="6"/>
  <c r="AA191" i="6" s="1"/>
  <c r="AC191" i="6" s="1"/>
  <c r="X384" i="6"/>
  <c r="V384" i="6"/>
  <c r="C384" i="4" s="1"/>
  <c r="H382" i="4"/>
  <c r="W384" i="3"/>
  <c r="Z384" i="3" s="1"/>
  <c r="AH384" i="3" s="1"/>
  <c r="M386" i="6"/>
  <c r="N386" i="6" s="1"/>
  <c r="O386" i="6" s="1"/>
  <c r="T386" i="6" s="1"/>
  <c r="L387" i="6"/>
  <c r="X385" i="3"/>
  <c r="V385" i="3"/>
  <c r="W385" i="6"/>
  <c r="G385" i="6"/>
  <c r="M387" i="3"/>
  <c r="N387" i="3" s="1"/>
  <c r="O387" i="3" s="1"/>
  <c r="T387" i="3" s="1"/>
  <c r="L388" i="3"/>
  <c r="I386" i="3"/>
  <c r="K386" i="3" s="1"/>
  <c r="U386" i="3"/>
  <c r="Z383" i="6"/>
  <c r="D383" i="11"/>
  <c r="F386" i="6"/>
  <c r="K385" i="6"/>
  <c r="C383" i="4"/>
  <c r="H387" i="6"/>
  <c r="I386" i="6"/>
  <c r="U385" i="6"/>
  <c r="C384" i="11"/>
  <c r="F385" i="3"/>
  <c r="G385" i="3" s="1"/>
  <c r="E154" i="9" l="1"/>
  <c r="K155" i="4"/>
  <c r="L155" i="4" s="1"/>
  <c r="M155" i="4"/>
  <c r="N155" i="4" s="1"/>
  <c r="AJ383" i="6"/>
  <c r="D190" i="9"/>
  <c r="C192" i="9"/>
  <c r="AJ384" i="3"/>
  <c r="AH384" i="6"/>
  <c r="X385" i="6"/>
  <c r="V385" i="6"/>
  <c r="C385" i="4" s="1"/>
  <c r="C385" i="11"/>
  <c r="M387" i="6"/>
  <c r="N387" i="6" s="1"/>
  <c r="O387" i="6" s="1"/>
  <c r="T387" i="6" s="1"/>
  <c r="L388" i="6"/>
  <c r="U386" i="6"/>
  <c r="W386" i="6"/>
  <c r="G386" i="6"/>
  <c r="X386" i="3"/>
  <c r="V386" i="3"/>
  <c r="F386" i="3"/>
  <c r="G386" i="3" s="1"/>
  <c r="U387" i="3"/>
  <c r="I387" i="3"/>
  <c r="K387" i="3" s="1"/>
  <c r="AD191" i="6"/>
  <c r="AE191" i="6" s="1"/>
  <c r="AF191" i="6"/>
  <c r="D384" i="11"/>
  <c r="Z384" i="6"/>
  <c r="W385" i="3"/>
  <c r="Z385" i="3" s="1"/>
  <c r="M388" i="3"/>
  <c r="N388" i="3" s="1"/>
  <c r="O388" i="3" s="1"/>
  <c r="T388" i="3" s="1"/>
  <c r="L389" i="3"/>
  <c r="F387" i="6"/>
  <c r="K386" i="6"/>
  <c r="F383" i="4"/>
  <c r="P383" i="4" s="1"/>
  <c r="E383" i="11"/>
  <c r="F383" i="11" s="1"/>
  <c r="E384" i="11"/>
  <c r="F384" i="4"/>
  <c r="P384" i="4" s="1"/>
  <c r="H388" i="6"/>
  <c r="I387" i="6"/>
  <c r="AF193" i="3"/>
  <c r="AD193" i="3"/>
  <c r="AE193" i="3" s="1"/>
  <c r="E155" i="9" l="1"/>
  <c r="G156" i="4"/>
  <c r="J156" i="4" s="1"/>
  <c r="AJ384" i="6"/>
  <c r="AH385" i="3"/>
  <c r="AJ385" i="3" s="1"/>
  <c r="AH385" i="6"/>
  <c r="AG193" i="3"/>
  <c r="AA194" i="3" s="1"/>
  <c r="AC194" i="3" s="1"/>
  <c r="F384" i="11"/>
  <c r="AG191" i="6"/>
  <c r="AA192" i="6" s="1"/>
  <c r="AC192" i="6" s="1"/>
  <c r="X387" i="3"/>
  <c r="V387" i="3"/>
  <c r="F388" i="6"/>
  <c r="K387" i="6"/>
  <c r="X386" i="6"/>
  <c r="V386" i="6"/>
  <c r="C386" i="4" s="1"/>
  <c r="M388" i="6"/>
  <c r="N388" i="6" s="1"/>
  <c r="O388" i="6" s="1"/>
  <c r="T388" i="6" s="1"/>
  <c r="L389" i="6"/>
  <c r="U387" i="6"/>
  <c r="H384" i="4"/>
  <c r="I388" i="3"/>
  <c r="K388" i="3" s="1"/>
  <c r="F385" i="4"/>
  <c r="P385" i="4" s="1"/>
  <c r="E385" i="11"/>
  <c r="F387" i="3"/>
  <c r="G387" i="3" s="1"/>
  <c r="H389" i="6"/>
  <c r="I388" i="6"/>
  <c r="H383" i="4"/>
  <c r="W386" i="3"/>
  <c r="Z386" i="3" s="1"/>
  <c r="D385" i="11"/>
  <c r="Z385" i="6"/>
  <c r="M389" i="3"/>
  <c r="N389" i="3" s="1"/>
  <c r="O389" i="3" s="1"/>
  <c r="T389" i="3" s="1"/>
  <c r="L390" i="3"/>
  <c r="C386" i="11"/>
  <c r="W387" i="6"/>
  <c r="G387" i="6"/>
  <c r="U388" i="3"/>
  <c r="M156" i="4" l="1"/>
  <c r="K156" i="4"/>
  <c r="L156" i="4" s="1"/>
  <c r="AJ385" i="6"/>
  <c r="D191" i="9"/>
  <c r="AH386" i="3"/>
  <c r="AJ386" i="3" s="1"/>
  <c r="AH386" i="6"/>
  <c r="C193" i="9"/>
  <c r="F385" i="11"/>
  <c r="X387" i="6"/>
  <c r="V387" i="6"/>
  <c r="C387" i="4" s="1"/>
  <c r="F386" i="4"/>
  <c r="P386" i="4" s="1"/>
  <c r="E386" i="11"/>
  <c r="F389" i="6"/>
  <c r="K388" i="6"/>
  <c r="X388" i="3"/>
  <c r="V388" i="3"/>
  <c r="I389" i="6"/>
  <c r="H390" i="6"/>
  <c r="M389" i="6"/>
  <c r="N389" i="6" s="1"/>
  <c r="O389" i="6" s="1"/>
  <c r="T389" i="6" s="1"/>
  <c r="L390" i="6"/>
  <c r="U388" i="6"/>
  <c r="M390" i="3"/>
  <c r="N390" i="3" s="1"/>
  <c r="O390" i="3" s="1"/>
  <c r="T390" i="3" s="1"/>
  <c r="L391" i="3"/>
  <c r="W387" i="3"/>
  <c r="Z387" i="3" s="1"/>
  <c r="G388" i="6"/>
  <c r="W388" i="6"/>
  <c r="C387" i="11"/>
  <c r="Z386" i="6"/>
  <c r="D386" i="11"/>
  <c r="H385" i="4"/>
  <c r="I389" i="3"/>
  <c r="K389" i="3" s="1"/>
  <c r="F388" i="3"/>
  <c r="G388" i="3" s="1"/>
  <c r="AF192" i="6"/>
  <c r="AD192" i="6"/>
  <c r="AE192" i="6" s="1"/>
  <c r="U389" i="3"/>
  <c r="AD194" i="3"/>
  <c r="AE194" i="3" s="1"/>
  <c r="AF194" i="3"/>
  <c r="AJ386" i="6" l="1"/>
  <c r="N156" i="4"/>
  <c r="E156" i="9" s="1"/>
  <c r="F386" i="11"/>
  <c r="AH387" i="3"/>
  <c r="AJ387" i="3" s="1"/>
  <c r="AH387" i="6"/>
  <c r="AG194" i="3"/>
  <c r="AA195" i="3" s="1"/>
  <c r="AC195" i="3" s="1"/>
  <c r="AG192" i="6"/>
  <c r="AA193" i="6" s="1"/>
  <c r="AC193" i="6" s="1"/>
  <c r="X388" i="6"/>
  <c r="V388" i="6"/>
  <c r="C388" i="4" s="1"/>
  <c r="X389" i="3"/>
  <c r="V389" i="3"/>
  <c r="E387" i="11"/>
  <c r="F387" i="4"/>
  <c r="P387" i="4" s="1"/>
  <c r="M390" i="6"/>
  <c r="N390" i="6" s="1"/>
  <c r="O390" i="6" s="1"/>
  <c r="T390" i="6" s="1"/>
  <c r="L391" i="6"/>
  <c r="U389" i="6"/>
  <c r="H391" i="6"/>
  <c r="I390" i="6"/>
  <c r="F390" i="6"/>
  <c r="K389" i="6"/>
  <c r="C388" i="11"/>
  <c r="W389" i="6"/>
  <c r="G389" i="6"/>
  <c r="M391" i="3"/>
  <c r="N391" i="3" s="1"/>
  <c r="O391" i="3" s="1"/>
  <c r="T391" i="3" s="1"/>
  <c r="L392" i="3"/>
  <c r="H386" i="4"/>
  <c r="F389" i="3"/>
  <c r="G389" i="3" s="1"/>
  <c r="U390" i="3"/>
  <c r="D387" i="11"/>
  <c r="Z387" i="6"/>
  <c r="I390" i="3"/>
  <c r="K390" i="3" s="1"/>
  <c r="W388" i="3"/>
  <c r="Z388" i="3" s="1"/>
  <c r="AH388" i="6" s="1"/>
  <c r="G157" i="4" l="1"/>
  <c r="J157" i="4" s="1"/>
  <c r="K157" i="4" s="1"/>
  <c r="L157" i="4" s="1"/>
  <c r="M157" i="4"/>
  <c r="C194" i="9"/>
  <c r="C18" i="10" s="1"/>
  <c r="AJ387" i="6"/>
  <c r="D192" i="9"/>
  <c r="AH388" i="3"/>
  <c r="AJ388" i="3" s="1"/>
  <c r="F387" i="11"/>
  <c r="X389" i="6"/>
  <c r="V389" i="6"/>
  <c r="C389" i="4" s="1"/>
  <c r="I391" i="6"/>
  <c r="H392" i="6"/>
  <c r="AD195" i="3"/>
  <c r="AE195" i="3" s="1"/>
  <c r="AF195" i="3"/>
  <c r="M391" i="6"/>
  <c r="N391" i="6" s="1"/>
  <c r="O391" i="6" s="1"/>
  <c r="T391" i="6" s="1"/>
  <c r="L392" i="6"/>
  <c r="M392" i="3"/>
  <c r="N392" i="3" s="1"/>
  <c r="O392" i="3" s="1"/>
  <c r="T392" i="3" s="1"/>
  <c r="L393" i="3"/>
  <c r="U390" i="6"/>
  <c r="H387" i="4"/>
  <c r="C389" i="11"/>
  <c r="E388" i="11"/>
  <c r="F388" i="4"/>
  <c r="P388" i="4" s="1"/>
  <c r="X390" i="3"/>
  <c r="V390" i="3"/>
  <c r="I391" i="3"/>
  <c r="K391" i="3" s="1"/>
  <c r="AD193" i="6"/>
  <c r="AE193" i="6" s="1"/>
  <c r="AF193" i="6"/>
  <c r="U391" i="3"/>
  <c r="F390" i="3"/>
  <c r="G390" i="3" s="1"/>
  <c r="D388" i="11"/>
  <c r="Z388" i="6"/>
  <c r="AJ388" i="6" s="1"/>
  <c r="F391" i="6"/>
  <c r="K390" i="6"/>
  <c r="W389" i="3"/>
  <c r="Z389" i="3" s="1"/>
  <c r="W390" i="6"/>
  <c r="G390" i="6"/>
  <c r="N157" i="4" l="1"/>
  <c r="E157" i="9" s="1"/>
  <c r="G158" i="4"/>
  <c r="J158" i="4" s="1"/>
  <c r="AH389" i="3"/>
  <c r="AJ389" i="3" s="1"/>
  <c r="AH389" i="6"/>
  <c r="AG195" i="3"/>
  <c r="AA196" i="3" s="1"/>
  <c r="AC196" i="3" s="1"/>
  <c r="AG193" i="6"/>
  <c r="AA194" i="6" s="1"/>
  <c r="AC194" i="6" s="1"/>
  <c r="F388" i="11"/>
  <c r="X391" i="3"/>
  <c r="V391" i="3"/>
  <c r="M393" i="3"/>
  <c r="N393" i="3" s="1"/>
  <c r="O393" i="3" s="1"/>
  <c r="T393" i="3" s="1"/>
  <c r="L394" i="3"/>
  <c r="U392" i="3"/>
  <c r="C390" i="11"/>
  <c r="M392" i="6"/>
  <c r="N392" i="6" s="1"/>
  <c r="O392" i="6" s="1"/>
  <c r="T392" i="6" s="1"/>
  <c r="L393" i="6"/>
  <c r="U391" i="6"/>
  <c r="I392" i="3"/>
  <c r="K392" i="3" s="1"/>
  <c r="F391" i="3"/>
  <c r="G391" i="3" s="1"/>
  <c r="W391" i="6"/>
  <c r="G391" i="6"/>
  <c r="H388" i="4"/>
  <c r="H393" i="6"/>
  <c r="I392" i="6"/>
  <c r="F392" i="6"/>
  <c r="K391" i="6"/>
  <c r="W390" i="3"/>
  <c r="Z390" i="3" s="1"/>
  <c r="E389" i="11"/>
  <c r="F389" i="4"/>
  <c r="P389" i="4" s="1"/>
  <c r="D389" i="11"/>
  <c r="Z389" i="6"/>
  <c r="X390" i="6"/>
  <c r="V390" i="6"/>
  <c r="K158" i="4" l="1"/>
  <c r="L158" i="4" s="1"/>
  <c r="AJ389" i="6"/>
  <c r="AH390" i="3"/>
  <c r="AJ390" i="3" s="1"/>
  <c r="AH390" i="6"/>
  <c r="C195" i="9"/>
  <c r="D193" i="9"/>
  <c r="F389" i="11"/>
  <c r="H389" i="4"/>
  <c r="F392" i="3"/>
  <c r="G392" i="3" s="1"/>
  <c r="D390" i="11"/>
  <c r="Z390" i="6"/>
  <c r="U392" i="6"/>
  <c r="M393" i="6"/>
  <c r="N393" i="6" s="1"/>
  <c r="O393" i="6" s="1"/>
  <c r="T393" i="6" s="1"/>
  <c r="L394" i="6"/>
  <c r="F393" i="6"/>
  <c r="K392" i="6"/>
  <c r="H394" i="6"/>
  <c r="I393" i="6"/>
  <c r="C390" i="4"/>
  <c r="W392" i="6"/>
  <c r="G392" i="6"/>
  <c r="X392" i="3"/>
  <c r="V392" i="3"/>
  <c r="M394" i="3"/>
  <c r="N394" i="3" s="1"/>
  <c r="O394" i="3" s="1"/>
  <c r="T394" i="3" s="1"/>
  <c r="L395" i="3"/>
  <c r="U393" i="3"/>
  <c r="W391" i="3"/>
  <c r="Z391" i="3" s="1"/>
  <c r="I393" i="3"/>
  <c r="K393" i="3" s="1"/>
  <c r="AD194" i="6"/>
  <c r="AE194" i="6" s="1"/>
  <c r="AF194" i="6"/>
  <c r="C391" i="11"/>
  <c r="AD196" i="3"/>
  <c r="AE196" i="3" s="1"/>
  <c r="AF196" i="3"/>
  <c r="X391" i="6"/>
  <c r="V391" i="6"/>
  <c r="M158" i="4" l="1"/>
  <c r="N158" i="4" s="1"/>
  <c r="AJ390" i="6"/>
  <c r="AH391" i="6"/>
  <c r="AH391" i="3"/>
  <c r="AJ391" i="3" s="1"/>
  <c r="AG196" i="3"/>
  <c r="AA197" i="3" s="1"/>
  <c r="AC197" i="3" s="1"/>
  <c r="AG194" i="6"/>
  <c r="AA195" i="6" s="1"/>
  <c r="AC195" i="6" s="1"/>
  <c r="X392" i="6"/>
  <c r="V392" i="6"/>
  <c r="C392" i="4" s="1"/>
  <c r="F390" i="4"/>
  <c r="P390" i="4" s="1"/>
  <c r="E390" i="11"/>
  <c r="F390" i="11" s="1"/>
  <c r="F394" i="6"/>
  <c r="K393" i="6"/>
  <c r="I394" i="6"/>
  <c r="H395" i="6"/>
  <c r="F393" i="3"/>
  <c r="G393" i="3" s="1"/>
  <c r="W393" i="6"/>
  <c r="G393" i="6"/>
  <c r="M394" i="6"/>
  <c r="N394" i="6" s="1"/>
  <c r="O394" i="6" s="1"/>
  <c r="T394" i="6" s="1"/>
  <c r="L395" i="6"/>
  <c r="Z391" i="6"/>
  <c r="D391" i="11"/>
  <c r="X393" i="3"/>
  <c r="V393" i="3"/>
  <c r="U393" i="6"/>
  <c r="M395" i="3"/>
  <c r="N395" i="3" s="1"/>
  <c r="O395" i="3" s="1"/>
  <c r="T395" i="3" s="1"/>
  <c r="L396" i="3"/>
  <c r="C391" i="4"/>
  <c r="U394" i="3"/>
  <c r="I394" i="3"/>
  <c r="K394" i="3" s="1"/>
  <c r="C392" i="11"/>
  <c r="W392" i="3"/>
  <c r="Z392" i="3" s="1"/>
  <c r="G159" i="4" l="1"/>
  <c r="J159" i="4" s="1"/>
  <c r="E158" i="9"/>
  <c r="M15" i="10" s="1"/>
  <c r="AJ391" i="6"/>
  <c r="AH392" i="6"/>
  <c r="AH392" i="3"/>
  <c r="AJ392" i="3" s="1"/>
  <c r="C196" i="9"/>
  <c r="D194" i="9"/>
  <c r="H18" i="10" s="1"/>
  <c r="X393" i="6"/>
  <c r="V393" i="6"/>
  <c r="C393" i="4" s="1"/>
  <c r="U395" i="3"/>
  <c r="H396" i="6"/>
  <c r="I395" i="6"/>
  <c r="K394" i="6"/>
  <c r="F395" i="6"/>
  <c r="C393" i="11"/>
  <c r="W394" i="6"/>
  <c r="G394" i="6"/>
  <c r="E392" i="11"/>
  <c r="F392" i="4"/>
  <c r="P392" i="4" s="1"/>
  <c r="H390" i="4"/>
  <c r="AF197" i="3"/>
  <c r="AD197" i="3"/>
  <c r="AE197" i="3" s="1"/>
  <c r="M395" i="6"/>
  <c r="N395" i="6" s="1"/>
  <c r="O395" i="6" s="1"/>
  <c r="T395" i="6" s="1"/>
  <c r="L396" i="6"/>
  <c r="D392" i="11"/>
  <c r="Z392" i="6"/>
  <c r="F394" i="3"/>
  <c r="G394" i="3" s="1"/>
  <c r="X394" i="3"/>
  <c r="V394" i="3"/>
  <c r="M396" i="3"/>
  <c r="N396" i="3" s="1"/>
  <c r="O396" i="3" s="1"/>
  <c r="T396" i="3" s="1"/>
  <c r="L397" i="3"/>
  <c r="I395" i="3"/>
  <c r="K395" i="3" s="1"/>
  <c r="U394" i="6"/>
  <c r="F391" i="4"/>
  <c r="P391" i="4" s="1"/>
  <c r="E391" i="11"/>
  <c r="F391" i="11" s="1"/>
  <c r="W393" i="3"/>
  <c r="Z393" i="3" s="1"/>
  <c r="AH393" i="6" s="1"/>
  <c r="AD195" i="6"/>
  <c r="AE195" i="6" s="1"/>
  <c r="AF195" i="6"/>
  <c r="K159" i="4" l="1"/>
  <c r="L159" i="4" s="1"/>
  <c r="M159" i="4"/>
  <c r="AJ392" i="6"/>
  <c r="AH393" i="3"/>
  <c r="AJ393" i="3" s="1"/>
  <c r="AG195" i="6"/>
  <c r="AA196" i="6" s="1"/>
  <c r="AC196" i="6" s="1"/>
  <c r="AG197" i="3"/>
  <c r="AA198" i="3" s="1"/>
  <c r="AC198" i="3" s="1"/>
  <c r="F392" i="11"/>
  <c r="X395" i="3"/>
  <c r="V395" i="3"/>
  <c r="W394" i="3"/>
  <c r="Z394" i="3" s="1"/>
  <c r="F395" i="3"/>
  <c r="G395" i="3" s="1"/>
  <c r="W395" i="6"/>
  <c r="G395" i="6"/>
  <c r="F396" i="6"/>
  <c r="K395" i="6"/>
  <c r="H391" i="4"/>
  <c r="E393" i="11"/>
  <c r="F393" i="4"/>
  <c r="P393" i="4" s="1"/>
  <c r="M396" i="6"/>
  <c r="N396" i="6" s="1"/>
  <c r="O396" i="6" s="1"/>
  <c r="T396" i="6" s="1"/>
  <c r="L397" i="6"/>
  <c r="U395" i="6"/>
  <c r="X394" i="6"/>
  <c r="V394" i="6"/>
  <c r="H397" i="6"/>
  <c r="I396" i="6"/>
  <c r="I396" i="3"/>
  <c r="K396" i="3" s="1"/>
  <c r="M397" i="3"/>
  <c r="N397" i="3" s="1"/>
  <c r="O397" i="3" s="1"/>
  <c r="T397" i="3" s="1"/>
  <c r="L398" i="3"/>
  <c r="H392" i="4"/>
  <c r="C394" i="11"/>
  <c r="D393" i="11"/>
  <c r="Z393" i="6"/>
  <c r="AJ393" i="6" s="1"/>
  <c r="U396" i="3"/>
  <c r="N159" i="4" l="1"/>
  <c r="G160" i="4" s="1"/>
  <c r="J160" i="4" s="1"/>
  <c r="AH394" i="3"/>
  <c r="AJ394" i="3" s="1"/>
  <c r="AH394" i="6"/>
  <c r="C197" i="9"/>
  <c r="F393" i="11"/>
  <c r="D195" i="9"/>
  <c r="F396" i="3"/>
  <c r="G396" i="3" s="1"/>
  <c r="W395" i="3"/>
  <c r="Z395" i="3" s="1"/>
  <c r="F397" i="6"/>
  <c r="K396" i="6"/>
  <c r="X395" i="6"/>
  <c r="V395" i="6"/>
  <c r="I397" i="6"/>
  <c r="H398" i="6"/>
  <c r="D394" i="11"/>
  <c r="Z394" i="6"/>
  <c r="C394" i="4"/>
  <c r="M397" i="6"/>
  <c r="N397" i="6" s="1"/>
  <c r="O397" i="6" s="1"/>
  <c r="T397" i="6" s="1"/>
  <c r="L398" i="6"/>
  <c r="U396" i="6"/>
  <c r="C395" i="11"/>
  <c r="X396" i="3"/>
  <c r="V396" i="3"/>
  <c r="H393" i="4"/>
  <c r="M398" i="3"/>
  <c r="N398" i="3" s="1"/>
  <c r="O398" i="3" s="1"/>
  <c r="T398" i="3" s="1"/>
  <c r="L399" i="3"/>
  <c r="U397" i="3"/>
  <c r="AD198" i="3"/>
  <c r="AE198" i="3" s="1"/>
  <c r="AF198" i="3"/>
  <c r="I397" i="3"/>
  <c r="K397" i="3" s="1"/>
  <c r="G396" i="6"/>
  <c r="W396" i="6"/>
  <c r="AF196" i="6"/>
  <c r="AD196" i="6"/>
  <c r="AE196" i="6" s="1"/>
  <c r="E159" i="9" l="1"/>
  <c r="K160" i="4"/>
  <c r="L160" i="4" s="1"/>
  <c r="M160" i="4"/>
  <c r="AJ394" i="6"/>
  <c r="AH395" i="3"/>
  <c r="AJ395" i="3" s="1"/>
  <c r="AH395" i="6"/>
  <c r="AG196" i="6"/>
  <c r="AA197" i="6" s="1"/>
  <c r="AC197" i="6" s="1"/>
  <c r="AG198" i="3"/>
  <c r="C198" i="9" s="1"/>
  <c r="M399" i="3"/>
  <c r="N399" i="3" s="1"/>
  <c r="O399" i="3" s="1"/>
  <c r="T399" i="3" s="1"/>
  <c r="L400" i="3"/>
  <c r="I398" i="6"/>
  <c r="H399" i="6"/>
  <c r="F398" i="6"/>
  <c r="K397" i="6"/>
  <c r="Z395" i="6"/>
  <c r="D395" i="11"/>
  <c r="C396" i="11"/>
  <c r="I398" i="3"/>
  <c r="K398" i="3" s="1"/>
  <c r="F397" i="3"/>
  <c r="G397" i="3" s="1"/>
  <c r="W397" i="6"/>
  <c r="G397" i="6"/>
  <c r="M398" i="6"/>
  <c r="N398" i="6" s="1"/>
  <c r="O398" i="6" s="1"/>
  <c r="T398" i="6" s="1"/>
  <c r="L399" i="6"/>
  <c r="W396" i="3"/>
  <c r="Z396" i="3" s="1"/>
  <c r="X396" i="6"/>
  <c r="V396" i="6"/>
  <c r="C396" i="4" s="1"/>
  <c r="U398" i="3"/>
  <c r="C395" i="4"/>
  <c r="U397" i="6"/>
  <c r="X397" i="3"/>
  <c r="V397" i="3"/>
  <c r="F394" i="4"/>
  <c r="P394" i="4" s="1"/>
  <c r="E394" i="11"/>
  <c r="F394" i="11" s="1"/>
  <c r="N160" i="4" l="1"/>
  <c r="G161" i="4" s="1"/>
  <c r="J161" i="4" s="1"/>
  <c r="AJ395" i="6"/>
  <c r="AH396" i="6"/>
  <c r="AH396" i="3"/>
  <c r="AJ396" i="3" s="1"/>
  <c r="AA199" i="3"/>
  <c r="AC199" i="3" s="1"/>
  <c r="AF199" i="3" s="1"/>
  <c r="D196" i="9"/>
  <c r="X398" i="3"/>
  <c r="V398" i="3"/>
  <c r="E396" i="11"/>
  <c r="F396" i="4"/>
  <c r="P396" i="4" s="1"/>
  <c r="W398" i="6"/>
  <c r="G398" i="6"/>
  <c r="W397" i="3"/>
  <c r="Z397" i="3" s="1"/>
  <c r="AH397" i="6" s="1"/>
  <c r="M399" i="6"/>
  <c r="N399" i="6" s="1"/>
  <c r="O399" i="6" s="1"/>
  <c r="T399" i="6" s="1"/>
  <c r="L400" i="6"/>
  <c r="D396" i="11"/>
  <c r="Z396" i="6"/>
  <c r="AF197" i="6"/>
  <c r="AD197" i="6"/>
  <c r="AE197" i="6" s="1"/>
  <c r="C397" i="11"/>
  <c r="F398" i="3"/>
  <c r="G398" i="3" s="1"/>
  <c r="H394" i="4"/>
  <c r="U398" i="6"/>
  <c r="I399" i="6"/>
  <c r="H400" i="6"/>
  <c r="F399" i="6"/>
  <c r="K398" i="6"/>
  <c r="M400" i="3"/>
  <c r="N400" i="3" s="1"/>
  <c r="O400" i="3" s="1"/>
  <c r="T400" i="3" s="1"/>
  <c r="L401" i="3"/>
  <c r="X397" i="6"/>
  <c r="V397" i="6"/>
  <c r="U399" i="3"/>
  <c r="I399" i="3"/>
  <c r="K399" i="3" s="1"/>
  <c r="F395" i="4"/>
  <c r="P395" i="4" s="1"/>
  <c r="E395" i="11"/>
  <c r="F395" i="11" s="1"/>
  <c r="E160" i="9" l="1"/>
  <c r="K161" i="4"/>
  <c r="L161" i="4" s="1"/>
  <c r="M161" i="4"/>
  <c r="AJ396" i="6"/>
  <c r="AH397" i="3"/>
  <c r="AJ397" i="3" s="1"/>
  <c r="AD199" i="3"/>
  <c r="AE199" i="3" s="1"/>
  <c r="AG199" i="3" s="1"/>
  <c r="AA200" i="3" s="1"/>
  <c r="AC200" i="3" s="1"/>
  <c r="F396" i="11"/>
  <c r="AG197" i="6"/>
  <c r="D197" i="9" s="1"/>
  <c r="U399" i="6"/>
  <c r="I400" i="3"/>
  <c r="K400" i="3" s="1"/>
  <c r="F399" i="3"/>
  <c r="G399" i="3" s="1"/>
  <c r="W398" i="3"/>
  <c r="Z398" i="3" s="1"/>
  <c r="H401" i="6"/>
  <c r="I400" i="6"/>
  <c r="H395" i="4"/>
  <c r="X398" i="6"/>
  <c r="V398" i="6"/>
  <c r="C398" i="4" s="1"/>
  <c r="H396" i="4"/>
  <c r="C398" i="11"/>
  <c r="W399" i="6"/>
  <c r="G399" i="6"/>
  <c r="K399" i="6"/>
  <c r="F400" i="6"/>
  <c r="D397" i="11"/>
  <c r="Z397" i="6"/>
  <c r="AJ397" i="6" s="1"/>
  <c r="M400" i="6"/>
  <c r="N400" i="6" s="1"/>
  <c r="O400" i="6" s="1"/>
  <c r="T400" i="6" s="1"/>
  <c r="L401" i="6"/>
  <c r="X399" i="3"/>
  <c r="V399" i="3"/>
  <c r="C397" i="4"/>
  <c r="M401" i="3"/>
  <c r="N401" i="3" s="1"/>
  <c r="O401" i="3" s="1"/>
  <c r="T401" i="3" s="1"/>
  <c r="L402" i="3"/>
  <c r="U400" i="3"/>
  <c r="N161" i="4" l="1"/>
  <c r="G162" i="4" s="1"/>
  <c r="J162" i="4" s="1"/>
  <c r="AH398" i="3"/>
  <c r="AJ398" i="3" s="1"/>
  <c r="AH398" i="6"/>
  <c r="AA198" i="6"/>
  <c r="AC198" i="6" s="1"/>
  <c r="AD198" i="6" s="1"/>
  <c r="AE198" i="6" s="1"/>
  <c r="C199" i="9"/>
  <c r="X400" i="3"/>
  <c r="V400" i="3"/>
  <c r="F401" i="6"/>
  <c r="K400" i="6"/>
  <c r="F398" i="4"/>
  <c r="P398" i="4" s="1"/>
  <c r="E398" i="11"/>
  <c r="W399" i="3"/>
  <c r="Z399" i="3" s="1"/>
  <c r="U401" i="3"/>
  <c r="I401" i="3"/>
  <c r="K401" i="3" s="1"/>
  <c r="W400" i="6"/>
  <c r="G400" i="6"/>
  <c r="H402" i="6"/>
  <c r="I401" i="6"/>
  <c r="M402" i="3"/>
  <c r="N402" i="3" s="1"/>
  <c r="O402" i="3" s="1"/>
  <c r="T402" i="3" s="1"/>
  <c r="L403" i="3"/>
  <c r="F400" i="3"/>
  <c r="G400" i="3" s="1"/>
  <c r="X399" i="6"/>
  <c r="V399" i="6"/>
  <c r="C399" i="4" s="1"/>
  <c r="F397" i="4"/>
  <c r="P397" i="4" s="1"/>
  <c r="E397" i="11"/>
  <c r="F397" i="11" s="1"/>
  <c r="C399" i="11"/>
  <c r="Z398" i="6"/>
  <c r="D398" i="11"/>
  <c r="M401" i="6"/>
  <c r="N401" i="6" s="1"/>
  <c r="O401" i="6" s="1"/>
  <c r="T401" i="6" s="1"/>
  <c r="L402" i="6"/>
  <c r="U400" i="6"/>
  <c r="AD200" i="3"/>
  <c r="AE200" i="3" s="1"/>
  <c r="AF200" i="3"/>
  <c r="E161" i="9" l="1"/>
  <c r="M162" i="4"/>
  <c r="K162" i="4"/>
  <c r="L162" i="4" s="1"/>
  <c r="AJ398" i="6"/>
  <c r="AH399" i="3"/>
  <c r="AJ399" i="3" s="1"/>
  <c r="AH399" i="6"/>
  <c r="AF198" i="6"/>
  <c r="AG198" i="6" s="1"/>
  <c r="AA199" i="6" s="1"/>
  <c r="AC199" i="6" s="1"/>
  <c r="AG200" i="3"/>
  <c r="AA201" i="3" s="1"/>
  <c r="AC201" i="3" s="1"/>
  <c r="F398" i="11"/>
  <c r="W400" i="3"/>
  <c r="Z400" i="3" s="1"/>
  <c r="U402" i="3"/>
  <c r="U401" i="6"/>
  <c r="F402" i="6"/>
  <c r="K401" i="6"/>
  <c r="Z399" i="6"/>
  <c r="D399" i="11"/>
  <c r="H403" i="6"/>
  <c r="I402" i="6"/>
  <c r="E399" i="11"/>
  <c r="F399" i="4"/>
  <c r="P399" i="4" s="1"/>
  <c r="C400" i="11"/>
  <c r="G401" i="6"/>
  <c r="W401" i="6"/>
  <c r="X400" i="6"/>
  <c r="V400" i="6"/>
  <c r="H398" i="4"/>
  <c r="M402" i="6"/>
  <c r="N402" i="6" s="1"/>
  <c r="O402" i="6" s="1"/>
  <c r="T402" i="6" s="1"/>
  <c r="L403" i="6"/>
  <c r="X401" i="3"/>
  <c r="V401" i="3"/>
  <c r="M403" i="3"/>
  <c r="N403" i="3" s="1"/>
  <c r="O403" i="3" s="1"/>
  <c r="T403" i="3" s="1"/>
  <c r="L404" i="3"/>
  <c r="I402" i="3"/>
  <c r="K402" i="3" s="1"/>
  <c r="F401" i="3"/>
  <c r="G401" i="3" s="1"/>
  <c r="H397" i="4"/>
  <c r="N162" i="4" l="1"/>
  <c r="E162" i="9" s="1"/>
  <c r="AH400" i="3"/>
  <c r="AJ400" i="3" s="1"/>
  <c r="AJ399" i="6"/>
  <c r="AH400" i="6"/>
  <c r="F399" i="11"/>
  <c r="C200" i="9"/>
  <c r="D198" i="9"/>
  <c r="X402" i="3"/>
  <c r="V402" i="3"/>
  <c r="M403" i="6"/>
  <c r="N403" i="6" s="1"/>
  <c r="O403" i="6" s="1"/>
  <c r="T403" i="6" s="1"/>
  <c r="L404" i="6"/>
  <c r="Z400" i="6"/>
  <c r="D400" i="11"/>
  <c r="W402" i="6"/>
  <c r="G402" i="6"/>
  <c r="I403" i="3"/>
  <c r="K403" i="3" s="1"/>
  <c r="F402" i="3"/>
  <c r="G402" i="3" s="1"/>
  <c r="C400" i="4"/>
  <c r="U402" i="6"/>
  <c r="X401" i="6"/>
  <c r="V401" i="6"/>
  <c r="C401" i="4" s="1"/>
  <c r="C401" i="11"/>
  <c r="H399" i="4"/>
  <c r="AF201" i="3"/>
  <c r="AD201" i="3"/>
  <c r="AE201" i="3" s="1"/>
  <c r="U403" i="3"/>
  <c r="W401" i="3"/>
  <c r="Z401" i="3" s="1"/>
  <c r="M404" i="3"/>
  <c r="N404" i="3" s="1"/>
  <c r="O404" i="3" s="1"/>
  <c r="T404" i="3" s="1"/>
  <c r="L405" i="3"/>
  <c r="F403" i="6"/>
  <c r="K402" i="6"/>
  <c r="AD199" i="6"/>
  <c r="AE199" i="6" s="1"/>
  <c r="AF199" i="6"/>
  <c r="H404" i="6"/>
  <c r="I403" i="6"/>
  <c r="G163" i="4" l="1"/>
  <c r="J163" i="4" s="1"/>
  <c r="AJ400" i="6"/>
  <c r="AH401" i="3"/>
  <c r="AJ401" i="3" s="1"/>
  <c r="AH401" i="6"/>
  <c r="AG201" i="3"/>
  <c r="AA202" i="3" s="1"/>
  <c r="AC202" i="3" s="1"/>
  <c r="AG199" i="6"/>
  <c r="D199" i="9" s="1"/>
  <c r="X402" i="6"/>
  <c r="V402" i="6"/>
  <c r="C402" i="4" s="1"/>
  <c r="X403" i="3"/>
  <c r="V403" i="3"/>
  <c r="W402" i="3"/>
  <c r="Z402" i="3" s="1"/>
  <c r="AH402" i="6" s="1"/>
  <c r="H405" i="6"/>
  <c r="I404" i="6"/>
  <c r="F404" i="6"/>
  <c r="K403" i="6"/>
  <c r="I404" i="3"/>
  <c r="K404" i="3" s="1"/>
  <c r="E401" i="11"/>
  <c r="F401" i="4"/>
  <c r="P401" i="4" s="1"/>
  <c r="M405" i="3"/>
  <c r="N405" i="3" s="1"/>
  <c r="O405" i="3" s="1"/>
  <c r="T405" i="3" s="1"/>
  <c r="L406" i="3"/>
  <c r="Z401" i="6"/>
  <c r="D401" i="11"/>
  <c r="F403" i="3"/>
  <c r="G403" i="3" s="1"/>
  <c r="W403" i="6"/>
  <c r="G403" i="6"/>
  <c r="M404" i="6"/>
  <c r="N404" i="6" s="1"/>
  <c r="O404" i="6" s="1"/>
  <c r="T404" i="6" s="1"/>
  <c r="L405" i="6"/>
  <c r="U403" i="6"/>
  <c r="C402" i="11"/>
  <c r="U404" i="3"/>
  <c r="E400" i="11"/>
  <c r="F400" i="11" s="1"/>
  <c r="F400" i="4"/>
  <c r="P400" i="4" s="1"/>
  <c r="K163" i="4" l="1"/>
  <c r="L163" i="4" s="1"/>
  <c r="M163" i="4"/>
  <c r="AJ401" i="6"/>
  <c r="C201" i="9"/>
  <c r="AA200" i="6"/>
  <c r="AC200" i="6" s="1"/>
  <c r="AF200" i="6" s="1"/>
  <c r="AH402" i="3"/>
  <c r="AJ402" i="3" s="1"/>
  <c r="F401" i="11"/>
  <c r="H400" i="4"/>
  <c r="F405" i="6"/>
  <c r="K404" i="6"/>
  <c r="M406" i="3"/>
  <c r="N406" i="3" s="1"/>
  <c r="O406" i="3" s="1"/>
  <c r="T406" i="3" s="1"/>
  <c r="L407" i="3"/>
  <c r="X404" i="3"/>
  <c r="V404" i="3"/>
  <c r="AD202" i="3"/>
  <c r="AE202" i="3" s="1"/>
  <c r="AF202" i="3"/>
  <c r="C403" i="11"/>
  <c r="U405" i="3"/>
  <c r="X403" i="6"/>
  <c r="V403" i="6"/>
  <c r="C403" i="4" s="1"/>
  <c r="F404" i="3"/>
  <c r="G404" i="3" s="1"/>
  <c r="F402" i="4"/>
  <c r="P402" i="4" s="1"/>
  <c r="E402" i="11"/>
  <c r="U404" i="6"/>
  <c r="H406" i="6"/>
  <c r="I405" i="6"/>
  <c r="H401" i="4"/>
  <c r="M405" i="6"/>
  <c r="N405" i="6" s="1"/>
  <c r="O405" i="6" s="1"/>
  <c r="T405" i="6" s="1"/>
  <c r="L406" i="6"/>
  <c r="I405" i="3"/>
  <c r="K405" i="3" s="1"/>
  <c r="Z402" i="6"/>
  <c r="AJ402" i="6" s="1"/>
  <c r="D402" i="11"/>
  <c r="W403" i="3"/>
  <c r="Z403" i="3" s="1"/>
  <c r="G404" i="6"/>
  <c r="W404" i="6"/>
  <c r="N163" i="4" l="1"/>
  <c r="E163" i="9" s="1"/>
  <c r="G164" i="4"/>
  <c r="J164" i="4" s="1"/>
  <c r="AD200" i="6"/>
  <c r="AE200" i="6" s="1"/>
  <c r="AG200" i="6" s="1"/>
  <c r="AA201" i="6" s="1"/>
  <c r="AC201" i="6" s="1"/>
  <c r="AH403" i="3"/>
  <c r="AJ403" i="3" s="1"/>
  <c r="AH403" i="6"/>
  <c r="AG202" i="3"/>
  <c r="C202" i="9" s="1"/>
  <c r="F402" i="11"/>
  <c r="X404" i="6"/>
  <c r="V404" i="6"/>
  <c r="C404" i="4" s="1"/>
  <c r="E403" i="11"/>
  <c r="F403" i="4"/>
  <c r="P403" i="4" s="1"/>
  <c r="C404" i="11"/>
  <c r="F405" i="3"/>
  <c r="G405" i="3" s="1"/>
  <c r="W404" i="3"/>
  <c r="Z404" i="3" s="1"/>
  <c r="H402" i="4"/>
  <c r="I406" i="3"/>
  <c r="K406" i="3" s="1"/>
  <c r="M406" i="6"/>
  <c r="N406" i="6" s="1"/>
  <c r="O406" i="6" s="1"/>
  <c r="T406" i="6" s="1"/>
  <c r="L407" i="6"/>
  <c r="U405" i="6"/>
  <c r="Z403" i="6"/>
  <c r="D403" i="11"/>
  <c r="M407" i="3"/>
  <c r="N407" i="3" s="1"/>
  <c r="O407" i="3" s="1"/>
  <c r="T407" i="3" s="1"/>
  <c r="L408" i="3"/>
  <c r="U406" i="3"/>
  <c r="H407" i="6"/>
  <c r="I406" i="6"/>
  <c r="X405" i="3"/>
  <c r="V405" i="3"/>
  <c r="G405" i="6"/>
  <c r="W405" i="6"/>
  <c r="F406" i="6"/>
  <c r="K405" i="6"/>
  <c r="AJ403" i="6" l="1"/>
  <c r="M164" i="4"/>
  <c r="AA203" i="3"/>
  <c r="AC203" i="3" s="1"/>
  <c r="AD203" i="3" s="1"/>
  <c r="AE203" i="3" s="1"/>
  <c r="D200" i="9"/>
  <c r="AH404" i="6"/>
  <c r="AH404" i="3"/>
  <c r="AJ404" i="3" s="1"/>
  <c r="F403" i="11"/>
  <c r="X405" i="6"/>
  <c r="V405" i="6"/>
  <c r="C405" i="4" s="1"/>
  <c r="E404" i="11"/>
  <c r="F404" i="4"/>
  <c r="P404" i="4" s="1"/>
  <c r="H403" i="4"/>
  <c r="M407" i="6"/>
  <c r="N407" i="6" s="1"/>
  <c r="O407" i="6" s="1"/>
  <c r="T407" i="6" s="1"/>
  <c r="L408" i="6"/>
  <c r="Z404" i="6"/>
  <c r="D404" i="11"/>
  <c r="X406" i="3"/>
  <c r="V406" i="3"/>
  <c r="I407" i="3"/>
  <c r="K407" i="3" s="1"/>
  <c r="F406" i="3"/>
  <c r="G406" i="3" s="1"/>
  <c r="H408" i="6"/>
  <c r="I407" i="6"/>
  <c r="W406" i="6"/>
  <c r="G406" i="6"/>
  <c r="U406" i="6"/>
  <c r="C405" i="11"/>
  <c r="F407" i="6"/>
  <c r="K406" i="6"/>
  <c r="M408" i="3"/>
  <c r="N408" i="3" s="1"/>
  <c r="O408" i="3" s="1"/>
  <c r="T408" i="3" s="1"/>
  <c r="L409" i="3"/>
  <c r="AF201" i="6"/>
  <c r="AD201" i="6"/>
  <c r="AE201" i="6" s="1"/>
  <c r="U407" i="3"/>
  <c r="W405" i="3"/>
  <c r="Z405" i="3" s="1"/>
  <c r="AJ404" i="6" l="1"/>
  <c r="AF203" i="3"/>
  <c r="K164" i="4"/>
  <c r="L164" i="4" s="1"/>
  <c r="N164" i="4" s="1"/>
  <c r="AH405" i="3"/>
  <c r="AJ405" i="3" s="1"/>
  <c r="AH405" i="6"/>
  <c r="F404" i="11"/>
  <c r="AG201" i="6"/>
  <c r="AA202" i="6" s="1"/>
  <c r="AC202" i="6" s="1"/>
  <c r="AG203" i="3"/>
  <c r="AA204" i="3" s="1"/>
  <c r="AC204" i="3" s="1"/>
  <c r="X407" i="3"/>
  <c r="V407" i="3"/>
  <c r="M408" i="6"/>
  <c r="N408" i="6" s="1"/>
  <c r="O408" i="6" s="1"/>
  <c r="T408" i="6" s="1"/>
  <c r="L409" i="6"/>
  <c r="X406" i="6"/>
  <c r="V406" i="6"/>
  <c r="C406" i="4" s="1"/>
  <c r="U407" i="6"/>
  <c r="H404" i="4"/>
  <c r="F408" i="6"/>
  <c r="K407" i="6"/>
  <c r="I408" i="6"/>
  <c r="H409" i="6"/>
  <c r="E405" i="11"/>
  <c r="F405" i="4"/>
  <c r="P405" i="4" s="1"/>
  <c r="C406" i="11"/>
  <c r="W406" i="3"/>
  <c r="Z406" i="3" s="1"/>
  <c r="AH406" i="6" s="1"/>
  <c r="I408" i="3"/>
  <c r="K408" i="3" s="1"/>
  <c r="M409" i="3"/>
  <c r="N409" i="3" s="1"/>
  <c r="O409" i="3" s="1"/>
  <c r="T409" i="3" s="1"/>
  <c r="L410" i="3"/>
  <c r="F407" i="3"/>
  <c r="G407" i="3" s="1"/>
  <c r="U408" i="3"/>
  <c r="D405" i="11"/>
  <c r="Z405" i="6"/>
  <c r="W407" i="6"/>
  <c r="G407" i="6"/>
  <c r="E164" i="9" l="1"/>
  <c r="G165" i="4"/>
  <c r="J165" i="4" s="1"/>
  <c r="C203" i="9"/>
  <c r="D201" i="9"/>
  <c r="AJ405" i="6"/>
  <c r="AH406" i="3"/>
  <c r="AJ406" i="3" s="1"/>
  <c r="F405" i="11"/>
  <c r="X407" i="6"/>
  <c r="V407" i="6"/>
  <c r="C407" i="4" s="1"/>
  <c r="W408" i="6"/>
  <c r="G408" i="6"/>
  <c r="X408" i="3"/>
  <c r="V408" i="3"/>
  <c r="D406" i="11"/>
  <c r="Z406" i="6"/>
  <c r="AJ406" i="6" s="1"/>
  <c r="F406" i="4"/>
  <c r="P406" i="4" s="1"/>
  <c r="E406" i="11"/>
  <c r="M409" i="6"/>
  <c r="N409" i="6" s="1"/>
  <c r="O409" i="6" s="1"/>
  <c r="T409" i="6" s="1"/>
  <c r="L410" i="6"/>
  <c r="I409" i="3"/>
  <c r="K409" i="3" s="1"/>
  <c r="U408" i="6"/>
  <c r="H405" i="4"/>
  <c r="U409" i="3"/>
  <c r="C407" i="11"/>
  <c r="M410" i="3"/>
  <c r="N410" i="3" s="1"/>
  <c r="O410" i="3" s="1"/>
  <c r="T410" i="3" s="1"/>
  <c r="L411" i="3"/>
  <c r="F408" i="3"/>
  <c r="G408" i="3" s="1"/>
  <c r="AD204" i="3"/>
  <c r="AE204" i="3" s="1"/>
  <c r="AF204" i="3"/>
  <c r="W407" i="3"/>
  <c r="Z407" i="3" s="1"/>
  <c r="AF202" i="6"/>
  <c r="AD202" i="6"/>
  <c r="AE202" i="6" s="1"/>
  <c r="H410" i="6"/>
  <c r="I409" i="6"/>
  <c r="K408" i="6"/>
  <c r="F409" i="6"/>
  <c r="M165" i="4" l="1"/>
  <c r="AH407" i="3"/>
  <c r="AJ407" i="3" s="1"/>
  <c r="AH407" i="6"/>
  <c r="AG202" i="6"/>
  <c r="D202" i="9" s="1"/>
  <c r="AG204" i="3"/>
  <c r="AA205" i="3" s="1"/>
  <c r="AC205" i="3" s="1"/>
  <c r="F406" i="11"/>
  <c r="M410" i="6"/>
  <c r="N410" i="6" s="1"/>
  <c r="O410" i="6" s="1"/>
  <c r="T410" i="6" s="1"/>
  <c r="L411" i="6"/>
  <c r="M411" i="3"/>
  <c r="N411" i="3" s="1"/>
  <c r="O411" i="3" s="1"/>
  <c r="T411" i="3" s="1"/>
  <c r="L412" i="3"/>
  <c r="F407" i="4"/>
  <c r="P407" i="4" s="1"/>
  <c r="E407" i="11"/>
  <c r="U409" i="6"/>
  <c r="X409" i="3"/>
  <c r="V409" i="3"/>
  <c r="H406" i="4"/>
  <c r="C408" i="11"/>
  <c r="H411" i="6"/>
  <c r="I410" i="6"/>
  <c r="I410" i="3"/>
  <c r="K410" i="3" s="1"/>
  <c r="U410" i="3"/>
  <c r="W409" i="6"/>
  <c r="G409" i="6"/>
  <c r="F410" i="6"/>
  <c r="K409" i="6"/>
  <c r="X408" i="6"/>
  <c r="V408" i="6"/>
  <c r="C408" i="4" s="1"/>
  <c r="Z407" i="6"/>
  <c r="AJ407" i="6" s="1"/>
  <c r="D407" i="11"/>
  <c r="F409" i="3"/>
  <c r="G409" i="3" s="1"/>
  <c r="W408" i="3"/>
  <c r="Z408" i="3" s="1"/>
  <c r="K165" i="4" l="1"/>
  <c r="L165" i="4" s="1"/>
  <c r="N165" i="4" s="1"/>
  <c r="AA203" i="6"/>
  <c r="AC203" i="6" s="1"/>
  <c r="AH408" i="3"/>
  <c r="AJ408" i="3" s="1"/>
  <c r="AH408" i="6"/>
  <c r="C204" i="9"/>
  <c r="F407" i="11"/>
  <c r="X409" i="6"/>
  <c r="V409" i="6"/>
  <c r="C409" i="4" s="1"/>
  <c r="X410" i="3"/>
  <c r="V410" i="3"/>
  <c r="F410" i="3"/>
  <c r="G410" i="3" s="1"/>
  <c r="W409" i="3"/>
  <c r="Z409" i="3" s="1"/>
  <c r="AH409" i="6" s="1"/>
  <c r="F408" i="4"/>
  <c r="P408" i="4" s="1"/>
  <c r="E408" i="11"/>
  <c r="M411" i="6"/>
  <c r="N411" i="6" s="1"/>
  <c r="O411" i="6" s="1"/>
  <c r="T411" i="6" s="1"/>
  <c r="L412" i="6"/>
  <c r="U410" i="6"/>
  <c r="H407" i="4"/>
  <c r="M412" i="3"/>
  <c r="N412" i="3" s="1"/>
  <c r="O412" i="3" s="1"/>
  <c r="T412" i="3" s="1"/>
  <c r="L413" i="3"/>
  <c r="H412" i="6"/>
  <c r="I411" i="6"/>
  <c r="AF203" i="6"/>
  <c r="AD203" i="6"/>
  <c r="AE203" i="6" s="1"/>
  <c r="I411" i="3"/>
  <c r="K411" i="3" s="1"/>
  <c r="D408" i="11"/>
  <c r="Z408" i="6"/>
  <c r="C409" i="11"/>
  <c r="F411" i="6"/>
  <c r="K410" i="6"/>
  <c r="U411" i="3"/>
  <c r="W410" i="6"/>
  <c r="G410" i="6"/>
  <c r="AD205" i="3"/>
  <c r="AE205" i="3" s="1"/>
  <c r="AF205" i="3"/>
  <c r="E165" i="9" l="1"/>
  <c r="G166" i="4"/>
  <c r="J166" i="4" s="1"/>
  <c r="AJ408" i="6"/>
  <c r="AH409" i="3"/>
  <c r="AJ409" i="3" s="1"/>
  <c r="AG205" i="3"/>
  <c r="AA206" i="3" s="1"/>
  <c r="AC206" i="3" s="1"/>
  <c r="AG203" i="6"/>
  <c r="AA204" i="6" s="1"/>
  <c r="AC204" i="6" s="1"/>
  <c r="F408" i="11"/>
  <c r="X411" i="3"/>
  <c r="V411" i="3"/>
  <c r="I412" i="3"/>
  <c r="K412" i="3" s="1"/>
  <c r="H408" i="4"/>
  <c r="W410" i="3"/>
  <c r="Z410" i="3" s="1"/>
  <c r="F411" i="3"/>
  <c r="G411" i="3" s="1"/>
  <c r="U412" i="3"/>
  <c r="M412" i="6"/>
  <c r="N412" i="6" s="1"/>
  <c r="O412" i="6" s="1"/>
  <c r="T412" i="6" s="1"/>
  <c r="L413" i="6"/>
  <c r="I412" i="6"/>
  <c r="H413" i="6"/>
  <c r="M413" i="3"/>
  <c r="N413" i="3" s="1"/>
  <c r="O413" i="3" s="1"/>
  <c r="T413" i="3" s="1"/>
  <c r="L414" i="3"/>
  <c r="F412" i="6"/>
  <c r="K411" i="6"/>
  <c r="C410" i="11"/>
  <c r="W411" i="6"/>
  <c r="G411" i="6"/>
  <c r="Z409" i="6"/>
  <c r="AJ409" i="6" s="1"/>
  <c r="D409" i="11"/>
  <c r="E409" i="11"/>
  <c r="F409" i="4"/>
  <c r="P409" i="4" s="1"/>
  <c r="U411" i="6"/>
  <c r="X410" i="6"/>
  <c r="V410" i="6"/>
  <c r="C410" i="4" s="1"/>
  <c r="C205" i="9" l="1"/>
  <c r="K166" i="4"/>
  <c r="L166" i="4" s="1"/>
  <c r="M166" i="4"/>
  <c r="D203" i="9"/>
  <c r="AH410" i="3"/>
  <c r="AJ410" i="3" s="1"/>
  <c r="AH410" i="6"/>
  <c r="F409" i="11"/>
  <c r="F410" i="4"/>
  <c r="P410" i="4" s="1"/>
  <c r="E410" i="11"/>
  <c r="W411" i="3"/>
  <c r="Z411" i="3" s="1"/>
  <c r="Z410" i="6"/>
  <c r="D410" i="11"/>
  <c r="U413" i="3"/>
  <c r="I413" i="3"/>
  <c r="K413" i="3" s="1"/>
  <c r="W412" i="6"/>
  <c r="G412" i="6"/>
  <c r="F412" i="3"/>
  <c r="G412" i="3" s="1"/>
  <c r="X411" i="6"/>
  <c r="V411" i="6"/>
  <c r="C411" i="4" s="1"/>
  <c r="M414" i="3"/>
  <c r="N414" i="3" s="1"/>
  <c r="O414" i="3" s="1"/>
  <c r="T414" i="3" s="1"/>
  <c r="L415" i="3"/>
  <c r="I413" i="6"/>
  <c r="H414" i="6"/>
  <c r="AD206" i="3"/>
  <c r="AE206" i="3" s="1"/>
  <c r="AF206" i="3"/>
  <c r="C411" i="11"/>
  <c r="X412" i="3"/>
  <c r="V412" i="3"/>
  <c r="H409" i="4"/>
  <c r="K412" i="6"/>
  <c r="F413" i="6"/>
  <c r="U412" i="6"/>
  <c r="AD204" i="6"/>
  <c r="AE204" i="6" s="1"/>
  <c r="AF204" i="6"/>
  <c r="M413" i="6"/>
  <c r="N413" i="6" s="1"/>
  <c r="O413" i="6" s="1"/>
  <c r="T413" i="6" s="1"/>
  <c r="L414" i="6"/>
  <c r="N166" i="4" l="1"/>
  <c r="G167" i="4" s="1"/>
  <c r="J167" i="4" s="1"/>
  <c r="AJ410" i="6"/>
  <c r="F410" i="11"/>
  <c r="AH411" i="3"/>
  <c r="AJ411" i="3" s="1"/>
  <c r="AH411" i="6"/>
  <c r="AG206" i="3"/>
  <c r="AA207" i="3" s="1"/>
  <c r="AC207" i="3" s="1"/>
  <c r="AG204" i="6"/>
  <c r="AA205" i="6" s="1"/>
  <c r="AC205" i="6" s="1"/>
  <c r="X412" i="6"/>
  <c r="V412" i="6"/>
  <c r="M414" i="6"/>
  <c r="N414" i="6" s="1"/>
  <c r="O414" i="6" s="1"/>
  <c r="T414" i="6" s="1"/>
  <c r="L415" i="6"/>
  <c r="I414" i="3"/>
  <c r="K414" i="3" s="1"/>
  <c r="Z411" i="6"/>
  <c r="D411" i="11"/>
  <c r="E411" i="11"/>
  <c r="F411" i="4"/>
  <c r="P411" i="4" s="1"/>
  <c r="F413" i="3"/>
  <c r="G413" i="3" s="1"/>
  <c r="M415" i="3"/>
  <c r="N415" i="3" s="1"/>
  <c r="O415" i="3" s="1"/>
  <c r="T415" i="3" s="1"/>
  <c r="L416" i="3"/>
  <c r="U413" i="6"/>
  <c r="X413" i="3"/>
  <c r="V413" i="3"/>
  <c r="I414" i="6"/>
  <c r="H415" i="6"/>
  <c r="U414" i="3"/>
  <c r="C412" i="11"/>
  <c r="K413" i="6"/>
  <c r="F414" i="6"/>
  <c r="W413" i="6"/>
  <c r="G413" i="6"/>
  <c r="W412" i="3"/>
  <c r="Z412" i="3" s="1"/>
  <c r="H410" i="4"/>
  <c r="E166" i="9" l="1"/>
  <c r="M167" i="4"/>
  <c r="K167" i="4"/>
  <c r="L167" i="4" s="1"/>
  <c r="N167" i="4" s="1"/>
  <c r="C206" i="9"/>
  <c r="C19" i="10" s="1"/>
  <c r="AJ411" i="6"/>
  <c r="D204" i="9"/>
  <c r="AH412" i="3"/>
  <c r="AJ412" i="3" s="1"/>
  <c r="AH412" i="6"/>
  <c r="F411" i="11"/>
  <c r="X413" i="6"/>
  <c r="V413" i="6"/>
  <c r="C413" i="4" s="1"/>
  <c r="W413" i="3"/>
  <c r="Z413" i="3" s="1"/>
  <c r="K414" i="6"/>
  <c r="F415" i="6"/>
  <c r="C413" i="11"/>
  <c r="U414" i="6"/>
  <c r="G414" i="6"/>
  <c r="W414" i="6"/>
  <c r="D412" i="11"/>
  <c r="Z412" i="6"/>
  <c r="I415" i="6"/>
  <c r="H416" i="6"/>
  <c r="I415" i="3"/>
  <c r="K415" i="3" s="1"/>
  <c r="M415" i="6"/>
  <c r="N415" i="6" s="1"/>
  <c r="O415" i="6" s="1"/>
  <c r="T415" i="6" s="1"/>
  <c r="L416" i="6"/>
  <c r="AD205" i="6"/>
  <c r="AE205" i="6" s="1"/>
  <c r="AF205" i="6"/>
  <c r="U415" i="3"/>
  <c r="X414" i="3"/>
  <c r="V414" i="3"/>
  <c r="H411" i="4"/>
  <c r="F414" i="3"/>
  <c r="G414" i="3" s="1"/>
  <c r="C412" i="4"/>
  <c r="M416" i="3"/>
  <c r="N416" i="3" s="1"/>
  <c r="O416" i="3" s="1"/>
  <c r="T416" i="3" s="1"/>
  <c r="L417" i="3"/>
  <c r="AD207" i="3"/>
  <c r="AE207" i="3" s="1"/>
  <c r="AF207" i="3"/>
  <c r="G168" i="4" l="1"/>
  <c r="J168" i="4" s="1"/>
  <c r="E167" i="9"/>
  <c r="AJ412" i="6"/>
  <c r="AH413" i="3"/>
  <c r="AJ413" i="3" s="1"/>
  <c r="AH413" i="6"/>
  <c r="AG207" i="3"/>
  <c r="AA208" i="3" s="1"/>
  <c r="AC208" i="3" s="1"/>
  <c r="AG205" i="6"/>
  <c r="D205" i="9" s="1"/>
  <c r="X414" i="6"/>
  <c r="V414" i="6"/>
  <c r="C414" i="4" s="1"/>
  <c r="X415" i="3"/>
  <c r="V415" i="3"/>
  <c r="F412" i="4"/>
  <c r="P412" i="4" s="1"/>
  <c r="E412" i="11"/>
  <c r="F412" i="11" s="1"/>
  <c r="W415" i="6"/>
  <c r="G415" i="6"/>
  <c r="M416" i="6"/>
  <c r="N416" i="6" s="1"/>
  <c r="O416" i="6" s="1"/>
  <c r="T416" i="6" s="1"/>
  <c r="L417" i="6"/>
  <c r="M417" i="3"/>
  <c r="N417" i="3" s="1"/>
  <c r="O417" i="3" s="1"/>
  <c r="T417" i="3" s="1"/>
  <c r="L418" i="3"/>
  <c r="U416" i="3"/>
  <c r="W414" i="3"/>
  <c r="Z414" i="3" s="1"/>
  <c r="AH414" i="6" s="1"/>
  <c r="U415" i="6"/>
  <c r="I416" i="3"/>
  <c r="K416" i="3" s="1"/>
  <c r="F415" i="3"/>
  <c r="G415" i="3" s="1"/>
  <c r="K415" i="6"/>
  <c r="F416" i="6"/>
  <c r="E413" i="11"/>
  <c r="F413" i="4"/>
  <c r="P413" i="4" s="1"/>
  <c r="D413" i="11"/>
  <c r="Z413" i="6"/>
  <c r="C414" i="11"/>
  <c r="I416" i="6"/>
  <c r="H417" i="6"/>
  <c r="M168" i="4" l="1"/>
  <c r="K168" i="4"/>
  <c r="L168" i="4" s="1"/>
  <c r="AJ413" i="6"/>
  <c r="AH414" i="3"/>
  <c r="AJ414" i="3" s="1"/>
  <c r="C207" i="9"/>
  <c r="AA206" i="6"/>
  <c r="AC206" i="6" s="1"/>
  <c r="AF206" i="6" s="1"/>
  <c r="F413" i="11"/>
  <c r="X416" i="3"/>
  <c r="V416" i="3"/>
  <c r="I417" i="6"/>
  <c r="H418" i="6"/>
  <c r="X415" i="6"/>
  <c r="V415" i="6"/>
  <c r="C415" i="4" s="1"/>
  <c r="C415" i="11"/>
  <c r="W415" i="3"/>
  <c r="Z415" i="3" s="1"/>
  <c r="AH415" i="3" s="1"/>
  <c r="E414" i="11"/>
  <c r="F414" i="4"/>
  <c r="P414" i="4" s="1"/>
  <c r="F416" i="3"/>
  <c r="G416" i="3" s="1"/>
  <c r="AD208" i="3"/>
  <c r="AE208" i="3" s="1"/>
  <c r="AF208" i="3"/>
  <c r="U417" i="3"/>
  <c r="K416" i="6"/>
  <c r="F417" i="6"/>
  <c r="M417" i="6"/>
  <c r="N417" i="6" s="1"/>
  <c r="O417" i="6" s="1"/>
  <c r="T417" i="6" s="1"/>
  <c r="L418" i="6"/>
  <c r="Z414" i="6"/>
  <c r="AJ414" i="6" s="1"/>
  <c r="D414" i="11"/>
  <c r="I417" i="3"/>
  <c r="K417" i="3" s="1"/>
  <c r="H412" i="4"/>
  <c r="H413" i="4"/>
  <c r="U416" i="6"/>
  <c r="M418" i="3"/>
  <c r="N418" i="3" s="1"/>
  <c r="O418" i="3" s="1"/>
  <c r="T418" i="3" s="1"/>
  <c r="L419" i="3"/>
  <c r="W416" i="6"/>
  <c r="G416" i="6"/>
  <c r="N168" i="4" l="1"/>
  <c r="E168" i="9" s="1"/>
  <c r="AD206" i="6"/>
  <c r="AE206" i="6" s="1"/>
  <c r="AG206" i="6" s="1"/>
  <c r="AJ415" i="3"/>
  <c r="AH415" i="6"/>
  <c r="F414" i="11"/>
  <c r="AG208" i="3"/>
  <c r="AA209" i="3" s="1"/>
  <c r="AC209" i="3" s="1"/>
  <c r="X417" i="3"/>
  <c r="V417" i="3"/>
  <c r="U418" i="3"/>
  <c r="M418" i="6"/>
  <c r="N418" i="6" s="1"/>
  <c r="O418" i="6" s="1"/>
  <c r="T418" i="6" s="1"/>
  <c r="L419" i="6"/>
  <c r="U417" i="6"/>
  <c r="W417" i="6"/>
  <c r="G417" i="6"/>
  <c r="M419" i="3"/>
  <c r="N419" i="3" s="1"/>
  <c r="O419" i="3" s="1"/>
  <c r="T419" i="3" s="1"/>
  <c r="L420" i="3"/>
  <c r="E415" i="11"/>
  <c r="F415" i="4"/>
  <c r="P415" i="4" s="1"/>
  <c r="X416" i="6"/>
  <c r="V416" i="6"/>
  <c r="C416" i="4" s="1"/>
  <c r="I418" i="6"/>
  <c r="H419" i="6"/>
  <c r="D415" i="11"/>
  <c r="Z415" i="6"/>
  <c r="F418" i="6"/>
  <c r="K417" i="6"/>
  <c r="W416" i="3"/>
  <c r="Z416" i="3" s="1"/>
  <c r="C416" i="11"/>
  <c r="I418" i="3"/>
  <c r="K418" i="3" s="1"/>
  <c r="F417" i="3"/>
  <c r="G417" i="3" s="1"/>
  <c r="H414" i="4"/>
  <c r="G169" i="4" l="1"/>
  <c r="J169" i="4" s="1"/>
  <c r="AJ415" i="6"/>
  <c r="AA207" i="6"/>
  <c r="AC207" i="6" s="1"/>
  <c r="AD207" i="6" s="1"/>
  <c r="AE207" i="6" s="1"/>
  <c r="D206" i="9"/>
  <c r="H19" i="10" s="1"/>
  <c r="F415" i="11"/>
  <c r="AH416" i="3"/>
  <c r="AJ416" i="3" s="1"/>
  <c r="AH416" i="6"/>
  <c r="C208" i="9"/>
  <c r="X417" i="6"/>
  <c r="V417" i="6"/>
  <c r="X418" i="3"/>
  <c r="V418" i="3"/>
  <c r="E416" i="11"/>
  <c r="F416" i="4"/>
  <c r="P416" i="4" s="1"/>
  <c r="W417" i="3"/>
  <c r="Z417" i="3" s="1"/>
  <c r="AH417" i="6" s="1"/>
  <c r="W418" i="6"/>
  <c r="G418" i="6"/>
  <c r="C417" i="11"/>
  <c r="M419" i="6"/>
  <c r="N419" i="6" s="1"/>
  <c r="O419" i="6" s="1"/>
  <c r="T419" i="6" s="1"/>
  <c r="L420" i="6"/>
  <c r="H415" i="4"/>
  <c r="F418" i="3"/>
  <c r="G418" i="3" s="1"/>
  <c r="U418" i="6"/>
  <c r="U419" i="3"/>
  <c r="F419" i="6"/>
  <c r="K418" i="6"/>
  <c r="I419" i="3"/>
  <c r="K419" i="3" s="1"/>
  <c r="M420" i="3"/>
  <c r="N420" i="3" s="1"/>
  <c r="O420" i="3" s="1"/>
  <c r="T420" i="3" s="1"/>
  <c r="L421" i="3"/>
  <c r="H420" i="6"/>
  <c r="I419" i="6"/>
  <c r="Z416" i="6"/>
  <c r="D416" i="11"/>
  <c r="AD209" i="3"/>
  <c r="AE209" i="3" s="1"/>
  <c r="AF209" i="3"/>
  <c r="K169" i="4" l="1"/>
  <c r="L169" i="4" s="1"/>
  <c r="M169" i="4"/>
  <c r="AF207" i="6"/>
  <c r="AG207" i="6" s="1"/>
  <c r="D207" i="9" s="1"/>
  <c r="AJ416" i="6"/>
  <c r="AH417" i="3"/>
  <c r="AJ417" i="3" s="1"/>
  <c r="AG209" i="3"/>
  <c r="AA210" i="3" s="1"/>
  <c r="AC210" i="3" s="1"/>
  <c r="F416" i="11"/>
  <c r="X418" i="6"/>
  <c r="V418" i="6"/>
  <c r="C418" i="4" s="1"/>
  <c r="H416" i="4"/>
  <c r="W418" i="3"/>
  <c r="Z418" i="3" s="1"/>
  <c r="F420" i="6"/>
  <c r="K419" i="6"/>
  <c r="C418" i="11"/>
  <c r="M421" i="3"/>
  <c r="N421" i="3" s="1"/>
  <c r="O421" i="3" s="1"/>
  <c r="T421" i="3" s="1"/>
  <c r="L422" i="3"/>
  <c r="U420" i="3"/>
  <c r="M420" i="6"/>
  <c r="N420" i="6" s="1"/>
  <c r="O420" i="6" s="1"/>
  <c r="T420" i="6" s="1"/>
  <c r="L421" i="6"/>
  <c r="Z417" i="6"/>
  <c r="AJ417" i="6" s="1"/>
  <c r="D417" i="11"/>
  <c r="W419" i="6"/>
  <c r="G419" i="6"/>
  <c r="X419" i="3"/>
  <c r="V419" i="3"/>
  <c r="I420" i="3"/>
  <c r="K420" i="3" s="1"/>
  <c r="U419" i="6"/>
  <c r="H421" i="6"/>
  <c r="I420" i="6"/>
  <c r="F419" i="3"/>
  <c r="G419" i="3" s="1"/>
  <c r="C417" i="4"/>
  <c r="N169" i="4" l="1"/>
  <c r="G170" i="4" s="1"/>
  <c r="J170" i="4" s="1"/>
  <c r="AH418" i="3"/>
  <c r="AJ418" i="3" s="1"/>
  <c r="AH418" i="6"/>
  <c r="AA208" i="6"/>
  <c r="AC208" i="6" s="1"/>
  <c r="AD208" i="6" s="1"/>
  <c r="AE208" i="6" s="1"/>
  <c r="C209" i="9"/>
  <c r="X419" i="6"/>
  <c r="V419" i="6"/>
  <c r="C419" i="4" s="1"/>
  <c r="C419" i="11"/>
  <c r="E418" i="11"/>
  <c r="F418" i="4"/>
  <c r="P418" i="4" s="1"/>
  <c r="W420" i="6"/>
  <c r="G420" i="6"/>
  <c r="E417" i="11"/>
  <c r="F417" i="11" s="1"/>
  <c r="F417" i="4"/>
  <c r="P417" i="4" s="1"/>
  <c r="AD210" i="3"/>
  <c r="AE210" i="3" s="1"/>
  <c r="AF210" i="3"/>
  <c r="M421" i="6"/>
  <c r="N421" i="6" s="1"/>
  <c r="O421" i="6" s="1"/>
  <c r="T421" i="6" s="1"/>
  <c r="L422" i="6"/>
  <c r="W419" i="3"/>
  <c r="Z419" i="3" s="1"/>
  <c r="AH419" i="6" s="1"/>
  <c r="U420" i="6"/>
  <c r="X420" i="3"/>
  <c r="V420" i="3"/>
  <c r="F421" i="6"/>
  <c r="K420" i="6"/>
  <c r="H422" i="6"/>
  <c r="I421" i="6"/>
  <c r="M422" i="3"/>
  <c r="N422" i="3" s="1"/>
  <c r="O422" i="3" s="1"/>
  <c r="T422" i="3" s="1"/>
  <c r="L423" i="3"/>
  <c r="U421" i="3"/>
  <c r="D418" i="11"/>
  <c r="Z418" i="6"/>
  <c r="I421" i="3"/>
  <c r="K421" i="3" s="1"/>
  <c r="F420" i="3"/>
  <c r="G420" i="3" s="1"/>
  <c r="E169" i="9" l="1"/>
  <c r="K170" i="4"/>
  <c r="L170" i="4" s="1"/>
  <c r="M170" i="4"/>
  <c r="AJ418" i="6"/>
  <c r="AH419" i="3"/>
  <c r="AJ419" i="3" s="1"/>
  <c r="AF208" i="6"/>
  <c r="AG208" i="6" s="1"/>
  <c r="AA209" i="6" s="1"/>
  <c r="AC209" i="6" s="1"/>
  <c r="F418" i="11"/>
  <c r="AG210" i="3"/>
  <c r="AA211" i="3" s="1"/>
  <c r="AC211" i="3" s="1"/>
  <c r="F419" i="4"/>
  <c r="P419" i="4" s="1"/>
  <c r="E419" i="11"/>
  <c r="H423" i="6"/>
  <c r="I422" i="6"/>
  <c r="C420" i="11"/>
  <c r="I422" i="3"/>
  <c r="K422" i="3" s="1"/>
  <c r="F421" i="3"/>
  <c r="G421" i="3" s="1"/>
  <c r="H418" i="4"/>
  <c r="X420" i="6"/>
  <c r="V420" i="6"/>
  <c r="C420" i="4" s="1"/>
  <c r="W420" i="3"/>
  <c r="Z420" i="3" s="1"/>
  <c r="M422" i="6"/>
  <c r="N422" i="6" s="1"/>
  <c r="O422" i="6" s="1"/>
  <c r="T422" i="6" s="1"/>
  <c r="L423" i="6"/>
  <c r="X421" i="3"/>
  <c r="V421" i="3"/>
  <c r="U421" i="6"/>
  <c r="M423" i="3"/>
  <c r="N423" i="3" s="1"/>
  <c r="O423" i="3" s="1"/>
  <c r="T423" i="3" s="1"/>
  <c r="L424" i="3"/>
  <c r="W421" i="6"/>
  <c r="G421" i="6"/>
  <c r="Z419" i="6"/>
  <c r="AJ419" i="6" s="1"/>
  <c r="D419" i="11"/>
  <c r="U422" i="3"/>
  <c r="F422" i="6"/>
  <c r="K421" i="6"/>
  <c r="H417" i="4"/>
  <c r="N170" i="4" l="1"/>
  <c r="E170" i="9" s="1"/>
  <c r="M16" i="10" s="1"/>
  <c r="AH420" i="6"/>
  <c r="AH420" i="3"/>
  <c r="AJ420" i="3" s="1"/>
  <c r="C210" i="9"/>
  <c r="D208" i="9"/>
  <c r="F419" i="11"/>
  <c r="X421" i="6"/>
  <c r="V421" i="6"/>
  <c r="C421" i="4" s="1"/>
  <c r="F422" i="3"/>
  <c r="G422" i="3" s="1"/>
  <c r="C421" i="11"/>
  <c r="I423" i="3"/>
  <c r="K423" i="3" s="1"/>
  <c r="W421" i="3"/>
  <c r="Z421" i="3" s="1"/>
  <c r="AH421" i="6" s="1"/>
  <c r="W422" i="6"/>
  <c r="G422" i="6"/>
  <c r="M423" i="6"/>
  <c r="N423" i="6" s="1"/>
  <c r="O423" i="6" s="1"/>
  <c r="T423" i="6" s="1"/>
  <c r="L424" i="6"/>
  <c r="F423" i="6"/>
  <c r="K422" i="6"/>
  <c r="U422" i="6"/>
  <c r="M424" i="3"/>
  <c r="N424" i="3" s="1"/>
  <c r="O424" i="3" s="1"/>
  <c r="T424" i="3" s="1"/>
  <c r="L425" i="3"/>
  <c r="H424" i="6"/>
  <c r="I423" i="6"/>
  <c r="E420" i="11"/>
  <c r="F420" i="4"/>
  <c r="P420" i="4" s="1"/>
  <c r="Z420" i="6"/>
  <c r="D420" i="11"/>
  <c r="X422" i="3"/>
  <c r="V422" i="3"/>
  <c r="U423" i="3"/>
  <c r="AF211" i="3"/>
  <c r="AD211" i="3"/>
  <c r="AE211" i="3" s="1"/>
  <c r="H419" i="4"/>
  <c r="AD209" i="6"/>
  <c r="AE209" i="6" s="1"/>
  <c r="AF209" i="6"/>
  <c r="G171" i="4" l="1"/>
  <c r="J171" i="4" s="1"/>
  <c r="K171" i="4" s="1"/>
  <c r="L171" i="4" s="1"/>
  <c r="AJ420" i="6"/>
  <c r="AH421" i="3"/>
  <c r="AJ421" i="3" s="1"/>
  <c r="F420" i="11"/>
  <c r="AG209" i="6"/>
  <c r="AA210" i="6" s="1"/>
  <c r="AC210" i="6" s="1"/>
  <c r="AG211" i="3"/>
  <c r="AA212" i="3" s="1"/>
  <c r="AC212" i="3" s="1"/>
  <c r="F423" i="3"/>
  <c r="G423" i="3" s="1"/>
  <c r="H420" i="4"/>
  <c r="F424" i="6"/>
  <c r="K423" i="6"/>
  <c r="I424" i="3"/>
  <c r="K424" i="3" s="1"/>
  <c r="U424" i="3"/>
  <c r="F421" i="4"/>
  <c r="P421" i="4" s="1"/>
  <c r="E421" i="11"/>
  <c r="W422" i="3"/>
  <c r="Z422" i="3" s="1"/>
  <c r="W423" i="6"/>
  <c r="G423" i="6"/>
  <c r="M425" i="3"/>
  <c r="N425" i="3" s="1"/>
  <c r="O425" i="3" s="1"/>
  <c r="T425" i="3" s="1"/>
  <c r="L426" i="3"/>
  <c r="X423" i="3"/>
  <c r="V423" i="3"/>
  <c r="M424" i="6"/>
  <c r="N424" i="6" s="1"/>
  <c r="O424" i="6" s="1"/>
  <c r="T424" i="6" s="1"/>
  <c r="L425" i="6"/>
  <c r="Z421" i="6"/>
  <c r="AJ421" i="6" s="1"/>
  <c r="D421" i="11"/>
  <c r="X422" i="6"/>
  <c r="V422" i="6"/>
  <c r="C422" i="4" s="1"/>
  <c r="C422" i="11"/>
  <c r="I424" i="6"/>
  <c r="H425" i="6"/>
  <c r="U423" i="6"/>
  <c r="M171" i="4" l="1"/>
  <c r="N171" i="4" s="1"/>
  <c r="AH422" i="3"/>
  <c r="AJ422" i="3" s="1"/>
  <c r="AH422" i="6"/>
  <c r="C211" i="9"/>
  <c r="F421" i="11"/>
  <c r="D209" i="9"/>
  <c r="X424" i="3"/>
  <c r="V424" i="3"/>
  <c r="H421" i="4"/>
  <c r="U424" i="6"/>
  <c r="W424" i="6"/>
  <c r="G424" i="6"/>
  <c r="M425" i="6"/>
  <c r="N425" i="6" s="1"/>
  <c r="O425" i="6" s="1"/>
  <c r="T425" i="6" s="1"/>
  <c r="L426" i="6"/>
  <c r="M426" i="3"/>
  <c r="N426" i="3" s="1"/>
  <c r="O426" i="3" s="1"/>
  <c r="T426" i="3" s="1"/>
  <c r="L427" i="3"/>
  <c r="I425" i="3"/>
  <c r="K425" i="3" s="1"/>
  <c r="U425" i="3"/>
  <c r="W423" i="3"/>
  <c r="Z423" i="3" s="1"/>
  <c r="H426" i="6"/>
  <c r="I425" i="6"/>
  <c r="K424" i="6"/>
  <c r="F425" i="6"/>
  <c r="C423" i="11"/>
  <c r="AD212" i="3"/>
  <c r="AE212" i="3" s="1"/>
  <c r="AF212" i="3"/>
  <c r="F424" i="3"/>
  <c r="G424" i="3" s="1"/>
  <c r="X423" i="6"/>
  <c r="V423" i="6"/>
  <c r="C423" i="4" s="1"/>
  <c r="F422" i="4"/>
  <c r="P422" i="4" s="1"/>
  <c r="E422" i="11"/>
  <c r="Z422" i="6"/>
  <c r="D422" i="11"/>
  <c r="AD210" i="6"/>
  <c r="AE210" i="6" s="1"/>
  <c r="AF210" i="6"/>
  <c r="AJ422" i="6" l="1"/>
  <c r="E171" i="9"/>
  <c r="G172" i="4"/>
  <c r="J172" i="4" s="1"/>
  <c r="AH423" i="3"/>
  <c r="AJ423" i="3" s="1"/>
  <c r="AH423" i="6"/>
  <c r="F422" i="11"/>
  <c r="AG210" i="6"/>
  <c r="AA211" i="6" s="1"/>
  <c r="AC211" i="6" s="1"/>
  <c r="AG212" i="3"/>
  <c r="AA213" i="3" s="1"/>
  <c r="AC213" i="3" s="1"/>
  <c r="X424" i="6"/>
  <c r="V424" i="6"/>
  <c r="M427" i="3"/>
  <c r="N427" i="3" s="1"/>
  <c r="O427" i="3" s="1"/>
  <c r="T427" i="3" s="1"/>
  <c r="L428" i="3"/>
  <c r="U426" i="3"/>
  <c r="E423" i="11"/>
  <c r="F423" i="4"/>
  <c r="P423" i="4" s="1"/>
  <c r="M426" i="6"/>
  <c r="N426" i="6" s="1"/>
  <c r="O426" i="6" s="1"/>
  <c r="T426" i="6" s="1"/>
  <c r="L427" i="6"/>
  <c r="U425" i="6"/>
  <c r="I426" i="6"/>
  <c r="H427" i="6"/>
  <c r="F426" i="6"/>
  <c r="K425" i="6"/>
  <c r="X425" i="3"/>
  <c r="V425" i="3"/>
  <c r="W425" i="6"/>
  <c r="G425" i="6"/>
  <c r="H422" i="4"/>
  <c r="W424" i="3"/>
  <c r="Z424" i="3" s="1"/>
  <c r="C424" i="11"/>
  <c r="Z423" i="6"/>
  <c r="D423" i="11"/>
  <c r="I426" i="3"/>
  <c r="K426" i="3" s="1"/>
  <c r="F425" i="3"/>
  <c r="G425" i="3" s="1"/>
  <c r="AJ423" i="6" l="1"/>
  <c r="M172" i="4"/>
  <c r="AH424" i="3"/>
  <c r="AJ424" i="3" s="1"/>
  <c r="AH424" i="6"/>
  <c r="D210" i="9"/>
  <c r="C212" i="9"/>
  <c r="F423" i="11"/>
  <c r="X425" i="6"/>
  <c r="V425" i="6"/>
  <c r="C425" i="4" s="1"/>
  <c r="I427" i="3"/>
  <c r="K427" i="3" s="1"/>
  <c r="F426" i="3"/>
  <c r="G426" i="3" s="1"/>
  <c r="C425" i="11"/>
  <c r="U426" i="6"/>
  <c r="U427" i="3"/>
  <c r="W426" i="6"/>
  <c r="G426" i="6"/>
  <c r="AF211" i="6"/>
  <c r="AD211" i="6"/>
  <c r="AE211" i="6" s="1"/>
  <c r="D424" i="11"/>
  <c r="Z424" i="6"/>
  <c r="L429" i="3"/>
  <c r="M428" i="3"/>
  <c r="N428" i="3" s="1"/>
  <c r="O428" i="3" s="1"/>
  <c r="T428" i="3" s="1"/>
  <c r="I427" i="6"/>
  <c r="H428" i="6"/>
  <c r="M427" i="6"/>
  <c r="N427" i="6" s="1"/>
  <c r="O427" i="6" s="1"/>
  <c r="T427" i="6" s="1"/>
  <c r="L428" i="6"/>
  <c r="W425" i="3"/>
  <c r="Z425" i="3" s="1"/>
  <c r="X426" i="3"/>
  <c r="V426" i="3"/>
  <c r="F427" i="6"/>
  <c r="K426" i="6"/>
  <c r="H423" i="4"/>
  <c r="C424" i="4"/>
  <c r="AD213" i="3"/>
  <c r="AE213" i="3" s="1"/>
  <c r="AF213" i="3"/>
  <c r="K172" i="4" l="1"/>
  <c r="L172" i="4" s="1"/>
  <c r="N172" i="4" s="1"/>
  <c r="AJ424" i="6"/>
  <c r="AH425" i="3"/>
  <c r="AJ425" i="3" s="1"/>
  <c r="AH425" i="6"/>
  <c r="AG211" i="6"/>
  <c r="AA212" i="6" s="1"/>
  <c r="AC212" i="6" s="1"/>
  <c r="AG213" i="3"/>
  <c r="AA214" i="3" s="1"/>
  <c r="AC214" i="3" s="1"/>
  <c r="X426" i="6"/>
  <c r="V426" i="6"/>
  <c r="X427" i="3"/>
  <c r="V427" i="3"/>
  <c r="I428" i="6"/>
  <c r="H429" i="6"/>
  <c r="K427" i="6"/>
  <c r="F428" i="6"/>
  <c r="U428" i="3"/>
  <c r="M428" i="6"/>
  <c r="N428" i="6" s="1"/>
  <c r="O428" i="6" s="1"/>
  <c r="T428" i="6" s="1"/>
  <c r="L429" i="6"/>
  <c r="E424" i="11"/>
  <c r="F424" i="11" s="1"/>
  <c r="F424" i="4"/>
  <c r="P424" i="4" s="1"/>
  <c r="U427" i="6"/>
  <c r="I428" i="3"/>
  <c r="K428" i="3" s="1"/>
  <c r="F425" i="4"/>
  <c r="P425" i="4" s="1"/>
  <c r="E425" i="11"/>
  <c r="F427" i="3"/>
  <c r="G427" i="3" s="1"/>
  <c r="W426" i="3"/>
  <c r="Z426" i="3" s="1"/>
  <c r="AH426" i="6" s="1"/>
  <c r="C426" i="11"/>
  <c r="D425" i="11"/>
  <c r="Z425" i="6"/>
  <c r="W427" i="6"/>
  <c r="G427" i="6"/>
  <c r="M429" i="3"/>
  <c r="N429" i="3" s="1"/>
  <c r="O429" i="3" s="1"/>
  <c r="T429" i="3" s="1"/>
  <c r="L430" i="3"/>
  <c r="G173" i="4" l="1"/>
  <c r="J173" i="4" s="1"/>
  <c r="E172" i="9"/>
  <c r="D211" i="9"/>
  <c r="AH426" i="3"/>
  <c r="AJ426" i="3" s="1"/>
  <c r="AJ425" i="6"/>
  <c r="C213" i="9"/>
  <c r="F425" i="11"/>
  <c r="U428" i="6"/>
  <c r="X428" i="3"/>
  <c r="V428" i="3"/>
  <c r="M430" i="3"/>
  <c r="N430" i="3" s="1"/>
  <c r="O430" i="3" s="1"/>
  <c r="T430" i="3" s="1"/>
  <c r="L431" i="3"/>
  <c r="W427" i="3"/>
  <c r="Z427" i="3" s="1"/>
  <c r="W428" i="6"/>
  <c r="G428" i="6"/>
  <c r="F428" i="3"/>
  <c r="G428" i="3" s="1"/>
  <c r="I429" i="6"/>
  <c r="H430" i="6"/>
  <c r="AF212" i="6"/>
  <c r="AD212" i="6"/>
  <c r="AE212" i="6" s="1"/>
  <c r="U429" i="3"/>
  <c r="AD214" i="3"/>
  <c r="AE214" i="3" s="1"/>
  <c r="AF214" i="3"/>
  <c r="K428" i="6"/>
  <c r="F429" i="6"/>
  <c r="C427" i="11"/>
  <c r="H425" i="4"/>
  <c r="X427" i="6"/>
  <c r="V427" i="6"/>
  <c r="C427" i="4" s="1"/>
  <c r="I429" i="3"/>
  <c r="K429" i="3" s="1"/>
  <c r="D426" i="11"/>
  <c r="Z426" i="6"/>
  <c r="AJ426" i="6" s="1"/>
  <c r="C426" i="4"/>
  <c r="H424" i="4"/>
  <c r="M429" i="6"/>
  <c r="N429" i="6" s="1"/>
  <c r="O429" i="6" s="1"/>
  <c r="T429" i="6" s="1"/>
  <c r="L430" i="6"/>
  <c r="M173" i="4" l="1"/>
  <c r="AH427" i="3"/>
  <c r="AJ427" i="3" s="1"/>
  <c r="AH427" i="6"/>
  <c r="AG212" i="6"/>
  <c r="AA213" i="6" s="1"/>
  <c r="AC213" i="6" s="1"/>
  <c r="AG214" i="3"/>
  <c r="C214" i="9" s="1"/>
  <c r="X429" i="3"/>
  <c r="V429" i="3"/>
  <c r="K429" i="6"/>
  <c r="F430" i="6"/>
  <c r="U429" i="6"/>
  <c r="W428" i="3"/>
  <c r="Z428" i="3" s="1"/>
  <c r="M430" i="6"/>
  <c r="N430" i="6" s="1"/>
  <c r="O430" i="6" s="1"/>
  <c r="T430" i="6" s="1"/>
  <c r="L431" i="6"/>
  <c r="F427" i="4"/>
  <c r="P427" i="4" s="1"/>
  <c r="E427" i="11"/>
  <c r="W429" i="6"/>
  <c r="G429" i="6"/>
  <c r="U430" i="3"/>
  <c r="E426" i="11"/>
  <c r="F426" i="11" s="1"/>
  <c r="F426" i="4"/>
  <c r="P426" i="4" s="1"/>
  <c r="C428" i="11"/>
  <c r="F429" i="3"/>
  <c r="G429" i="3" s="1"/>
  <c r="M431" i="3"/>
  <c r="N431" i="3" s="1"/>
  <c r="O431" i="3" s="1"/>
  <c r="T431" i="3" s="1"/>
  <c r="L432" i="3"/>
  <c r="I430" i="3"/>
  <c r="K430" i="3" s="1"/>
  <c r="X428" i="6"/>
  <c r="V428" i="6"/>
  <c r="C428" i="4" s="1"/>
  <c r="D427" i="11"/>
  <c r="Z427" i="6"/>
  <c r="H431" i="6"/>
  <c r="I430" i="6"/>
  <c r="K173" i="4" l="1"/>
  <c r="L173" i="4" s="1"/>
  <c r="N173" i="4" s="1"/>
  <c r="D212" i="9"/>
  <c r="AJ427" i="6"/>
  <c r="AH428" i="6"/>
  <c r="AH428" i="3"/>
  <c r="AJ428" i="3" s="1"/>
  <c r="AA215" i="3"/>
  <c r="AC215" i="3" s="1"/>
  <c r="AD215" i="3" s="1"/>
  <c r="AE215" i="3" s="1"/>
  <c r="F427" i="11"/>
  <c r="X429" i="6"/>
  <c r="V429" i="6"/>
  <c r="C429" i="4" s="1"/>
  <c r="F428" i="4"/>
  <c r="P428" i="4" s="1"/>
  <c r="E428" i="11"/>
  <c r="M432" i="3"/>
  <c r="N432" i="3" s="1"/>
  <c r="O432" i="3" s="1"/>
  <c r="T432" i="3" s="1"/>
  <c r="L433" i="3"/>
  <c r="U431" i="3"/>
  <c r="H427" i="4"/>
  <c r="M431" i="6"/>
  <c r="N431" i="6" s="1"/>
  <c r="O431" i="6" s="1"/>
  <c r="T431" i="6" s="1"/>
  <c r="L432" i="6"/>
  <c r="U430" i="6"/>
  <c r="I431" i="6"/>
  <c r="H432" i="6"/>
  <c r="W429" i="3"/>
  <c r="Z429" i="3" s="1"/>
  <c r="AF213" i="6"/>
  <c r="AD213" i="6"/>
  <c r="AE213" i="6" s="1"/>
  <c r="W430" i="6"/>
  <c r="G430" i="6"/>
  <c r="Z428" i="6"/>
  <c r="D428" i="11"/>
  <c r="H426" i="4"/>
  <c r="X430" i="3"/>
  <c r="V430" i="3"/>
  <c r="C429" i="11"/>
  <c r="F430" i="3"/>
  <c r="G430" i="3" s="1"/>
  <c r="F431" i="6"/>
  <c r="K430" i="6"/>
  <c r="I431" i="3"/>
  <c r="K431" i="3" s="1"/>
  <c r="AJ428" i="6" l="1"/>
  <c r="E173" i="9"/>
  <c r="G174" i="4"/>
  <c r="J174" i="4" s="1"/>
  <c r="AF215" i="3"/>
  <c r="AG215" i="3" s="1"/>
  <c r="AA216" i="3" s="1"/>
  <c r="AC216" i="3" s="1"/>
  <c r="AH429" i="3"/>
  <c r="AJ429" i="3" s="1"/>
  <c r="AH429" i="6"/>
  <c r="F428" i="11"/>
  <c r="AG213" i="6"/>
  <c r="AA214" i="6" s="1"/>
  <c r="AC214" i="6" s="1"/>
  <c r="X431" i="3"/>
  <c r="V431" i="3"/>
  <c r="F431" i="3"/>
  <c r="G431" i="3" s="1"/>
  <c r="W431" i="6"/>
  <c r="G431" i="6"/>
  <c r="M433" i="3"/>
  <c r="N433" i="3" s="1"/>
  <c r="O433" i="3" s="1"/>
  <c r="T433" i="3" s="1"/>
  <c r="L434" i="3"/>
  <c r="W430" i="3"/>
  <c r="Z430" i="3" s="1"/>
  <c r="U432" i="3"/>
  <c r="U431" i="6"/>
  <c r="E429" i="11"/>
  <c r="F429" i="4"/>
  <c r="P429" i="4" s="1"/>
  <c r="H428" i="4"/>
  <c r="M432" i="6"/>
  <c r="N432" i="6" s="1"/>
  <c r="O432" i="6" s="1"/>
  <c r="T432" i="6" s="1"/>
  <c r="L433" i="6"/>
  <c r="I432" i="6"/>
  <c r="H433" i="6"/>
  <c r="F432" i="6"/>
  <c r="K431" i="6"/>
  <c r="Z429" i="6"/>
  <c r="D429" i="11"/>
  <c r="C430" i="11"/>
  <c r="X430" i="6"/>
  <c r="V430" i="6"/>
  <c r="C430" i="4" s="1"/>
  <c r="I432" i="3"/>
  <c r="K432" i="3" s="1"/>
  <c r="AJ429" i="6" l="1"/>
  <c r="M174" i="4"/>
  <c r="C215" i="9"/>
  <c r="AH430" i="3"/>
  <c r="AJ430" i="3" s="1"/>
  <c r="AH430" i="6"/>
  <c r="D213" i="9"/>
  <c r="F429" i="11"/>
  <c r="X432" i="3"/>
  <c r="V432" i="3"/>
  <c r="F430" i="4"/>
  <c r="P430" i="4" s="1"/>
  <c r="E430" i="11"/>
  <c r="K432" i="6"/>
  <c r="F433" i="6"/>
  <c r="F432" i="3"/>
  <c r="G432" i="3" s="1"/>
  <c r="M434" i="3"/>
  <c r="N434" i="3" s="1"/>
  <c r="O434" i="3" s="1"/>
  <c r="T434" i="3" s="1"/>
  <c r="L435" i="3"/>
  <c r="U432" i="6"/>
  <c r="W431" i="3"/>
  <c r="Z431" i="3" s="1"/>
  <c r="AH431" i="3" s="1"/>
  <c r="I433" i="3"/>
  <c r="K433" i="3" s="1"/>
  <c r="M433" i="6"/>
  <c r="N433" i="6" s="1"/>
  <c r="O433" i="6" s="1"/>
  <c r="T433" i="6" s="1"/>
  <c r="L434" i="6"/>
  <c r="C431" i="11"/>
  <c r="I433" i="6"/>
  <c r="H434" i="6"/>
  <c r="U433" i="3"/>
  <c r="AF214" i="6"/>
  <c r="AD214" i="6"/>
  <c r="AE214" i="6" s="1"/>
  <c r="X431" i="6"/>
  <c r="V431" i="6"/>
  <c r="C431" i="4" s="1"/>
  <c r="Z430" i="6"/>
  <c r="D430" i="11"/>
  <c r="H429" i="4"/>
  <c r="W432" i="6"/>
  <c r="G432" i="6"/>
  <c r="AF216" i="3"/>
  <c r="AD216" i="3"/>
  <c r="AE216" i="3" s="1"/>
  <c r="K174" i="4" l="1"/>
  <c r="L174" i="4" s="1"/>
  <c r="N174" i="4" s="1"/>
  <c r="AJ430" i="6"/>
  <c r="AJ431" i="3"/>
  <c r="AH431" i="6"/>
  <c r="F430" i="11"/>
  <c r="AG216" i="3"/>
  <c r="AA217" i="3" s="1"/>
  <c r="AC217" i="3" s="1"/>
  <c r="AG214" i="6"/>
  <c r="AA215" i="6" s="1"/>
  <c r="AC215" i="6" s="1"/>
  <c r="X432" i="6"/>
  <c r="V432" i="6"/>
  <c r="C432" i="4" s="1"/>
  <c r="F431" i="4"/>
  <c r="P431" i="4" s="1"/>
  <c r="E431" i="11"/>
  <c r="X433" i="3"/>
  <c r="V433" i="3"/>
  <c r="W432" i="3"/>
  <c r="Z432" i="3" s="1"/>
  <c r="AH432" i="3" s="1"/>
  <c r="G433" i="6"/>
  <c r="W433" i="6"/>
  <c r="K433" i="6"/>
  <c r="F434" i="6"/>
  <c r="U433" i="6"/>
  <c r="I434" i="6"/>
  <c r="H435" i="6"/>
  <c r="I434" i="3"/>
  <c r="K434" i="3" s="1"/>
  <c r="H430" i="4"/>
  <c r="M435" i="3"/>
  <c r="N435" i="3" s="1"/>
  <c r="O435" i="3" s="1"/>
  <c r="T435" i="3" s="1"/>
  <c r="L436" i="3"/>
  <c r="F433" i="3"/>
  <c r="G433" i="3" s="1"/>
  <c r="C432" i="11"/>
  <c r="Z431" i="6"/>
  <c r="D431" i="11"/>
  <c r="U434" i="3"/>
  <c r="M434" i="6"/>
  <c r="N434" i="6" s="1"/>
  <c r="O434" i="6" s="1"/>
  <c r="T434" i="6" s="1"/>
  <c r="L435" i="6"/>
  <c r="G175" i="4" l="1"/>
  <c r="J175" i="4" s="1"/>
  <c r="E174" i="9"/>
  <c r="AJ431" i="6"/>
  <c r="C216" i="9"/>
  <c r="D214" i="9"/>
  <c r="AJ432" i="3"/>
  <c r="AH432" i="6"/>
  <c r="F431" i="11"/>
  <c r="X433" i="6"/>
  <c r="V433" i="6"/>
  <c r="C433" i="4" s="1"/>
  <c r="AF217" i="3"/>
  <c r="AD217" i="3"/>
  <c r="AE217" i="3" s="1"/>
  <c r="F434" i="3"/>
  <c r="G434" i="3" s="1"/>
  <c r="C433" i="11"/>
  <c r="M435" i="6"/>
  <c r="N435" i="6" s="1"/>
  <c r="O435" i="6" s="1"/>
  <c r="T435" i="6" s="1"/>
  <c r="L436" i="6"/>
  <c r="X434" i="3"/>
  <c r="V434" i="3"/>
  <c r="H431" i="4"/>
  <c r="I435" i="3"/>
  <c r="K435" i="3" s="1"/>
  <c r="E432" i="11"/>
  <c r="F432" i="4"/>
  <c r="P432" i="4" s="1"/>
  <c r="AF215" i="6"/>
  <c r="AD215" i="6"/>
  <c r="AE215" i="6" s="1"/>
  <c r="U434" i="6"/>
  <c r="H436" i="6"/>
  <c r="I435" i="6"/>
  <c r="K434" i="6"/>
  <c r="F435" i="6"/>
  <c r="D432" i="11"/>
  <c r="Z432" i="6"/>
  <c r="W434" i="6"/>
  <c r="G434" i="6"/>
  <c r="W433" i="3"/>
  <c r="Z433" i="3" s="1"/>
  <c r="M436" i="3"/>
  <c r="N436" i="3" s="1"/>
  <c r="O436" i="3" s="1"/>
  <c r="T436" i="3" s="1"/>
  <c r="L437" i="3"/>
  <c r="U435" i="3"/>
  <c r="AJ432" i="6" l="1"/>
  <c r="AH433" i="3"/>
  <c r="AJ433" i="3" s="1"/>
  <c r="AH433" i="6"/>
  <c r="F432" i="11"/>
  <c r="AG215" i="6"/>
  <c r="D215" i="9" s="1"/>
  <c r="AG217" i="3"/>
  <c r="AA218" i="3" s="1"/>
  <c r="AC218" i="3" s="1"/>
  <c r="X434" i="6"/>
  <c r="V434" i="6"/>
  <c r="C434" i="4" s="1"/>
  <c r="X435" i="3"/>
  <c r="V435" i="3"/>
  <c r="M437" i="3"/>
  <c r="N437" i="3" s="1"/>
  <c r="O437" i="3" s="1"/>
  <c r="T437" i="3" s="1"/>
  <c r="L438" i="3"/>
  <c r="W434" i="3"/>
  <c r="Z434" i="3" s="1"/>
  <c r="U435" i="6"/>
  <c r="U436" i="3"/>
  <c r="H432" i="4"/>
  <c r="H437" i="6"/>
  <c r="I436" i="6"/>
  <c r="I436" i="3"/>
  <c r="K436" i="3" s="1"/>
  <c r="E433" i="11"/>
  <c r="F433" i="4"/>
  <c r="P433" i="4" s="1"/>
  <c r="F435" i="3"/>
  <c r="G435" i="3" s="1"/>
  <c r="D433" i="11"/>
  <c r="Z433" i="6"/>
  <c r="AJ433" i="6" s="1"/>
  <c r="F436" i="6"/>
  <c r="K435" i="6"/>
  <c r="G435" i="6"/>
  <c r="W435" i="6"/>
  <c r="C434" i="11"/>
  <c r="M436" i="6"/>
  <c r="N436" i="6" s="1"/>
  <c r="O436" i="6" s="1"/>
  <c r="T436" i="6" s="1"/>
  <c r="L437" i="6"/>
  <c r="M175" i="4" l="1"/>
  <c r="K175" i="4"/>
  <c r="L175" i="4" s="1"/>
  <c r="AA216" i="6"/>
  <c r="AC216" i="6" s="1"/>
  <c r="AF216" i="6" s="1"/>
  <c r="C217" i="9"/>
  <c r="AH434" i="3"/>
  <c r="AJ434" i="3" s="1"/>
  <c r="AH434" i="6"/>
  <c r="F433" i="11"/>
  <c r="X435" i="6"/>
  <c r="V435" i="6"/>
  <c r="C435" i="4" s="1"/>
  <c r="F434" i="4"/>
  <c r="P434" i="4" s="1"/>
  <c r="E434" i="11"/>
  <c r="U436" i="6"/>
  <c r="I437" i="3"/>
  <c r="K437" i="3" s="1"/>
  <c r="H433" i="4"/>
  <c r="F437" i="6"/>
  <c r="K436" i="6"/>
  <c r="F436" i="3"/>
  <c r="G436" i="3" s="1"/>
  <c r="I437" i="6"/>
  <c r="H438" i="6"/>
  <c r="M437" i="6"/>
  <c r="N437" i="6" s="1"/>
  <c r="O437" i="6" s="1"/>
  <c r="T437" i="6" s="1"/>
  <c r="L438" i="6"/>
  <c r="W436" i="6"/>
  <c r="G436" i="6"/>
  <c r="AF218" i="3"/>
  <c r="AD218" i="3"/>
  <c r="AE218" i="3" s="1"/>
  <c r="W435" i="3"/>
  <c r="Z435" i="3" s="1"/>
  <c r="AH435" i="3" s="1"/>
  <c r="M438" i="3"/>
  <c r="N438" i="3" s="1"/>
  <c r="O438" i="3" s="1"/>
  <c r="T438" i="3" s="1"/>
  <c r="L439" i="3"/>
  <c r="X436" i="3"/>
  <c r="V436" i="3"/>
  <c r="Z434" i="6"/>
  <c r="D434" i="11"/>
  <c r="C435" i="11"/>
  <c r="U437" i="3"/>
  <c r="N175" i="4" l="1"/>
  <c r="G176" i="4" s="1"/>
  <c r="J176" i="4" s="1"/>
  <c r="AD216" i="6"/>
  <c r="AE216" i="6" s="1"/>
  <c r="E175" i="9"/>
  <c r="AJ434" i="6"/>
  <c r="AJ435" i="3"/>
  <c r="AH435" i="6"/>
  <c r="F434" i="11"/>
  <c r="AG216" i="6"/>
  <c r="D216" i="9" s="1"/>
  <c r="AG218" i="3"/>
  <c r="AA219" i="3" s="1"/>
  <c r="AC219" i="3" s="1"/>
  <c r="X436" i="6"/>
  <c r="V436" i="6"/>
  <c r="C436" i="4" s="1"/>
  <c r="W437" i="6"/>
  <c r="G437" i="6"/>
  <c r="X437" i="3"/>
  <c r="V437" i="3"/>
  <c r="M438" i="6"/>
  <c r="N438" i="6" s="1"/>
  <c r="O438" i="6" s="1"/>
  <c r="T438" i="6" s="1"/>
  <c r="L439" i="6"/>
  <c r="I438" i="3"/>
  <c r="K438" i="3" s="1"/>
  <c r="U437" i="6"/>
  <c r="F437" i="3"/>
  <c r="G437" i="3" s="1"/>
  <c r="H434" i="4"/>
  <c r="H439" i="6"/>
  <c r="I438" i="6"/>
  <c r="E435" i="11"/>
  <c r="F435" i="4"/>
  <c r="P435" i="4" s="1"/>
  <c r="K437" i="6"/>
  <c r="F438" i="6"/>
  <c r="D435" i="11"/>
  <c r="Z435" i="6"/>
  <c r="C436" i="11"/>
  <c r="M439" i="3"/>
  <c r="N439" i="3" s="1"/>
  <c r="O439" i="3" s="1"/>
  <c r="T439" i="3" s="1"/>
  <c r="L440" i="3"/>
  <c r="W436" i="3"/>
  <c r="Z436" i="3" s="1"/>
  <c r="U438" i="3"/>
  <c r="AJ435" i="6" l="1"/>
  <c r="K176" i="4"/>
  <c r="L176" i="4" s="1"/>
  <c r="M176" i="4"/>
  <c r="AA217" i="6"/>
  <c r="AC217" i="6" s="1"/>
  <c r="AD217" i="6" s="1"/>
  <c r="AE217" i="6" s="1"/>
  <c r="C218" i="9"/>
  <c r="C20" i="10" s="1"/>
  <c r="AH436" i="6"/>
  <c r="AH436" i="3"/>
  <c r="AJ436" i="3" s="1"/>
  <c r="F435" i="11"/>
  <c r="X437" i="6"/>
  <c r="V437" i="6"/>
  <c r="X438" i="3"/>
  <c r="V438" i="3"/>
  <c r="M439" i="6"/>
  <c r="N439" i="6" s="1"/>
  <c r="O439" i="6" s="1"/>
  <c r="T439" i="6" s="1"/>
  <c r="L440" i="6"/>
  <c r="H435" i="4"/>
  <c r="F438" i="3"/>
  <c r="G438" i="3" s="1"/>
  <c r="U438" i="6"/>
  <c r="H440" i="6"/>
  <c r="I439" i="6"/>
  <c r="M440" i="3"/>
  <c r="N440" i="3" s="1"/>
  <c r="O440" i="3" s="1"/>
  <c r="T440" i="3" s="1"/>
  <c r="L441" i="3"/>
  <c r="U439" i="3"/>
  <c r="AD219" i="3"/>
  <c r="AE219" i="3" s="1"/>
  <c r="AF219" i="3"/>
  <c r="C437" i="11"/>
  <c r="W437" i="3"/>
  <c r="Z437" i="3" s="1"/>
  <c r="Z436" i="6"/>
  <c r="D436" i="11"/>
  <c r="F439" i="6"/>
  <c r="K438" i="6"/>
  <c r="E436" i="11"/>
  <c r="F436" i="4"/>
  <c r="P436" i="4" s="1"/>
  <c r="W438" i="6"/>
  <c r="G438" i="6"/>
  <c r="I439" i="3"/>
  <c r="K439" i="3" s="1"/>
  <c r="AJ436" i="6" l="1"/>
  <c r="N176" i="4"/>
  <c r="E176" i="9" s="1"/>
  <c r="AF217" i="6"/>
  <c r="AG217" i="6" s="1"/>
  <c r="AA218" i="6" s="1"/>
  <c r="AC218" i="6" s="1"/>
  <c r="AH437" i="3"/>
  <c r="AJ437" i="3" s="1"/>
  <c r="AH437" i="6"/>
  <c r="F436" i="11"/>
  <c r="AG219" i="3"/>
  <c r="C219" i="9" s="1"/>
  <c r="X439" i="3"/>
  <c r="V439" i="3"/>
  <c r="X438" i="6"/>
  <c r="V438" i="6"/>
  <c r="C438" i="4" s="1"/>
  <c r="W438" i="3"/>
  <c r="Z438" i="3" s="1"/>
  <c r="M440" i="6"/>
  <c r="N440" i="6" s="1"/>
  <c r="O440" i="6" s="1"/>
  <c r="T440" i="6" s="1"/>
  <c r="L441" i="6"/>
  <c r="U439" i="6"/>
  <c r="W439" i="6"/>
  <c r="G439" i="6"/>
  <c r="C438" i="11"/>
  <c r="F439" i="3"/>
  <c r="G439" i="3" s="1"/>
  <c r="I440" i="3"/>
  <c r="K440" i="3" s="1"/>
  <c r="M441" i="3"/>
  <c r="N441" i="3" s="1"/>
  <c r="O441" i="3" s="1"/>
  <c r="T441" i="3" s="1"/>
  <c r="L442" i="3"/>
  <c r="H436" i="4"/>
  <c r="U440" i="3"/>
  <c r="D437" i="11"/>
  <c r="Z437" i="6"/>
  <c r="F440" i="6"/>
  <c r="K439" i="6"/>
  <c r="C437" i="4"/>
  <c r="H441" i="6"/>
  <c r="I440" i="6"/>
  <c r="G177" i="4" l="1"/>
  <c r="J177" i="4" s="1"/>
  <c r="M177" i="4" s="1"/>
  <c r="AJ437" i="6"/>
  <c r="AH438" i="3"/>
  <c r="AJ438" i="3" s="1"/>
  <c r="AH438" i="6"/>
  <c r="D217" i="9"/>
  <c r="AA220" i="3"/>
  <c r="AC220" i="3" s="1"/>
  <c r="AD220" i="3" s="1"/>
  <c r="AE220" i="3" s="1"/>
  <c r="X439" i="6"/>
  <c r="V439" i="6"/>
  <c r="C439" i="4" s="1"/>
  <c r="AF218" i="6"/>
  <c r="AD218" i="6"/>
  <c r="AE218" i="6" s="1"/>
  <c r="U441" i="3"/>
  <c r="M441" i="6"/>
  <c r="N441" i="6" s="1"/>
  <c r="O441" i="6" s="1"/>
  <c r="T441" i="6" s="1"/>
  <c r="L442" i="6"/>
  <c r="I441" i="6"/>
  <c r="H442" i="6"/>
  <c r="F441" i="6"/>
  <c r="K440" i="6"/>
  <c r="U440" i="6"/>
  <c r="E437" i="11"/>
  <c r="F437" i="11" s="1"/>
  <c r="F437" i="4"/>
  <c r="P437" i="4" s="1"/>
  <c r="F440" i="3"/>
  <c r="G440" i="3" s="1"/>
  <c r="I441" i="3"/>
  <c r="K441" i="3" s="1"/>
  <c r="G440" i="6"/>
  <c r="W440" i="6"/>
  <c r="W439" i="3"/>
  <c r="Z439" i="3" s="1"/>
  <c r="D438" i="11"/>
  <c r="Z438" i="6"/>
  <c r="E438" i="11"/>
  <c r="F438" i="4"/>
  <c r="P438" i="4" s="1"/>
  <c r="C439" i="11"/>
  <c r="M442" i="3"/>
  <c r="N442" i="3" s="1"/>
  <c r="O442" i="3" s="1"/>
  <c r="T442" i="3" s="1"/>
  <c r="L443" i="3"/>
  <c r="X440" i="3"/>
  <c r="V440" i="3"/>
  <c r="K177" i="4" l="1"/>
  <c r="L177" i="4" s="1"/>
  <c r="N177" i="4" s="1"/>
  <c r="AJ438" i="6"/>
  <c r="AH439" i="3"/>
  <c r="AJ439" i="3" s="1"/>
  <c r="AH439" i="6"/>
  <c r="AF220" i="3"/>
  <c r="AG220" i="3" s="1"/>
  <c r="AG218" i="6"/>
  <c r="D218" i="9" s="1"/>
  <c r="H20" i="10" s="1"/>
  <c r="F438" i="11"/>
  <c r="X440" i="6"/>
  <c r="V440" i="6"/>
  <c r="C440" i="4" s="1"/>
  <c r="X441" i="3"/>
  <c r="V441" i="3"/>
  <c r="K441" i="6"/>
  <c r="F442" i="6"/>
  <c r="M442" i="6"/>
  <c r="N442" i="6" s="1"/>
  <c r="O442" i="6" s="1"/>
  <c r="T442" i="6" s="1"/>
  <c r="L443" i="6"/>
  <c r="U441" i="6"/>
  <c r="C440" i="11"/>
  <c r="U442" i="3"/>
  <c r="I442" i="3"/>
  <c r="K442" i="3" s="1"/>
  <c r="F441" i="3"/>
  <c r="G441" i="3" s="1"/>
  <c r="W440" i="3"/>
  <c r="Z440" i="3" s="1"/>
  <c r="AH440" i="3" s="1"/>
  <c r="H438" i="4"/>
  <c r="H437" i="4"/>
  <c r="M443" i="3"/>
  <c r="N443" i="3" s="1"/>
  <c r="O443" i="3" s="1"/>
  <c r="T443" i="3" s="1"/>
  <c r="L444" i="3"/>
  <c r="Z439" i="6"/>
  <c r="D439" i="11"/>
  <c r="F439" i="4"/>
  <c r="P439" i="4" s="1"/>
  <c r="E439" i="11"/>
  <c r="W441" i="6"/>
  <c r="G441" i="6"/>
  <c r="H443" i="6"/>
  <c r="I442" i="6"/>
  <c r="G178" i="4" l="1"/>
  <c r="J178" i="4" s="1"/>
  <c r="E177" i="9"/>
  <c r="AJ439" i="6"/>
  <c r="AJ440" i="3"/>
  <c r="AH440" i="6"/>
  <c r="AA219" i="6"/>
  <c r="AC219" i="6" s="1"/>
  <c r="AD219" i="6" s="1"/>
  <c r="AE219" i="6" s="1"/>
  <c r="AA221" i="3"/>
  <c r="AC221" i="3" s="1"/>
  <c r="AD221" i="3" s="1"/>
  <c r="AE221" i="3" s="1"/>
  <c r="C220" i="9"/>
  <c r="F439" i="11"/>
  <c r="U443" i="3"/>
  <c r="F440" i="4"/>
  <c r="P440" i="4" s="1"/>
  <c r="E440" i="11"/>
  <c r="X441" i="6"/>
  <c r="V441" i="6"/>
  <c r="F443" i="6"/>
  <c r="K442" i="6"/>
  <c r="M443" i="6"/>
  <c r="N443" i="6" s="1"/>
  <c r="O443" i="6" s="1"/>
  <c r="T443" i="6" s="1"/>
  <c r="L444" i="6"/>
  <c r="U442" i="6"/>
  <c r="W442" i="6"/>
  <c r="G442" i="6"/>
  <c r="C441" i="11"/>
  <c r="H444" i="6"/>
  <c r="I443" i="6"/>
  <c r="F442" i="3"/>
  <c r="G442" i="3" s="1"/>
  <c r="X442" i="3"/>
  <c r="V442" i="3"/>
  <c r="D440" i="11"/>
  <c r="Z440" i="6"/>
  <c r="H439" i="4"/>
  <c r="W441" i="3"/>
  <c r="Z441" i="3" s="1"/>
  <c r="I443" i="3"/>
  <c r="K443" i="3" s="1"/>
  <c r="M444" i="3"/>
  <c r="N444" i="3" s="1"/>
  <c r="O444" i="3" s="1"/>
  <c r="T444" i="3" s="1"/>
  <c r="L445" i="3"/>
  <c r="M178" i="4" l="1"/>
  <c r="K178" i="4"/>
  <c r="L178" i="4" s="1"/>
  <c r="AJ440" i="6"/>
  <c r="AH441" i="3"/>
  <c r="AJ441" i="3" s="1"/>
  <c r="AH441" i="6"/>
  <c r="AF221" i="3"/>
  <c r="AG221" i="3" s="1"/>
  <c r="AA222" i="3" s="1"/>
  <c r="AC222" i="3" s="1"/>
  <c r="AF219" i="6"/>
  <c r="AG219" i="6" s="1"/>
  <c r="AA220" i="6" s="1"/>
  <c r="AC220" i="6" s="1"/>
  <c r="F440" i="11"/>
  <c r="X442" i="6"/>
  <c r="V442" i="6"/>
  <c r="C442" i="4" s="1"/>
  <c r="X443" i="3"/>
  <c r="V443" i="3"/>
  <c r="M445" i="3"/>
  <c r="N445" i="3" s="1"/>
  <c r="O445" i="3" s="1"/>
  <c r="T445" i="3" s="1"/>
  <c r="L446" i="3"/>
  <c r="W443" i="6"/>
  <c r="G443" i="6"/>
  <c r="Z441" i="6"/>
  <c r="D441" i="11"/>
  <c r="U443" i="6"/>
  <c r="I444" i="3"/>
  <c r="K444" i="3" s="1"/>
  <c r="I444" i="6"/>
  <c r="H445" i="6"/>
  <c r="H440" i="4"/>
  <c r="U444" i="3"/>
  <c r="W442" i="3"/>
  <c r="Z442" i="3" s="1"/>
  <c r="F443" i="3"/>
  <c r="G443" i="3" s="1"/>
  <c r="F444" i="6"/>
  <c r="K443" i="6"/>
  <c r="M444" i="6"/>
  <c r="N444" i="6" s="1"/>
  <c r="O444" i="6" s="1"/>
  <c r="T444" i="6" s="1"/>
  <c r="L445" i="6"/>
  <c r="C442" i="11"/>
  <c r="C441" i="4"/>
  <c r="N178" i="4" l="1"/>
  <c r="E178" i="9" s="1"/>
  <c r="AJ441" i="6"/>
  <c r="AH442" i="3"/>
  <c r="AJ442" i="3" s="1"/>
  <c r="AH442" i="6"/>
  <c r="C221" i="9"/>
  <c r="D219" i="9"/>
  <c r="X444" i="3"/>
  <c r="V444" i="3"/>
  <c r="M446" i="3"/>
  <c r="N446" i="3" s="1"/>
  <c r="O446" i="3" s="1"/>
  <c r="T446" i="3" s="1"/>
  <c r="L447" i="3"/>
  <c r="U445" i="3"/>
  <c r="K444" i="6"/>
  <c r="F445" i="6"/>
  <c r="C443" i="11"/>
  <c r="M445" i="6"/>
  <c r="N445" i="6" s="1"/>
  <c r="O445" i="6" s="1"/>
  <c r="T445" i="6" s="1"/>
  <c r="L446" i="6"/>
  <c r="E441" i="11"/>
  <c r="F441" i="11" s="1"/>
  <c r="F441" i="4"/>
  <c r="P441" i="4" s="1"/>
  <c r="I445" i="6"/>
  <c r="H446" i="6"/>
  <c r="U444" i="6"/>
  <c r="AF220" i="6"/>
  <c r="AD220" i="6"/>
  <c r="AE220" i="6" s="1"/>
  <c r="D442" i="11"/>
  <c r="Z442" i="6"/>
  <c r="F442" i="4"/>
  <c r="P442" i="4" s="1"/>
  <c r="E442" i="11"/>
  <c r="F444" i="3"/>
  <c r="G444" i="3" s="1"/>
  <c r="W444" i="6"/>
  <c r="G444" i="6"/>
  <c r="X443" i="6"/>
  <c r="V443" i="6"/>
  <c r="C443" i="4" s="1"/>
  <c r="AD222" i="3"/>
  <c r="AE222" i="3" s="1"/>
  <c r="AF222" i="3"/>
  <c r="I445" i="3"/>
  <c r="K445" i="3" s="1"/>
  <c r="W443" i="3"/>
  <c r="Z443" i="3" s="1"/>
  <c r="G179" i="4" l="1"/>
  <c r="J179" i="4" s="1"/>
  <c r="M179" i="4" s="1"/>
  <c r="AJ442" i="6"/>
  <c r="AH443" i="6"/>
  <c r="AH443" i="3"/>
  <c r="AJ443" i="3" s="1"/>
  <c r="AG222" i="3"/>
  <c r="AA223" i="3" s="1"/>
  <c r="AC223" i="3" s="1"/>
  <c r="AG220" i="6"/>
  <c r="AA221" i="6" s="1"/>
  <c r="AC221" i="6" s="1"/>
  <c r="F442" i="11"/>
  <c r="X445" i="3"/>
  <c r="V445" i="3"/>
  <c r="I446" i="3"/>
  <c r="K446" i="3" s="1"/>
  <c r="F445" i="3"/>
  <c r="G445" i="3" s="1"/>
  <c r="D443" i="11"/>
  <c r="Z443" i="6"/>
  <c r="H447" i="6"/>
  <c r="I446" i="6"/>
  <c r="M447" i="3"/>
  <c r="N447" i="3" s="1"/>
  <c r="O447" i="3" s="1"/>
  <c r="T447" i="3" s="1"/>
  <c r="L448" i="3"/>
  <c r="H442" i="4"/>
  <c r="U446" i="3"/>
  <c r="F446" i="6"/>
  <c r="K445" i="6"/>
  <c r="H441" i="4"/>
  <c r="E443" i="11"/>
  <c r="F443" i="4"/>
  <c r="P443" i="4" s="1"/>
  <c r="X444" i="6"/>
  <c r="V444" i="6"/>
  <c r="C444" i="4" s="1"/>
  <c r="M446" i="6"/>
  <c r="N446" i="6" s="1"/>
  <c r="O446" i="6" s="1"/>
  <c r="T446" i="6" s="1"/>
  <c r="L447" i="6"/>
  <c r="C444" i="11"/>
  <c r="U445" i="6"/>
  <c r="W445" i="6"/>
  <c r="G445" i="6"/>
  <c r="W444" i="3"/>
  <c r="Z444" i="3" s="1"/>
  <c r="AH444" i="6" s="1"/>
  <c r="K179" i="4" l="1"/>
  <c r="L179" i="4" s="1"/>
  <c r="N179" i="4" s="1"/>
  <c r="C222" i="9"/>
  <c r="AH444" i="3"/>
  <c r="AJ444" i="3" s="1"/>
  <c r="AJ443" i="6"/>
  <c r="D220" i="9"/>
  <c r="F443" i="11"/>
  <c r="X445" i="6"/>
  <c r="V445" i="6"/>
  <c r="C445" i="4" s="1"/>
  <c r="H443" i="4"/>
  <c r="I447" i="6"/>
  <c r="H448" i="6"/>
  <c r="W445" i="3"/>
  <c r="Z445" i="3" s="1"/>
  <c r="AF223" i="3"/>
  <c r="AD223" i="3"/>
  <c r="AE223" i="3" s="1"/>
  <c r="W446" i="6"/>
  <c r="G446" i="6"/>
  <c r="I447" i="3"/>
  <c r="K447" i="3" s="1"/>
  <c r="F446" i="3"/>
  <c r="G446" i="3" s="1"/>
  <c r="U446" i="6"/>
  <c r="AF221" i="6"/>
  <c r="AD221" i="6"/>
  <c r="AE221" i="6" s="1"/>
  <c r="F444" i="4"/>
  <c r="P444" i="4" s="1"/>
  <c r="E444" i="11"/>
  <c r="M448" i="3"/>
  <c r="N448" i="3" s="1"/>
  <c r="O448" i="3" s="1"/>
  <c r="T448" i="3" s="1"/>
  <c r="L449" i="3"/>
  <c r="C445" i="11"/>
  <c r="U447" i="3"/>
  <c r="X446" i="3"/>
  <c r="V446" i="3"/>
  <c r="L448" i="6"/>
  <c r="M447" i="6"/>
  <c r="N447" i="6" s="1"/>
  <c r="O447" i="6" s="1"/>
  <c r="T447" i="6" s="1"/>
  <c r="Z444" i="6"/>
  <c r="AJ444" i="6" s="1"/>
  <c r="D444" i="11"/>
  <c r="F447" i="6"/>
  <c r="K446" i="6"/>
  <c r="G180" i="4" l="1"/>
  <c r="J180" i="4" s="1"/>
  <c r="E179" i="9"/>
  <c r="AH445" i="6"/>
  <c r="AH445" i="3"/>
  <c r="AJ445" i="3" s="1"/>
  <c r="AG221" i="6"/>
  <c r="D221" i="9" s="1"/>
  <c r="AG223" i="3"/>
  <c r="AA224" i="3" s="1"/>
  <c r="AC224" i="3" s="1"/>
  <c r="F444" i="11"/>
  <c r="W447" i="6"/>
  <c r="G447" i="6"/>
  <c r="M449" i="3"/>
  <c r="N449" i="3" s="1"/>
  <c r="O449" i="3" s="1"/>
  <c r="T449" i="3" s="1"/>
  <c r="L450" i="3"/>
  <c r="F447" i="3"/>
  <c r="G447" i="3" s="1"/>
  <c r="U448" i="3"/>
  <c r="U447" i="6"/>
  <c r="X446" i="6"/>
  <c r="V446" i="6"/>
  <c r="C446" i="4" s="1"/>
  <c r="C446" i="11"/>
  <c r="H449" i="6"/>
  <c r="I448" i="6"/>
  <c r="F448" i="6"/>
  <c r="K447" i="6"/>
  <c r="F445" i="4"/>
  <c r="P445" i="4" s="1"/>
  <c r="E445" i="11"/>
  <c r="W446" i="3"/>
  <c r="Z446" i="3" s="1"/>
  <c r="D445" i="11"/>
  <c r="Z445" i="6"/>
  <c r="H444" i="4"/>
  <c r="M448" i="6"/>
  <c r="N448" i="6" s="1"/>
  <c r="O448" i="6" s="1"/>
  <c r="T448" i="6" s="1"/>
  <c r="L449" i="6"/>
  <c r="X447" i="3"/>
  <c r="V447" i="3"/>
  <c r="I448" i="3"/>
  <c r="K448" i="3" s="1"/>
  <c r="K180" i="4" l="1"/>
  <c r="L180" i="4" s="1"/>
  <c r="AJ445" i="6"/>
  <c r="AH446" i="3"/>
  <c r="AJ446" i="3" s="1"/>
  <c r="AH446" i="6"/>
  <c r="AA222" i="6"/>
  <c r="AC222" i="6" s="1"/>
  <c r="AD222" i="6" s="1"/>
  <c r="AE222" i="6" s="1"/>
  <c r="C223" i="9"/>
  <c r="F445" i="11"/>
  <c r="X447" i="6"/>
  <c r="V447" i="6"/>
  <c r="C447" i="4" s="1"/>
  <c r="AF224" i="3"/>
  <c r="AD224" i="3"/>
  <c r="AE224" i="3" s="1"/>
  <c r="W448" i="6"/>
  <c r="G448" i="6"/>
  <c r="X448" i="3"/>
  <c r="V448" i="3"/>
  <c r="H445" i="4"/>
  <c r="F449" i="6"/>
  <c r="K448" i="6"/>
  <c r="W447" i="3"/>
  <c r="Z447" i="3" s="1"/>
  <c r="F448" i="3"/>
  <c r="G448" i="3" s="1"/>
  <c r="I449" i="3"/>
  <c r="K449" i="3" s="1"/>
  <c r="M449" i="6"/>
  <c r="N449" i="6" s="1"/>
  <c r="O449" i="6" s="1"/>
  <c r="T449" i="6" s="1"/>
  <c r="L450" i="6"/>
  <c r="M450" i="3"/>
  <c r="N450" i="3" s="1"/>
  <c r="O450" i="3" s="1"/>
  <c r="T450" i="3" s="1"/>
  <c r="L451" i="3"/>
  <c r="U448" i="6"/>
  <c r="F446" i="4"/>
  <c r="P446" i="4" s="1"/>
  <c r="E446" i="11"/>
  <c r="U449" i="3"/>
  <c r="C447" i="11"/>
  <c r="H450" i="6"/>
  <c r="I449" i="6"/>
  <c r="D446" i="11"/>
  <c r="Z446" i="6"/>
  <c r="M180" i="4" l="1"/>
  <c r="N180" i="4" s="1"/>
  <c r="AF222" i="6"/>
  <c r="AG222" i="6" s="1"/>
  <c r="AA223" i="6" s="1"/>
  <c r="AC223" i="6" s="1"/>
  <c r="AH447" i="3"/>
  <c r="AJ447" i="3" s="1"/>
  <c r="AJ446" i="6"/>
  <c r="AH447" i="6"/>
  <c r="AG224" i="3"/>
  <c r="AA225" i="3" s="1"/>
  <c r="AC225" i="3" s="1"/>
  <c r="F446" i="11"/>
  <c r="M451" i="3"/>
  <c r="N451" i="3" s="1"/>
  <c r="O451" i="3" s="1"/>
  <c r="T451" i="3" s="1"/>
  <c r="L452" i="3"/>
  <c r="M450" i="6"/>
  <c r="N450" i="6" s="1"/>
  <c r="O450" i="6" s="1"/>
  <c r="T450" i="6" s="1"/>
  <c r="L451" i="6"/>
  <c r="I450" i="3"/>
  <c r="K450" i="3" s="1"/>
  <c r="W448" i="3"/>
  <c r="Z448" i="3" s="1"/>
  <c r="E447" i="11"/>
  <c r="F447" i="4"/>
  <c r="P447" i="4" s="1"/>
  <c r="U450" i="3"/>
  <c r="F450" i="6"/>
  <c r="K449" i="6"/>
  <c r="I450" i="6"/>
  <c r="H451" i="6"/>
  <c r="W449" i="6"/>
  <c r="G449" i="6"/>
  <c r="U449" i="6"/>
  <c r="D447" i="11"/>
  <c r="Z447" i="6"/>
  <c r="F449" i="3"/>
  <c r="G449" i="3" s="1"/>
  <c r="X448" i="6"/>
  <c r="V448" i="6"/>
  <c r="C448" i="4" s="1"/>
  <c r="X449" i="3"/>
  <c r="V449" i="3"/>
  <c r="H446" i="4"/>
  <c r="C448" i="11"/>
  <c r="E180" i="9" l="1"/>
  <c r="G181" i="4"/>
  <c r="J181" i="4" s="1"/>
  <c r="D222" i="9"/>
  <c r="C224" i="9"/>
  <c r="AH448" i="3"/>
  <c r="AJ448" i="3" s="1"/>
  <c r="AJ447" i="6"/>
  <c r="AH448" i="6"/>
  <c r="F447" i="11"/>
  <c r="X450" i="3"/>
  <c r="V450" i="3"/>
  <c r="I451" i="3"/>
  <c r="K451" i="3" s="1"/>
  <c r="F450" i="3"/>
  <c r="G450" i="3" s="1"/>
  <c r="H447" i="4"/>
  <c r="K450" i="6"/>
  <c r="F451" i="6"/>
  <c r="M451" i="6"/>
  <c r="N451" i="6" s="1"/>
  <c r="O451" i="6" s="1"/>
  <c r="T451" i="6" s="1"/>
  <c r="L452" i="6"/>
  <c r="X449" i="6"/>
  <c r="V449" i="6"/>
  <c r="C449" i="4" s="1"/>
  <c r="U450" i="6"/>
  <c r="M452" i="3"/>
  <c r="N452" i="3" s="1"/>
  <c r="O452" i="3" s="1"/>
  <c r="T452" i="3" s="1"/>
  <c r="L453" i="3"/>
  <c r="U451" i="3"/>
  <c r="C449" i="11"/>
  <c r="W450" i="6"/>
  <c r="G450" i="6"/>
  <c r="AD223" i="6"/>
  <c r="AE223" i="6" s="1"/>
  <c r="AF223" i="6"/>
  <c r="I451" i="6"/>
  <c r="H452" i="6"/>
  <c r="E448" i="11"/>
  <c r="F448" i="4"/>
  <c r="P448" i="4" s="1"/>
  <c r="D448" i="11"/>
  <c r="Z448" i="6"/>
  <c r="W449" i="3"/>
  <c r="Z449" i="3" s="1"/>
  <c r="AF225" i="3"/>
  <c r="AD225" i="3"/>
  <c r="AE225" i="3" s="1"/>
  <c r="M181" i="4" l="1"/>
  <c r="K181" i="4"/>
  <c r="L181" i="4" s="1"/>
  <c r="AJ448" i="6"/>
  <c r="AH449" i="3"/>
  <c r="AJ449" i="3" s="1"/>
  <c r="AH449" i="6"/>
  <c r="AG225" i="3"/>
  <c r="AA226" i="3" s="1"/>
  <c r="AC226" i="3" s="1"/>
  <c r="AG223" i="6"/>
  <c r="AA224" i="6" s="1"/>
  <c r="AC224" i="6" s="1"/>
  <c r="F448" i="11"/>
  <c r="X451" i="3"/>
  <c r="V451" i="3"/>
  <c r="W451" i="6"/>
  <c r="G451" i="6"/>
  <c r="U452" i="3"/>
  <c r="I452" i="3"/>
  <c r="K452" i="3" s="1"/>
  <c r="E449" i="11"/>
  <c r="F449" i="4"/>
  <c r="P449" i="4" s="1"/>
  <c r="F451" i="3"/>
  <c r="G451" i="3" s="1"/>
  <c r="C450" i="11"/>
  <c r="U451" i="6"/>
  <c r="M453" i="3"/>
  <c r="N453" i="3" s="1"/>
  <c r="O453" i="3" s="1"/>
  <c r="T453" i="3" s="1"/>
  <c r="L454" i="3"/>
  <c r="H448" i="4"/>
  <c r="D449" i="11"/>
  <c r="Z449" i="6"/>
  <c r="W450" i="3"/>
  <c r="Z450" i="3" s="1"/>
  <c r="AH450" i="3" s="1"/>
  <c r="X450" i="6"/>
  <c r="V450" i="6"/>
  <c r="H453" i="6"/>
  <c r="I452" i="6"/>
  <c r="K451" i="6"/>
  <c r="F452" i="6"/>
  <c r="M452" i="6"/>
  <c r="N452" i="6" s="1"/>
  <c r="O452" i="6" s="1"/>
  <c r="T452" i="6" s="1"/>
  <c r="L453" i="6"/>
  <c r="N181" i="4" l="1"/>
  <c r="AJ449" i="6"/>
  <c r="E181" i="9"/>
  <c r="G182" i="4"/>
  <c r="J182" i="4" s="1"/>
  <c r="C225" i="9"/>
  <c r="D223" i="9"/>
  <c r="AJ450" i="3"/>
  <c r="AH450" i="6"/>
  <c r="F449" i="11"/>
  <c r="X451" i="6"/>
  <c r="V451" i="6"/>
  <c r="C451" i="4" s="1"/>
  <c r="W451" i="3"/>
  <c r="Z451" i="3" s="1"/>
  <c r="H449" i="4"/>
  <c r="U453" i="3"/>
  <c r="W452" i="6"/>
  <c r="G452" i="6"/>
  <c r="D450" i="11"/>
  <c r="Z450" i="6"/>
  <c r="AF224" i="6"/>
  <c r="AD224" i="6"/>
  <c r="AE224" i="6" s="1"/>
  <c r="X452" i="3"/>
  <c r="V452" i="3"/>
  <c r="M453" i="6"/>
  <c r="N453" i="6" s="1"/>
  <c r="O453" i="6" s="1"/>
  <c r="T453" i="6" s="1"/>
  <c r="L454" i="6"/>
  <c r="I453" i="3"/>
  <c r="K453" i="3" s="1"/>
  <c r="H454" i="6"/>
  <c r="I453" i="6"/>
  <c r="AF226" i="3"/>
  <c r="AD226" i="3"/>
  <c r="AE226" i="3" s="1"/>
  <c r="F453" i="6"/>
  <c r="K452" i="6"/>
  <c r="C451" i="11"/>
  <c r="U452" i="6"/>
  <c r="F452" i="3"/>
  <c r="G452" i="3" s="1"/>
  <c r="M454" i="3"/>
  <c r="N454" i="3" s="1"/>
  <c r="O454" i="3" s="1"/>
  <c r="T454" i="3" s="1"/>
  <c r="L455" i="3"/>
  <c r="C450" i="4"/>
  <c r="M182" i="4" l="1"/>
  <c r="AH451" i="3"/>
  <c r="AJ451" i="3" s="1"/>
  <c r="AJ450" i="6"/>
  <c r="AH451" i="6"/>
  <c r="AG224" i="6"/>
  <c r="AA225" i="6" s="1"/>
  <c r="AC225" i="6" s="1"/>
  <c r="AG226" i="3"/>
  <c r="AA227" i="3" s="1"/>
  <c r="AC227" i="3" s="1"/>
  <c r="X453" i="3"/>
  <c r="V453" i="3"/>
  <c r="M455" i="3"/>
  <c r="N455" i="3" s="1"/>
  <c r="O455" i="3" s="1"/>
  <c r="T455" i="3" s="1"/>
  <c r="L456" i="3"/>
  <c r="W452" i="3"/>
  <c r="Z452" i="3" s="1"/>
  <c r="X452" i="6"/>
  <c r="V452" i="6"/>
  <c r="H455" i="6"/>
  <c r="I454" i="6"/>
  <c r="K453" i="6"/>
  <c r="F454" i="6"/>
  <c r="I454" i="3"/>
  <c r="K454" i="3" s="1"/>
  <c r="M454" i="6"/>
  <c r="N454" i="6" s="1"/>
  <c r="O454" i="6" s="1"/>
  <c r="T454" i="6" s="1"/>
  <c r="L455" i="6"/>
  <c r="E451" i="11"/>
  <c r="F451" i="4"/>
  <c r="P451" i="4" s="1"/>
  <c r="F450" i="4"/>
  <c r="P450" i="4" s="1"/>
  <c r="E450" i="11"/>
  <c r="F450" i="11" s="1"/>
  <c r="U454" i="3"/>
  <c r="F453" i="3"/>
  <c r="G453" i="3" s="1"/>
  <c r="C452" i="11"/>
  <c r="W453" i="6"/>
  <c r="G453" i="6"/>
  <c r="Z451" i="6"/>
  <c r="D451" i="11"/>
  <c r="U453" i="6"/>
  <c r="K182" i="4" l="1"/>
  <c r="L182" i="4" s="1"/>
  <c r="N182" i="4" s="1"/>
  <c r="D224" i="9"/>
  <c r="AJ451" i="6"/>
  <c r="AH452" i="3"/>
  <c r="AJ452" i="3" s="1"/>
  <c r="AH452" i="6"/>
  <c r="F451" i="11"/>
  <c r="C226" i="9"/>
  <c r="X454" i="3"/>
  <c r="V454" i="3"/>
  <c r="F455" i="6"/>
  <c r="K454" i="6"/>
  <c r="Z452" i="6"/>
  <c r="D452" i="11"/>
  <c r="AD225" i="6"/>
  <c r="AE225" i="6" s="1"/>
  <c r="AF225" i="6"/>
  <c r="M456" i="3"/>
  <c r="N456" i="3" s="1"/>
  <c r="O456" i="3" s="1"/>
  <c r="T456" i="3" s="1"/>
  <c r="L457" i="3"/>
  <c r="U455" i="3"/>
  <c r="U454" i="6"/>
  <c r="C453" i="11"/>
  <c r="C452" i="4"/>
  <c r="I455" i="3"/>
  <c r="K455" i="3" s="1"/>
  <c r="H456" i="6"/>
  <c r="I455" i="6"/>
  <c r="W453" i="3"/>
  <c r="Z453" i="3" s="1"/>
  <c r="F454" i="3"/>
  <c r="G454" i="3" s="1"/>
  <c r="X453" i="6"/>
  <c r="V453" i="6"/>
  <c r="C453" i="4" s="1"/>
  <c r="M455" i="6"/>
  <c r="N455" i="6" s="1"/>
  <c r="O455" i="6" s="1"/>
  <c r="T455" i="6" s="1"/>
  <c r="L456" i="6"/>
  <c r="G454" i="6"/>
  <c r="W454" i="6"/>
  <c r="AD227" i="3"/>
  <c r="AE227" i="3" s="1"/>
  <c r="AF227" i="3"/>
  <c r="H451" i="4"/>
  <c r="H450" i="4"/>
  <c r="E182" i="9" l="1"/>
  <c r="M17" i="10" s="1"/>
  <c r="G183" i="4"/>
  <c r="J183" i="4" s="1"/>
  <c r="AJ452" i="6"/>
  <c r="AH453" i="3"/>
  <c r="AJ453" i="3" s="1"/>
  <c r="AH453" i="6"/>
  <c r="AG225" i="6"/>
  <c r="AA226" i="6" s="1"/>
  <c r="AC226" i="6" s="1"/>
  <c r="AG227" i="3"/>
  <c r="C227" i="9" s="1"/>
  <c r="X454" i="6"/>
  <c r="V454" i="6"/>
  <c r="C454" i="4" s="1"/>
  <c r="F453" i="4"/>
  <c r="P453" i="4" s="1"/>
  <c r="E453" i="11"/>
  <c r="I456" i="3"/>
  <c r="K456" i="3" s="1"/>
  <c r="F455" i="3"/>
  <c r="G455" i="3" s="1"/>
  <c r="W454" i="3"/>
  <c r="Z454" i="3" s="1"/>
  <c r="AH454" i="3" s="1"/>
  <c r="M457" i="3"/>
  <c r="N457" i="3" s="1"/>
  <c r="O457" i="3" s="1"/>
  <c r="T457" i="3" s="1"/>
  <c r="L458" i="3"/>
  <c r="H457" i="6"/>
  <c r="I456" i="6"/>
  <c r="U455" i="6"/>
  <c r="W455" i="6"/>
  <c r="G455" i="6"/>
  <c r="U456" i="3"/>
  <c r="M456" i="6"/>
  <c r="N456" i="6" s="1"/>
  <c r="O456" i="6" s="1"/>
  <c r="T456" i="6" s="1"/>
  <c r="L457" i="6"/>
  <c r="C454" i="11"/>
  <c r="X455" i="3"/>
  <c r="V455" i="3"/>
  <c r="F456" i="6"/>
  <c r="K455" i="6"/>
  <c r="D453" i="11"/>
  <c r="Z453" i="6"/>
  <c r="AJ453" i="6" s="1"/>
  <c r="F452" i="4"/>
  <c r="P452" i="4" s="1"/>
  <c r="E452" i="11"/>
  <c r="F452" i="11" s="1"/>
  <c r="K183" i="4" l="1"/>
  <c r="L183" i="4" s="1"/>
  <c r="M183" i="4"/>
  <c r="D225" i="9"/>
  <c r="AA228" i="3"/>
  <c r="AC228" i="3" s="1"/>
  <c r="AD228" i="3" s="1"/>
  <c r="AE228" i="3" s="1"/>
  <c r="AJ454" i="3"/>
  <c r="AH454" i="6"/>
  <c r="F453" i="11"/>
  <c r="X455" i="6"/>
  <c r="V455" i="6"/>
  <c r="C455" i="4" s="1"/>
  <c r="U456" i="6"/>
  <c r="M457" i="6"/>
  <c r="N457" i="6" s="1"/>
  <c r="O457" i="6" s="1"/>
  <c r="T457" i="6" s="1"/>
  <c r="L458" i="6"/>
  <c r="X456" i="3"/>
  <c r="V456" i="3"/>
  <c r="AF226" i="6"/>
  <c r="AD226" i="6"/>
  <c r="AE226" i="6" s="1"/>
  <c r="I457" i="3"/>
  <c r="K457" i="3" s="1"/>
  <c r="H458" i="6"/>
  <c r="I457" i="6"/>
  <c r="W455" i="3"/>
  <c r="Z455" i="3" s="1"/>
  <c r="AH455" i="6" s="1"/>
  <c r="W456" i="6"/>
  <c r="G456" i="6"/>
  <c r="E454" i="11"/>
  <c r="F454" i="4"/>
  <c r="P454" i="4" s="1"/>
  <c r="H452" i="4"/>
  <c r="F456" i="3"/>
  <c r="G456" i="3" s="1"/>
  <c r="H453" i="4"/>
  <c r="Z454" i="6"/>
  <c r="D454" i="11"/>
  <c r="F457" i="6"/>
  <c r="K456" i="6"/>
  <c r="U457" i="3"/>
  <c r="C455" i="11"/>
  <c r="M458" i="3"/>
  <c r="N458" i="3" s="1"/>
  <c r="O458" i="3" s="1"/>
  <c r="T458" i="3" s="1"/>
  <c r="L459" i="3"/>
  <c r="AF228" i="3" l="1"/>
  <c r="AG228" i="3" s="1"/>
  <c r="AA229" i="3" s="1"/>
  <c r="AC229" i="3" s="1"/>
  <c r="N183" i="4"/>
  <c r="AJ454" i="6"/>
  <c r="AH455" i="3"/>
  <c r="AJ455" i="3" s="1"/>
  <c r="F454" i="11"/>
  <c r="AG226" i="6"/>
  <c r="AA227" i="6" s="1"/>
  <c r="AC227" i="6" s="1"/>
  <c r="X456" i="6"/>
  <c r="V456" i="6"/>
  <c r="C456" i="4" s="1"/>
  <c r="M459" i="3"/>
  <c r="N459" i="3" s="1"/>
  <c r="O459" i="3" s="1"/>
  <c r="T459" i="3" s="1"/>
  <c r="L460" i="3"/>
  <c r="C456" i="11"/>
  <c r="W456" i="3"/>
  <c r="Z456" i="3" s="1"/>
  <c r="X457" i="3"/>
  <c r="V457" i="3"/>
  <c r="Z455" i="6"/>
  <c r="AJ455" i="6" s="1"/>
  <c r="D455" i="11"/>
  <c r="F455" i="4"/>
  <c r="P455" i="4" s="1"/>
  <c r="E455" i="11"/>
  <c r="M458" i="6"/>
  <c r="N458" i="6" s="1"/>
  <c r="O458" i="6" s="1"/>
  <c r="T458" i="6" s="1"/>
  <c r="L459" i="6"/>
  <c r="H454" i="4"/>
  <c r="I458" i="3"/>
  <c r="K458" i="3" s="1"/>
  <c r="F458" i="6"/>
  <c r="K457" i="6"/>
  <c r="F457" i="3"/>
  <c r="G457" i="3" s="1"/>
  <c r="U458" i="3"/>
  <c r="U457" i="6"/>
  <c r="G457" i="6"/>
  <c r="W457" i="6"/>
  <c r="I458" i="6"/>
  <c r="H459" i="6"/>
  <c r="E183" i="9" l="1"/>
  <c r="G184" i="4"/>
  <c r="J184" i="4" s="1"/>
  <c r="C228" i="9"/>
  <c r="D226" i="9"/>
  <c r="AH456" i="6"/>
  <c r="AH456" i="3"/>
  <c r="AJ456" i="3" s="1"/>
  <c r="F455" i="11"/>
  <c r="X458" i="3"/>
  <c r="V458" i="3"/>
  <c r="X457" i="6"/>
  <c r="V457" i="6"/>
  <c r="C457" i="4" s="1"/>
  <c r="F459" i="6"/>
  <c r="K458" i="6"/>
  <c r="M459" i="6"/>
  <c r="N459" i="6" s="1"/>
  <c r="O459" i="6" s="1"/>
  <c r="T459" i="6" s="1"/>
  <c r="L460" i="6"/>
  <c r="C457" i="11"/>
  <c r="M460" i="3"/>
  <c r="N460" i="3" s="1"/>
  <c r="O460" i="3" s="1"/>
  <c r="T460" i="3" s="1"/>
  <c r="L461" i="3"/>
  <c r="U459" i="3"/>
  <c r="F458" i="3"/>
  <c r="G458" i="3" s="1"/>
  <c r="H455" i="4"/>
  <c r="H460" i="6"/>
  <c r="I459" i="6"/>
  <c r="I459" i="3"/>
  <c r="K459" i="3" s="1"/>
  <c r="F456" i="4"/>
  <c r="P456" i="4" s="1"/>
  <c r="E456" i="11"/>
  <c r="Z456" i="6"/>
  <c r="D456" i="11"/>
  <c r="U458" i="6"/>
  <c r="W457" i="3"/>
  <c r="Z457" i="3" s="1"/>
  <c r="AH457" i="6" s="1"/>
  <c r="W458" i="6"/>
  <c r="G458" i="6"/>
  <c r="AD229" i="3"/>
  <c r="AE229" i="3" s="1"/>
  <c r="AF229" i="3"/>
  <c r="AF227" i="6"/>
  <c r="AD227" i="6"/>
  <c r="AE227" i="6" s="1"/>
  <c r="AJ456" i="6" l="1"/>
  <c r="M184" i="4"/>
  <c r="AH457" i="3"/>
  <c r="AJ457" i="3" s="1"/>
  <c r="AG227" i="6"/>
  <c r="AA228" i="6" s="1"/>
  <c r="AC228" i="6" s="1"/>
  <c r="AG229" i="3"/>
  <c r="AA230" i="3" s="1"/>
  <c r="AC230" i="3" s="1"/>
  <c r="F456" i="11"/>
  <c r="X459" i="3"/>
  <c r="V459" i="3"/>
  <c r="M461" i="3"/>
  <c r="N461" i="3" s="1"/>
  <c r="O461" i="3" s="1"/>
  <c r="T461" i="3" s="1"/>
  <c r="L462" i="3"/>
  <c r="E457" i="11"/>
  <c r="F457" i="4"/>
  <c r="P457" i="4" s="1"/>
  <c r="X458" i="6"/>
  <c r="V458" i="6"/>
  <c r="C458" i="4" s="1"/>
  <c r="U460" i="3"/>
  <c r="U459" i="6"/>
  <c r="H456" i="4"/>
  <c r="I460" i="3"/>
  <c r="K460" i="3" s="1"/>
  <c r="I460" i="6"/>
  <c r="H461" i="6"/>
  <c r="M460" i="6"/>
  <c r="N460" i="6" s="1"/>
  <c r="O460" i="6" s="1"/>
  <c r="T460" i="6" s="1"/>
  <c r="L461" i="6"/>
  <c r="F460" i="6"/>
  <c r="K459" i="6"/>
  <c r="C458" i="11"/>
  <c r="F459" i="3"/>
  <c r="G459" i="3" s="1"/>
  <c r="W459" i="6"/>
  <c r="G459" i="6"/>
  <c r="Z457" i="6"/>
  <c r="AJ457" i="6" s="1"/>
  <c r="D457" i="11"/>
  <c r="W458" i="3"/>
  <c r="Z458" i="3" s="1"/>
  <c r="AH458" i="3" s="1"/>
  <c r="K184" i="4" l="1"/>
  <c r="L184" i="4" s="1"/>
  <c r="N184" i="4" s="1"/>
  <c r="D227" i="9"/>
  <c r="C229" i="9"/>
  <c r="AJ458" i="3"/>
  <c r="AH458" i="6"/>
  <c r="F457" i="11"/>
  <c r="X460" i="3"/>
  <c r="V460" i="3"/>
  <c r="W460" i="6"/>
  <c r="G460" i="6"/>
  <c r="U460" i="6"/>
  <c r="F458" i="4"/>
  <c r="P458" i="4" s="1"/>
  <c r="E458" i="11"/>
  <c r="Z458" i="6"/>
  <c r="D458" i="11"/>
  <c r="I461" i="6"/>
  <c r="H462" i="6"/>
  <c r="M462" i="3"/>
  <c r="N462" i="3" s="1"/>
  <c r="O462" i="3" s="1"/>
  <c r="T462" i="3" s="1"/>
  <c r="L463" i="3"/>
  <c r="X459" i="6"/>
  <c r="V459" i="6"/>
  <c r="M461" i="6"/>
  <c r="N461" i="6" s="1"/>
  <c r="O461" i="6" s="1"/>
  <c r="T461" i="6" s="1"/>
  <c r="L462" i="6"/>
  <c r="U461" i="3"/>
  <c r="AF228" i="6"/>
  <c r="AD228" i="6"/>
  <c r="AE228" i="6" s="1"/>
  <c r="H457" i="4"/>
  <c r="C459" i="11"/>
  <c r="K460" i="6"/>
  <c r="F461" i="6"/>
  <c r="AF230" i="3"/>
  <c r="AD230" i="3"/>
  <c r="AE230" i="3" s="1"/>
  <c r="I461" i="3"/>
  <c r="K461" i="3" s="1"/>
  <c r="F460" i="3"/>
  <c r="G460" i="3" s="1"/>
  <c r="W459" i="3"/>
  <c r="Z459" i="3" s="1"/>
  <c r="G185" i="4" l="1"/>
  <c r="J185" i="4" s="1"/>
  <c r="E184" i="9"/>
  <c r="AH459" i="3"/>
  <c r="AJ459" i="3" s="1"/>
  <c r="AH459" i="6"/>
  <c r="AJ458" i="6"/>
  <c r="AG230" i="3"/>
  <c r="C230" i="9" s="1"/>
  <c r="C21" i="10" s="1"/>
  <c r="AG228" i="6"/>
  <c r="AA229" i="6" s="1"/>
  <c r="AC229" i="6" s="1"/>
  <c r="F458" i="11"/>
  <c r="K461" i="6"/>
  <c r="F462" i="6"/>
  <c r="W460" i="3"/>
  <c r="Z460" i="3" s="1"/>
  <c r="AH460" i="6" s="1"/>
  <c r="H458" i="4"/>
  <c r="X461" i="3"/>
  <c r="V461" i="3"/>
  <c r="M462" i="6"/>
  <c r="N462" i="6" s="1"/>
  <c r="O462" i="6" s="1"/>
  <c r="T462" i="6" s="1"/>
  <c r="L463" i="6"/>
  <c r="I462" i="3"/>
  <c r="K462" i="3" s="1"/>
  <c r="F461" i="3"/>
  <c r="G461" i="3" s="1"/>
  <c r="W461" i="6"/>
  <c r="G461" i="6"/>
  <c r="M463" i="3"/>
  <c r="N463" i="3" s="1"/>
  <c r="O463" i="3" s="1"/>
  <c r="T463" i="3" s="1"/>
  <c r="L464" i="3"/>
  <c r="C460" i="11"/>
  <c r="X460" i="6"/>
  <c r="V460" i="6"/>
  <c r="C460" i="4" s="1"/>
  <c r="U461" i="6"/>
  <c r="U462" i="3"/>
  <c r="D459" i="11"/>
  <c r="Z459" i="6"/>
  <c r="AJ459" i="6" s="1"/>
  <c r="C459" i="4"/>
  <c r="H463" i="6"/>
  <c r="I462" i="6"/>
  <c r="M185" i="4" l="1"/>
  <c r="K185" i="4"/>
  <c r="L185" i="4" s="1"/>
  <c r="D228" i="9"/>
  <c r="AH460" i="3"/>
  <c r="AJ460" i="3" s="1"/>
  <c r="AA231" i="3"/>
  <c r="AC231" i="3" s="1"/>
  <c r="AF231" i="3" s="1"/>
  <c r="C461" i="11"/>
  <c r="F460" i="4"/>
  <c r="P460" i="4" s="1"/>
  <c r="E460" i="11"/>
  <c r="M464" i="3"/>
  <c r="N464" i="3" s="1"/>
  <c r="O464" i="3" s="1"/>
  <c r="T464" i="3" s="1"/>
  <c r="L465" i="3"/>
  <c r="X462" i="3"/>
  <c r="V462" i="3"/>
  <c r="I463" i="3"/>
  <c r="K463" i="3" s="1"/>
  <c r="W462" i="6"/>
  <c r="G462" i="6"/>
  <c r="U463" i="3"/>
  <c r="W461" i="3"/>
  <c r="Z461" i="3" s="1"/>
  <c r="AH461" i="3" s="1"/>
  <c r="F462" i="3"/>
  <c r="G462" i="3" s="1"/>
  <c r="H464" i="6"/>
  <c r="I463" i="6"/>
  <c r="X461" i="6"/>
  <c r="V461" i="6"/>
  <c r="C461" i="4" s="1"/>
  <c r="M463" i="6"/>
  <c r="N463" i="6" s="1"/>
  <c r="O463" i="6" s="1"/>
  <c r="T463" i="6" s="1"/>
  <c r="L464" i="6"/>
  <c r="D460" i="11"/>
  <c r="Z460" i="6"/>
  <c r="AJ460" i="6" s="1"/>
  <c r="U462" i="6"/>
  <c r="F463" i="6"/>
  <c r="K462" i="6"/>
  <c r="E459" i="11"/>
  <c r="F459" i="11" s="1"/>
  <c r="F459" i="4"/>
  <c r="P459" i="4" s="1"/>
  <c r="AF229" i="6"/>
  <c r="AD229" i="6"/>
  <c r="AE229" i="6" s="1"/>
  <c r="N185" i="4" l="1"/>
  <c r="G186" i="4" s="1"/>
  <c r="J186" i="4" s="1"/>
  <c r="AD231" i="3"/>
  <c r="AE231" i="3" s="1"/>
  <c r="AG231" i="3" s="1"/>
  <c r="AA232" i="3" s="1"/>
  <c r="AC232" i="3" s="1"/>
  <c r="AJ461" i="3"/>
  <c r="AH461" i="6"/>
  <c r="F460" i="11"/>
  <c r="AG229" i="6"/>
  <c r="AA230" i="6" s="1"/>
  <c r="AC230" i="6" s="1"/>
  <c r="E461" i="11"/>
  <c r="F461" i="4"/>
  <c r="P461" i="4" s="1"/>
  <c r="I464" i="6"/>
  <c r="H465" i="6"/>
  <c r="U463" i="6"/>
  <c r="C462" i="11"/>
  <c r="F463" i="3"/>
  <c r="G463" i="3" s="1"/>
  <c r="W462" i="3"/>
  <c r="Z462" i="3" s="1"/>
  <c r="AH462" i="3" s="1"/>
  <c r="H460" i="4"/>
  <c r="I464" i="3"/>
  <c r="K464" i="3" s="1"/>
  <c r="M465" i="3"/>
  <c r="N465" i="3" s="1"/>
  <c r="O465" i="3" s="1"/>
  <c r="T465" i="3" s="1"/>
  <c r="L466" i="3"/>
  <c r="H459" i="4"/>
  <c r="Z461" i="6"/>
  <c r="D461" i="11"/>
  <c r="W463" i="6"/>
  <c r="G463" i="6"/>
  <c r="U464" i="3"/>
  <c r="X462" i="6"/>
  <c r="V462" i="6"/>
  <c r="C462" i="4" s="1"/>
  <c r="X463" i="3"/>
  <c r="V463" i="3"/>
  <c r="F464" i="6"/>
  <c r="K463" i="6"/>
  <c r="M464" i="6"/>
  <c r="N464" i="6" s="1"/>
  <c r="O464" i="6" s="1"/>
  <c r="T464" i="6" s="1"/>
  <c r="L465" i="6"/>
  <c r="E185" i="9" l="1"/>
  <c r="M186" i="4"/>
  <c r="K186" i="4"/>
  <c r="L186" i="4" s="1"/>
  <c r="AJ461" i="6"/>
  <c r="AJ462" i="3"/>
  <c r="AH462" i="6"/>
  <c r="C231" i="9"/>
  <c r="D229" i="9"/>
  <c r="F461" i="11"/>
  <c r="X464" i="3"/>
  <c r="V464" i="3"/>
  <c r="X463" i="6"/>
  <c r="V463" i="6"/>
  <c r="G464" i="6"/>
  <c r="W464" i="6"/>
  <c r="AD230" i="6"/>
  <c r="AE230" i="6" s="1"/>
  <c r="AF230" i="6"/>
  <c r="M465" i="6"/>
  <c r="N465" i="6" s="1"/>
  <c r="O465" i="6" s="1"/>
  <c r="T465" i="6" s="1"/>
  <c r="L466" i="6"/>
  <c r="F462" i="4"/>
  <c r="P462" i="4" s="1"/>
  <c r="E462" i="11"/>
  <c r="C463" i="11"/>
  <c r="H461" i="4"/>
  <c r="U464" i="6"/>
  <c r="U465" i="3"/>
  <c r="I465" i="3"/>
  <c r="K465" i="3" s="1"/>
  <c r="I465" i="6"/>
  <c r="H466" i="6"/>
  <c r="F464" i="3"/>
  <c r="G464" i="3" s="1"/>
  <c r="W463" i="3"/>
  <c r="Z463" i="3" s="1"/>
  <c r="M466" i="3"/>
  <c r="N466" i="3" s="1"/>
  <c r="O466" i="3" s="1"/>
  <c r="T466" i="3" s="1"/>
  <c r="L467" i="3"/>
  <c r="K464" i="6"/>
  <c r="F465" i="6"/>
  <c r="D462" i="11"/>
  <c r="Z462" i="6"/>
  <c r="AD232" i="3"/>
  <c r="AE232" i="3" s="1"/>
  <c r="AF232" i="3"/>
  <c r="N186" i="4" l="1"/>
  <c r="E186" i="9" s="1"/>
  <c r="AJ462" i="6"/>
  <c r="AH463" i="3"/>
  <c r="AJ463" i="3" s="1"/>
  <c r="AH463" i="6"/>
  <c r="AG232" i="3"/>
  <c r="AA233" i="3" s="1"/>
  <c r="AC233" i="3" s="1"/>
  <c r="F462" i="11"/>
  <c r="AG230" i="6"/>
  <c r="AA231" i="6" s="1"/>
  <c r="AC231" i="6" s="1"/>
  <c r="X464" i="6"/>
  <c r="V464" i="6"/>
  <c r="C464" i="4" s="1"/>
  <c r="M466" i="6"/>
  <c r="N466" i="6" s="1"/>
  <c r="O466" i="6" s="1"/>
  <c r="T466" i="6" s="1"/>
  <c r="L467" i="6"/>
  <c r="U465" i="6"/>
  <c r="F465" i="3"/>
  <c r="G465" i="3" s="1"/>
  <c r="X465" i="3"/>
  <c r="V465" i="3"/>
  <c r="M467" i="3"/>
  <c r="N467" i="3" s="1"/>
  <c r="O467" i="3" s="1"/>
  <c r="T467" i="3" s="1"/>
  <c r="L468" i="3"/>
  <c r="Z463" i="6"/>
  <c r="D463" i="11"/>
  <c r="U466" i="3"/>
  <c r="W464" i="3"/>
  <c r="Z464" i="3" s="1"/>
  <c r="C464" i="11"/>
  <c r="K465" i="6"/>
  <c r="F466" i="6"/>
  <c r="I466" i="3"/>
  <c r="K466" i="3" s="1"/>
  <c r="W465" i="6"/>
  <c r="G465" i="6"/>
  <c r="C463" i="4"/>
  <c r="H467" i="6"/>
  <c r="I466" i="6"/>
  <c r="H462" i="4"/>
  <c r="G187" i="4" l="1"/>
  <c r="J187" i="4" s="1"/>
  <c r="K187" i="4" s="1"/>
  <c r="L187" i="4" s="1"/>
  <c r="AJ463" i="6"/>
  <c r="AH464" i="3"/>
  <c r="AJ464" i="3" s="1"/>
  <c r="AH464" i="6"/>
  <c r="C232" i="9"/>
  <c r="D230" i="9"/>
  <c r="H21" i="10" s="1"/>
  <c r="F464" i="4"/>
  <c r="P464" i="4" s="1"/>
  <c r="E464" i="11"/>
  <c r="C465" i="11"/>
  <c r="W465" i="3"/>
  <c r="Z465" i="3" s="1"/>
  <c r="AD233" i="3"/>
  <c r="AE233" i="3" s="1"/>
  <c r="AF233" i="3"/>
  <c r="F463" i="4"/>
  <c r="P463" i="4" s="1"/>
  <c r="E463" i="11"/>
  <c r="F463" i="11" s="1"/>
  <c r="X465" i="6"/>
  <c r="V465" i="6"/>
  <c r="C465" i="4" s="1"/>
  <c r="I467" i="6"/>
  <c r="H468" i="6"/>
  <c r="M467" i="6"/>
  <c r="N467" i="6" s="1"/>
  <c r="O467" i="6" s="1"/>
  <c r="T467" i="6" s="1"/>
  <c r="L468" i="6"/>
  <c r="U466" i="6"/>
  <c r="F467" i="6"/>
  <c r="K466" i="6"/>
  <c r="D464" i="11"/>
  <c r="Z464" i="6"/>
  <c r="X466" i="3"/>
  <c r="V466" i="3"/>
  <c r="I467" i="3"/>
  <c r="K467" i="3" s="1"/>
  <c r="F466" i="3"/>
  <c r="G466" i="3" s="1"/>
  <c r="W466" i="6"/>
  <c r="G466" i="6"/>
  <c r="M468" i="3"/>
  <c r="N468" i="3" s="1"/>
  <c r="O468" i="3" s="1"/>
  <c r="T468" i="3" s="1"/>
  <c r="L469" i="3"/>
  <c r="U467" i="3"/>
  <c r="AF231" i="6"/>
  <c r="AD231" i="6"/>
  <c r="AE231" i="6" s="1"/>
  <c r="M187" i="4" l="1"/>
  <c r="N187" i="4" s="1"/>
  <c r="AJ464" i="6"/>
  <c r="AH465" i="3"/>
  <c r="AJ465" i="3" s="1"/>
  <c r="AH465" i="6"/>
  <c r="AG233" i="3"/>
  <c r="C233" i="9" s="1"/>
  <c r="F464" i="11"/>
  <c r="AG231" i="6"/>
  <c r="AA232" i="6" s="1"/>
  <c r="AC232" i="6" s="1"/>
  <c r="X466" i="6"/>
  <c r="V466" i="6"/>
  <c r="C466" i="4" s="1"/>
  <c r="X467" i="3"/>
  <c r="V467" i="3"/>
  <c r="H463" i="4"/>
  <c r="W467" i="6"/>
  <c r="G467" i="6"/>
  <c r="M469" i="3"/>
  <c r="N469" i="3" s="1"/>
  <c r="O469" i="3" s="1"/>
  <c r="T469" i="3" s="1"/>
  <c r="L470" i="3"/>
  <c r="U468" i="3"/>
  <c r="H469" i="6"/>
  <c r="I468" i="6"/>
  <c r="M468" i="6"/>
  <c r="N468" i="6" s="1"/>
  <c r="O468" i="6" s="1"/>
  <c r="T468" i="6" s="1"/>
  <c r="L469" i="6"/>
  <c r="I468" i="3"/>
  <c r="K468" i="3" s="1"/>
  <c r="F465" i="4"/>
  <c r="P465" i="4" s="1"/>
  <c r="E465" i="11"/>
  <c r="U467" i="6"/>
  <c r="F467" i="3"/>
  <c r="G467" i="3" s="1"/>
  <c r="Z465" i="6"/>
  <c r="D465" i="11"/>
  <c r="W466" i="3"/>
  <c r="Z466" i="3" s="1"/>
  <c r="AH466" i="6" s="1"/>
  <c r="K467" i="6"/>
  <c r="F468" i="6"/>
  <c r="C466" i="11"/>
  <c r="H464" i="4"/>
  <c r="E187" i="9" l="1"/>
  <c r="G188" i="4"/>
  <c r="J188" i="4" s="1"/>
  <c r="AJ465" i="6"/>
  <c r="AH466" i="3"/>
  <c r="AJ466" i="3" s="1"/>
  <c r="D231" i="9"/>
  <c r="AA234" i="3"/>
  <c r="AC234" i="3" s="1"/>
  <c r="AF234" i="3" s="1"/>
  <c r="F465" i="11"/>
  <c r="U469" i="3"/>
  <c r="E466" i="11"/>
  <c r="F466" i="4"/>
  <c r="P466" i="4" s="1"/>
  <c r="M469" i="6"/>
  <c r="N469" i="6" s="1"/>
  <c r="O469" i="6" s="1"/>
  <c r="T469" i="6" s="1"/>
  <c r="L470" i="6"/>
  <c r="C467" i="11"/>
  <c r="H465" i="4"/>
  <c r="W468" i="6"/>
  <c r="G468" i="6"/>
  <c r="U468" i="6"/>
  <c r="F469" i="6"/>
  <c r="K468" i="6"/>
  <c r="F468" i="3"/>
  <c r="G468" i="3" s="1"/>
  <c r="I469" i="3"/>
  <c r="K469" i="3" s="1"/>
  <c r="H470" i="6"/>
  <c r="I469" i="6"/>
  <c r="X468" i="3"/>
  <c r="V468" i="3"/>
  <c r="X467" i="6"/>
  <c r="V467" i="6"/>
  <c r="C467" i="4" s="1"/>
  <c r="Z466" i="6"/>
  <c r="AJ466" i="6" s="1"/>
  <c r="D466" i="11"/>
  <c r="W467" i="3"/>
  <c r="Z467" i="3" s="1"/>
  <c r="M470" i="3"/>
  <c r="N470" i="3" s="1"/>
  <c r="O470" i="3" s="1"/>
  <c r="T470" i="3" s="1"/>
  <c r="L471" i="3"/>
  <c r="AD232" i="6"/>
  <c r="AE232" i="6" s="1"/>
  <c r="AF232" i="6"/>
  <c r="M188" i="4" l="1"/>
  <c r="AH467" i="3"/>
  <c r="AJ467" i="3" s="1"/>
  <c r="AH467" i="6"/>
  <c r="F466" i="11"/>
  <c r="AD234" i="3"/>
  <c r="AE234" i="3" s="1"/>
  <c r="AG234" i="3" s="1"/>
  <c r="AA235" i="3" s="1"/>
  <c r="AC235" i="3" s="1"/>
  <c r="AG232" i="6"/>
  <c r="D232" i="9" s="1"/>
  <c r="X469" i="3"/>
  <c r="V469" i="3"/>
  <c r="M471" i="3"/>
  <c r="N471" i="3" s="1"/>
  <c r="O471" i="3" s="1"/>
  <c r="T471" i="3" s="1"/>
  <c r="L472" i="3"/>
  <c r="U470" i="3"/>
  <c r="F467" i="4"/>
  <c r="P467" i="4" s="1"/>
  <c r="E467" i="11"/>
  <c r="M470" i="6"/>
  <c r="N470" i="6" s="1"/>
  <c r="O470" i="6" s="1"/>
  <c r="T470" i="6" s="1"/>
  <c r="L471" i="6"/>
  <c r="I470" i="6"/>
  <c r="H471" i="6"/>
  <c r="F469" i="3"/>
  <c r="G469" i="3" s="1"/>
  <c r="U469" i="6"/>
  <c r="I470" i="3"/>
  <c r="K470" i="3" s="1"/>
  <c r="W468" i="3"/>
  <c r="Z468" i="3" s="1"/>
  <c r="AH468" i="6" s="1"/>
  <c r="H466" i="4"/>
  <c r="W469" i="6"/>
  <c r="G469" i="6"/>
  <c r="K469" i="6"/>
  <c r="F470" i="6"/>
  <c r="X468" i="6"/>
  <c r="V468" i="6"/>
  <c r="C468" i="4" s="1"/>
  <c r="C468" i="11"/>
  <c r="D467" i="11"/>
  <c r="Z467" i="6"/>
  <c r="K188" i="4" l="1"/>
  <c r="L188" i="4" s="1"/>
  <c r="N188" i="4" s="1"/>
  <c r="AJ467" i="6"/>
  <c r="AH468" i="3"/>
  <c r="AJ468" i="3" s="1"/>
  <c r="C234" i="9"/>
  <c r="AA233" i="6"/>
  <c r="AC233" i="6" s="1"/>
  <c r="AF233" i="6" s="1"/>
  <c r="F467" i="11"/>
  <c r="X470" i="3"/>
  <c r="V470" i="3"/>
  <c r="X469" i="6"/>
  <c r="V469" i="6"/>
  <c r="C469" i="4" s="1"/>
  <c r="K470" i="6"/>
  <c r="F471" i="6"/>
  <c r="M471" i="6"/>
  <c r="N471" i="6" s="1"/>
  <c r="O471" i="6" s="1"/>
  <c r="T471" i="6" s="1"/>
  <c r="L472" i="6"/>
  <c r="M472" i="3"/>
  <c r="N472" i="3" s="1"/>
  <c r="O472" i="3" s="1"/>
  <c r="T472" i="3" s="1"/>
  <c r="L473" i="3"/>
  <c r="H467" i="4"/>
  <c r="U471" i="3"/>
  <c r="F470" i="3"/>
  <c r="G470" i="3" s="1"/>
  <c r="C469" i="11"/>
  <c r="I471" i="3"/>
  <c r="K471" i="3" s="1"/>
  <c r="F468" i="4"/>
  <c r="P468" i="4" s="1"/>
  <c r="E468" i="11"/>
  <c r="U470" i="6"/>
  <c r="W469" i="3"/>
  <c r="Z469" i="3" s="1"/>
  <c r="D468" i="11"/>
  <c r="Z468" i="6"/>
  <c r="AJ468" i="6" s="1"/>
  <c r="W470" i="6"/>
  <c r="G470" i="6"/>
  <c r="I471" i="6"/>
  <c r="H472" i="6"/>
  <c r="AD235" i="3"/>
  <c r="AE235" i="3" s="1"/>
  <c r="AF235" i="3"/>
  <c r="G189" i="4" l="1"/>
  <c r="J189" i="4" s="1"/>
  <c r="E188" i="9"/>
  <c r="AH469" i="3"/>
  <c r="AJ469" i="3" s="1"/>
  <c r="AH469" i="6"/>
  <c r="AD233" i="6"/>
  <c r="AE233" i="6" s="1"/>
  <c r="AG233" i="6" s="1"/>
  <c r="D233" i="9" s="1"/>
  <c r="F468" i="11"/>
  <c r="AG235" i="3"/>
  <c r="AA236" i="3" s="1"/>
  <c r="AC236" i="3" s="1"/>
  <c r="X471" i="3"/>
  <c r="V471" i="3"/>
  <c r="X470" i="6"/>
  <c r="V470" i="6"/>
  <c r="C470" i="4" s="1"/>
  <c r="M473" i="3"/>
  <c r="N473" i="3" s="1"/>
  <c r="O473" i="3" s="1"/>
  <c r="T473" i="3" s="1"/>
  <c r="L474" i="3"/>
  <c r="U472" i="3"/>
  <c r="M472" i="6"/>
  <c r="N472" i="6" s="1"/>
  <c r="O472" i="6" s="1"/>
  <c r="T472" i="6" s="1"/>
  <c r="L473" i="6"/>
  <c r="U471" i="6"/>
  <c r="H468" i="4"/>
  <c r="I472" i="3"/>
  <c r="K472" i="3" s="1"/>
  <c r="W471" i="6"/>
  <c r="G471" i="6"/>
  <c r="E469" i="11"/>
  <c r="F469" i="4"/>
  <c r="P469" i="4" s="1"/>
  <c r="Z469" i="6"/>
  <c r="D469" i="11"/>
  <c r="F471" i="3"/>
  <c r="G471" i="3" s="1"/>
  <c r="C470" i="11"/>
  <c r="I472" i="6"/>
  <c r="H473" i="6"/>
  <c r="W470" i="3"/>
  <c r="Z470" i="3" s="1"/>
  <c r="AH470" i="6" s="1"/>
  <c r="K471" i="6"/>
  <c r="F472" i="6"/>
  <c r="K189" i="4" l="1"/>
  <c r="L189" i="4" s="1"/>
  <c r="M189" i="4"/>
  <c r="AJ469" i="6"/>
  <c r="AH470" i="3"/>
  <c r="AJ470" i="3" s="1"/>
  <c r="C235" i="9"/>
  <c r="AA234" i="6"/>
  <c r="AC234" i="6" s="1"/>
  <c r="AF234" i="6" s="1"/>
  <c r="F469" i="11"/>
  <c r="X471" i="6"/>
  <c r="V471" i="6"/>
  <c r="C471" i="4" s="1"/>
  <c r="X472" i="3"/>
  <c r="V472" i="3"/>
  <c r="M473" i="6"/>
  <c r="N473" i="6" s="1"/>
  <c r="O473" i="6" s="1"/>
  <c r="T473" i="6" s="1"/>
  <c r="L474" i="6"/>
  <c r="U472" i="6"/>
  <c r="W471" i="3"/>
  <c r="Z471" i="3" s="1"/>
  <c r="M474" i="3"/>
  <c r="N474" i="3" s="1"/>
  <c r="O474" i="3" s="1"/>
  <c r="T474" i="3" s="1"/>
  <c r="L475" i="3"/>
  <c r="U473" i="3"/>
  <c r="H469" i="4"/>
  <c r="AD236" i="3"/>
  <c r="AE236" i="3" s="1"/>
  <c r="AF236" i="3"/>
  <c r="Z470" i="6"/>
  <c r="AJ470" i="6" s="1"/>
  <c r="D470" i="11"/>
  <c r="F470" i="4"/>
  <c r="P470" i="4" s="1"/>
  <c r="E470" i="11"/>
  <c r="W472" i="6"/>
  <c r="G472" i="6"/>
  <c r="F472" i="3"/>
  <c r="G472" i="3" s="1"/>
  <c r="I473" i="6"/>
  <c r="H474" i="6"/>
  <c r="I473" i="3"/>
  <c r="K473" i="3" s="1"/>
  <c r="C471" i="11"/>
  <c r="F473" i="6"/>
  <c r="K472" i="6"/>
  <c r="N189" i="4" l="1"/>
  <c r="E189" i="9" s="1"/>
  <c r="AH471" i="3"/>
  <c r="AJ471" i="3" s="1"/>
  <c r="AH471" i="6"/>
  <c r="AD234" i="6"/>
  <c r="AE234" i="6" s="1"/>
  <c r="AG234" i="6" s="1"/>
  <c r="AG236" i="3"/>
  <c r="AA237" i="3" s="1"/>
  <c r="AC237" i="3" s="1"/>
  <c r="F470" i="11"/>
  <c r="X473" i="3"/>
  <c r="V473" i="3"/>
  <c r="X472" i="6"/>
  <c r="V472" i="6"/>
  <c r="C472" i="4" s="1"/>
  <c r="M475" i="3"/>
  <c r="N475" i="3" s="1"/>
  <c r="O475" i="3" s="1"/>
  <c r="T475" i="3" s="1"/>
  <c r="L476" i="3"/>
  <c r="E471" i="11"/>
  <c r="F471" i="4"/>
  <c r="P471" i="4" s="1"/>
  <c r="U474" i="3"/>
  <c r="H470" i="4"/>
  <c r="U473" i="6"/>
  <c r="F473" i="3"/>
  <c r="G473" i="3" s="1"/>
  <c r="C472" i="11"/>
  <c r="M474" i="6"/>
  <c r="N474" i="6" s="1"/>
  <c r="O474" i="6" s="1"/>
  <c r="T474" i="6" s="1"/>
  <c r="L475" i="6"/>
  <c r="I474" i="3"/>
  <c r="K474" i="3" s="1"/>
  <c r="W473" i="6"/>
  <c r="G473" i="6"/>
  <c r="K473" i="6"/>
  <c r="F474" i="6"/>
  <c r="W472" i="3"/>
  <c r="Z472" i="3" s="1"/>
  <c r="AH472" i="3" s="1"/>
  <c r="D471" i="11"/>
  <c r="Z471" i="6"/>
  <c r="AJ471" i="6" s="1"/>
  <c r="H475" i="6"/>
  <c r="I474" i="6"/>
  <c r="G190" i="4" l="1"/>
  <c r="J190" i="4" s="1"/>
  <c r="K190" i="4" s="1"/>
  <c r="L190" i="4" s="1"/>
  <c r="AJ472" i="3"/>
  <c r="AH472" i="6"/>
  <c r="F471" i="11"/>
  <c r="D234" i="9"/>
  <c r="AA235" i="6"/>
  <c r="AC235" i="6" s="1"/>
  <c r="AF235" i="6" s="1"/>
  <c r="C236" i="9"/>
  <c r="X473" i="6"/>
  <c r="V473" i="6"/>
  <c r="C473" i="4" s="1"/>
  <c r="F475" i="6"/>
  <c r="K474" i="6"/>
  <c r="H471" i="4"/>
  <c r="M476" i="3"/>
  <c r="N476" i="3" s="1"/>
  <c r="O476" i="3" s="1"/>
  <c r="T476" i="3" s="1"/>
  <c r="L477" i="3"/>
  <c r="E472" i="11"/>
  <c r="F472" i="4"/>
  <c r="P472" i="4" s="1"/>
  <c r="AF237" i="3"/>
  <c r="AD237" i="3"/>
  <c r="AE237" i="3" s="1"/>
  <c r="U475" i="3"/>
  <c r="U474" i="6"/>
  <c r="W473" i="3"/>
  <c r="Z473" i="3" s="1"/>
  <c r="D472" i="11"/>
  <c r="Z472" i="6"/>
  <c r="M475" i="6"/>
  <c r="N475" i="6" s="1"/>
  <c r="O475" i="6" s="1"/>
  <c r="T475" i="6" s="1"/>
  <c r="L476" i="6"/>
  <c r="X474" i="3"/>
  <c r="V474" i="3"/>
  <c r="I475" i="6"/>
  <c r="H476" i="6"/>
  <c r="W474" i="6"/>
  <c r="G474" i="6"/>
  <c r="C473" i="11"/>
  <c r="I475" i="3"/>
  <c r="K475" i="3" s="1"/>
  <c r="F474" i="3"/>
  <c r="G474" i="3" s="1"/>
  <c r="M190" i="4" l="1"/>
  <c r="N190" i="4"/>
  <c r="G191" i="4" s="1"/>
  <c r="J191" i="4" s="1"/>
  <c r="AJ472" i="6"/>
  <c r="AD235" i="6"/>
  <c r="AE235" i="6" s="1"/>
  <c r="AG235" i="6" s="1"/>
  <c r="AA236" i="6" s="1"/>
  <c r="AC236" i="6" s="1"/>
  <c r="AH473" i="3"/>
  <c r="AJ473" i="3" s="1"/>
  <c r="AH473" i="6"/>
  <c r="AG237" i="3"/>
  <c r="C237" i="9" s="1"/>
  <c r="F472" i="11"/>
  <c r="M476" i="6"/>
  <c r="N476" i="6" s="1"/>
  <c r="O476" i="6" s="1"/>
  <c r="T476" i="6" s="1"/>
  <c r="L477" i="6"/>
  <c r="I476" i="3"/>
  <c r="K476" i="3" s="1"/>
  <c r="H472" i="4"/>
  <c r="F473" i="4"/>
  <c r="P473" i="4" s="1"/>
  <c r="E473" i="11"/>
  <c r="W474" i="3"/>
  <c r="Z474" i="3" s="1"/>
  <c r="U475" i="6"/>
  <c r="U476" i="3"/>
  <c r="W475" i="6"/>
  <c r="G475" i="6"/>
  <c r="M477" i="3"/>
  <c r="N477" i="3" s="1"/>
  <c r="O477" i="3" s="1"/>
  <c r="T477" i="3" s="1"/>
  <c r="L478" i="3"/>
  <c r="K475" i="6"/>
  <c r="F476" i="6"/>
  <c r="D473" i="11"/>
  <c r="Z473" i="6"/>
  <c r="I476" i="6"/>
  <c r="H477" i="6"/>
  <c r="X475" i="3"/>
  <c r="V475" i="3"/>
  <c r="F475" i="3"/>
  <c r="G475" i="3" s="1"/>
  <c r="X474" i="6"/>
  <c r="V474" i="6"/>
  <c r="C474" i="4" s="1"/>
  <c r="C474" i="11"/>
  <c r="E190" i="9" l="1"/>
  <c r="AJ473" i="6"/>
  <c r="M191" i="4"/>
  <c r="K191" i="4"/>
  <c r="L191" i="4" s="1"/>
  <c r="N191" i="4" s="1"/>
  <c r="AA238" i="3"/>
  <c r="AC238" i="3" s="1"/>
  <c r="AF238" i="3" s="1"/>
  <c r="AH474" i="3"/>
  <c r="AJ474" i="3" s="1"/>
  <c r="AH474" i="6"/>
  <c r="D235" i="9"/>
  <c r="F473" i="11"/>
  <c r="X475" i="6"/>
  <c r="V475" i="6"/>
  <c r="C475" i="4" s="1"/>
  <c r="E474" i="11"/>
  <c r="F474" i="4"/>
  <c r="P474" i="4" s="1"/>
  <c r="H473" i="4"/>
  <c r="M478" i="3"/>
  <c r="N478" i="3" s="1"/>
  <c r="O478" i="3" s="1"/>
  <c r="T478" i="3" s="1"/>
  <c r="L479" i="3"/>
  <c r="W476" i="6"/>
  <c r="G476" i="6"/>
  <c r="I477" i="3"/>
  <c r="K477" i="3" s="1"/>
  <c r="W475" i="3"/>
  <c r="Z475" i="3" s="1"/>
  <c r="F476" i="3"/>
  <c r="G476" i="3" s="1"/>
  <c r="C475" i="11"/>
  <c r="M477" i="6"/>
  <c r="N477" i="6" s="1"/>
  <c r="O477" i="6" s="1"/>
  <c r="T477" i="6" s="1"/>
  <c r="L478" i="6"/>
  <c r="D474" i="11"/>
  <c r="Z474" i="6"/>
  <c r="U476" i="6"/>
  <c r="U477" i="3"/>
  <c r="X476" i="3"/>
  <c r="V476" i="3"/>
  <c r="H478" i="6"/>
  <c r="I477" i="6"/>
  <c r="K476" i="6"/>
  <c r="F477" i="6"/>
  <c r="AD236" i="6"/>
  <c r="AE236" i="6" s="1"/>
  <c r="AF236" i="6"/>
  <c r="AD238" i="3" l="1"/>
  <c r="AE238" i="3" s="1"/>
  <c r="AJ474" i="6"/>
  <c r="G192" i="4"/>
  <c r="J192" i="4" s="1"/>
  <c r="E191" i="9"/>
  <c r="AH475" i="3"/>
  <c r="AJ475" i="3" s="1"/>
  <c r="AH475" i="6"/>
  <c r="AG236" i="6"/>
  <c r="AA237" i="6" s="1"/>
  <c r="AC237" i="6" s="1"/>
  <c r="F474" i="11"/>
  <c r="AG238" i="3"/>
  <c r="AA239" i="3" s="1"/>
  <c r="AC239" i="3" s="1"/>
  <c r="X476" i="6"/>
  <c r="V476" i="6"/>
  <c r="C476" i="4" s="1"/>
  <c r="I478" i="3"/>
  <c r="K478" i="3" s="1"/>
  <c r="F477" i="3"/>
  <c r="G477" i="3" s="1"/>
  <c r="W477" i="6"/>
  <c r="G477" i="6"/>
  <c r="X477" i="3"/>
  <c r="V477" i="3"/>
  <c r="M479" i="3"/>
  <c r="N479" i="3" s="1"/>
  <c r="O479" i="3" s="1"/>
  <c r="T479" i="3" s="1"/>
  <c r="L480" i="3"/>
  <c r="U478" i="3"/>
  <c r="U477" i="6"/>
  <c r="H474" i="4"/>
  <c r="H479" i="6"/>
  <c r="I478" i="6"/>
  <c r="C476" i="11"/>
  <c r="D475" i="11"/>
  <c r="Z475" i="6"/>
  <c r="F478" i="6"/>
  <c r="K477" i="6"/>
  <c r="W476" i="3"/>
  <c r="Z476" i="3" s="1"/>
  <c r="M478" i="6"/>
  <c r="N478" i="6" s="1"/>
  <c r="O478" i="6" s="1"/>
  <c r="T478" i="6" s="1"/>
  <c r="L479" i="6"/>
  <c r="E475" i="11"/>
  <c r="F475" i="4"/>
  <c r="P475" i="4" s="1"/>
  <c r="AJ475" i="6" l="1"/>
  <c r="M192" i="4"/>
  <c r="K192" i="4"/>
  <c r="L192" i="4" s="1"/>
  <c r="D236" i="9"/>
  <c r="C238" i="9"/>
  <c r="F475" i="11"/>
  <c r="AH476" i="3"/>
  <c r="AJ476" i="3" s="1"/>
  <c r="AH476" i="6"/>
  <c r="E476" i="11"/>
  <c r="F476" i="4"/>
  <c r="P476" i="4" s="1"/>
  <c r="F479" i="6"/>
  <c r="K478" i="6"/>
  <c r="H480" i="6"/>
  <c r="I479" i="6"/>
  <c r="F478" i="3"/>
  <c r="G478" i="3" s="1"/>
  <c r="H475" i="4"/>
  <c r="M479" i="6"/>
  <c r="N479" i="6" s="1"/>
  <c r="O479" i="6" s="1"/>
  <c r="T479" i="6" s="1"/>
  <c r="L480" i="6"/>
  <c r="AF237" i="6"/>
  <c r="AD237" i="6"/>
  <c r="AE237" i="6" s="1"/>
  <c r="I479" i="3"/>
  <c r="K479" i="3" s="1"/>
  <c r="U478" i="6"/>
  <c r="W477" i="3"/>
  <c r="Z477" i="3" s="1"/>
  <c r="X478" i="3"/>
  <c r="V478" i="3"/>
  <c r="X477" i="6"/>
  <c r="V477" i="6"/>
  <c r="C477" i="4" s="1"/>
  <c r="W478" i="6"/>
  <c r="G478" i="6"/>
  <c r="AD239" i="3"/>
  <c r="AE239" i="3" s="1"/>
  <c r="AF239" i="3"/>
  <c r="M480" i="3"/>
  <c r="N480" i="3" s="1"/>
  <c r="O480" i="3" s="1"/>
  <c r="T480" i="3" s="1"/>
  <c r="L481" i="3"/>
  <c r="D476" i="11"/>
  <c r="Z476" i="6"/>
  <c r="U479" i="3"/>
  <c r="C477" i="11"/>
  <c r="N192" i="4" l="1"/>
  <c r="E192" i="9"/>
  <c r="G193" i="4"/>
  <c r="J193" i="4" s="1"/>
  <c r="AJ476" i="6"/>
  <c r="AH477" i="3"/>
  <c r="AJ477" i="3" s="1"/>
  <c r="AH477" i="6"/>
  <c r="F476" i="11"/>
  <c r="AG237" i="6"/>
  <c r="AA238" i="6" s="1"/>
  <c r="AC238" i="6" s="1"/>
  <c r="AG239" i="3"/>
  <c r="C239" i="9" s="1"/>
  <c r="X479" i="3"/>
  <c r="V479" i="3"/>
  <c r="M480" i="6"/>
  <c r="N480" i="6" s="1"/>
  <c r="O480" i="6" s="1"/>
  <c r="T480" i="6" s="1"/>
  <c r="L481" i="6"/>
  <c r="U479" i="6"/>
  <c r="M481" i="3"/>
  <c r="N481" i="3" s="1"/>
  <c r="O481" i="3" s="1"/>
  <c r="T481" i="3" s="1"/>
  <c r="L482" i="3"/>
  <c r="U480" i="3"/>
  <c r="G479" i="6"/>
  <c r="W479" i="6"/>
  <c r="F479" i="3"/>
  <c r="G479" i="3" s="1"/>
  <c r="H476" i="4"/>
  <c r="W478" i="3"/>
  <c r="Z478" i="3" s="1"/>
  <c r="X478" i="6"/>
  <c r="V478" i="6"/>
  <c r="I480" i="3"/>
  <c r="K480" i="3" s="1"/>
  <c r="F477" i="4"/>
  <c r="P477" i="4" s="1"/>
  <c r="E477" i="11"/>
  <c r="D477" i="11"/>
  <c r="Z477" i="6"/>
  <c r="C478" i="11"/>
  <c r="H481" i="6"/>
  <c r="I480" i="6"/>
  <c r="F480" i="6"/>
  <c r="K479" i="6"/>
  <c r="AJ477" i="6" l="1"/>
  <c r="AA240" i="3"/>
  <c r="AC240" i="3" s="1"/>
  <c r="AD240" i="3" s="1"/>
  <c r="AE240" i="3" s="1"/>
  <c r="D237" i="9"/>
  <c r="AH478" i="3"/>
  <c r="AJ478" i="3" s="1"/>
  <c r="AH478" i="6"/>
  <c r="F477" i="11"/>
  <c r="X480" i="3"/>
  <c r="V480" i="3"/>
  <c r="X479" i="6"/>
  <c r="V479" i="6"/>
  <c r="C479" i="4" s="1"/>
  <c r="I481" i="3"/>
  <c r="K481" i="3" s="1"/>
  <c r="U480" i="6"/>
  <c r="F480" i="3"/>
  <c r="G480" i="3" s="1"/>
  <c r="C479" i="11"/>
  <c r="U481" i="3"/>
  <c r="W480" i="6"/>
  <c r="G480" i="6"/>
  <c r="M481" i="6"/>
  <c r="N481" i="6" s="1"/>
  <c r="O481" i="6" s="1"/>
  <c r="T481" i="6" s="1"/>
  <c r="L482" i="6"/>
  <c r="W479" i="3"/>
  <c r="Z479" i="3" s="1"/>
  <c r="H477" i="4"/>
  <c r="M482" i="3"/>
  <c r="N482" i="3" s="1"/>
  <c r="O482" i="3" s="1"/>
  <c r="T482" i="3" s="1"/>
  <c r="L483" i="3"/>
  <c r="Z478" i="6"/>
  <c r="D478" i="11"/>
  <c r="F481" i="6"/>
  <c r="K480" i="6"/>
  <c r="C478" i="4"/>
  <c r="I481" i="6"/>
  <c r="H482" i="6"/>
  <c r="AF238" i="6"/>
  <c r="AD238" i="6"/>
  <c r="AE238" i="6" s="1"/>
  <c r="K193" i="4" l="1"/>
  <c r="L193" i="4" s="1"/>
  <c r="M193" i="4"/>
  <c r="AF240" i="3"/>
  <c r="AG240" i="3" s="1"/>
  <c r="C240" i="9" s="1"/>
  <c r="AJ478" i="6"/>
  <c r="AH479" i="3"/>
  <c r="AJ479" i="3" s="1"/>
  <c r="AH479" i="6"/>
  <c r="AG238" i="6"/>
  <c r="AA239" i="6" s="1"/>
  <c r="AC239" i="6" s="1"/>
  <c r="E479" i="11"/>
  <c r="F479" i="4"/>
  <c r="P479" i="4" s="1"/>
  <c r="W480" i="3"/>
  <c r="Z480" i="3" s="1"/>
  <c r="Z479" i="6"/>
  <c r="D479" i="11"/>
  <c r="I482" i="3"/>
  <c r="K482" i="3" s="1"/>
  <c r="X480" i="6"/>
  <c r="V480" i="6"/>
  <c r="C480" i="4" s="1"/>
  <c r="M482" i="6"/>
  <c r="N482" i="6" s="1"/>
  <c r="O482" i="6" s="1"/>
  <c r="T482" i="6" s="1"/>
  <c r="L483" i="6"/>
  <c r="M483" i="3"/>
  <c r="N483" i="3" s="1"/>
  <c r="O483" i="3" s="1"/>
  <c r="T483" i="3" s="1"/>
  <c r="L484" i="3"/>
  <c r="K481" i="6"/>
  <c r="F482" i="6"/>
  <c r="U481" i="6"/>
  <c r="E478" i="11"/>
  <c r="F478" i="11" s="1"/>
  <c r="F478" i="4"/>
  <c r="P478" i="4" s="1"/>
  <c r="C480" i="11"/>
  <c r="F481" i="3"/>
  <c r="G481" i="3" s="1"/>
  <c r="U482" i="3"/>
  <c r="H483" i="6"/>
  <c r="I482" i="6"/>
  <c r="X481" i="3"/>
  <c r="V481" i="3"/>
  <c r="W481" i="6"/>
  <c r="G481" i="6"/>
  <c r="AJ479" i="6" l="1"/>
  <c r="N193" i="4"/>
  <c r="G194" i="4" s="1"/>
  <c r="J194" i="4" s="1"/>
  <c r="F479" i="11"/>
  <c r="AA241" i="3"/>
  <c r="AC241" i="3" s="1"/>
  <c r="AD241" i="3" s="1"/>
  <c r="AE241" i="3" s="1"/>
  <c r="D238" i="9"/>
  <c r="AH480" i="3"/>
  <c r="AJ480" i="3" s="1"/>
  <c r="AH480" i="6"/>
  <c r="X482" i="3"/>
  <c r="V482" i="3"/>
  <c r="I483" i="3"/>
  <c r="K483" i="3" s="1"/>
  <c r="C481" i="11"/>
  <c r="X481" i="6"/>
  <c r="V481" i="6"/>
  <c r="AD239" i="6"/>
  <c r="AE239" i="6" s="1"/>
  <c r="AF239" i="6"/>
  <c r="M484" i="3"/>
  <c r="N484" i="3" s="1"/>
  <c r="O484" i="3" s="1"/>
  <c r="T484" i="3" s="1"/>
  <c r="L485" i="3"/>
  <c r="H478" i="4"/>
  <c r="F483" i="6"/>
  <c r="K482" i="6"/>
  <c r="I483" i="6"/>
  <c r="H484" i="6"/>
  <c r="W482" i="6"/>
  <c r="G482" i="6"/>
  <c r="U483" i="3"/>
  <c r="L484" i="6"/>
  <c r="M483" i="6"/>
  <c r="N483" i="6" s="1"/>
  <c r="O483" i="6" s="1"/>
  <c r="T483" i="6" s="1"/>
  <c r="H479" i="4"/>
  <c r="W481" i="3"/>
  <c r="Z481" i="3" s="1"/>
  <c r="AH481" i="6" s="1"/>
  <c r="U482" i="6"/>
  <c r="F480" i="4"/>
  <c r="P480" i="4" s="1"/>
  <c r="E480" i="11"/>
  <c r="F482" i="3"/>
  <c r="G482" i="3" s="1"/>
  <c r="D480" i="11"/>
  <c r="Z480" i="6"/>
  <c r="E193" i="9" l="1"/>
  <c r="AF241" i="3"/>
  <c r="K194" i="4"/>
  <c r="L194" i="4" s="1"/>
  <c r="AJ480" i="6"/>
  <c r="AH481" i="3"/>
  <c r="AJ481" i="3" s="1"/>
  <c r="AG241" i="3"/>
  <c r="AA242" i="3" s="1"/>
  <c r="AC242" i="3" s="1"/>
  <c r="F480" i="11"/>
  <c r="AG239" i="6"/>
  <c r="AA240" i="6" s="1"/>
  <c r="AC240" i="6" s="1"/>
  <c r="X482" i="6"/>
  <c r="V482" i="6"/>
  <c r="C482" i="4" s="1"/>
  <c r="H480" i="4"/>
  <c r="W482" i="3"/>
  <c r="Z482" i="3" s="1"/>
  <c r="I484" i="6"/>
  <c r="H485" i="6"/>
  <c r="F483" i="3"/>
  <c r="G483" i="3" s="1"/>
  <c r="D481" i="11"/>
  <c r="Z481" i="6"/>
  <c r="AJ481" i="6" s="1"/>
  <c r="C481" i="4"/>
  <c r="C482" i="11"/>
  <c r="U484" i="3"/>
  <c r="W483" i="6"/>
  <c r="G483" i="6"/>
  <c r="X483" i="3"/>
  <c r="V483" i="3"/>
  <c r="K483" i="6"/>
  <c r="F484" i="6"/>
  <c r="I484" i="3"/>
  <c r="K484" i="3" s="1"/>
  <c r="U483" i="6"/>
  <c r="M484" i="6"/>
  <c r="N484" i="6" s="1"/>
  <c r="O484" i="6" s="1"/>
  <c r="T484" i="6" s="1"/>
  <c r="L485" i="6"/>
  <c r="M485" i="3"/>
  <c r="N485" i="3" s="1"/>
  <c r="O485" i="3" s="1"/>
  <c r="T485" i="3" s="1"/>
  <c r="L486" i="3"/>
  <c r="M194" i="4" l="1"/>
  <c r="N194" i="4" s="1"/>
  <c r="C241" i="9"/>
  <c r="D239" i="9"/>
  <c r="AH482" i="3"/>
  <c r="AJ482" i="3" s="1"/>
  <c r="AH482" i="6"/>
  <c r="X484" i="3"/>
  <c r="V484" i="3"/>
  <c r="H486" i="6"/>
  <c r="I485" i="6"/>
  <c r="U485" i="3"/>
  <c r="AF242" i="3"/>
  <c r="AD242" i="3"/>
  <c r="AE242" i="3" s="1"/>
  <c r="W483" i="3"/>
  <c r="Z483" i="3" s="1"/>
  <c r="C483" i="11"/>
  <c r="U484" i="6"/>
  <c r="AF240" i="6"/>
  <c r="AD240" i="6"/>
  <c r="AE240" i="6" s="1"/>
  <c r="M486" i="3"/>
  <c r="N486" i="3" s="1"/>
  <c r="O486" i="3" s="1"/>
  <c r="T486" i="3" s="1"/>
  <c r="L487" i="3"/>
  <c r="M485" i="6"/>
  <c r="N485" i="6" s="1"/>
  <c r="O485" i="6" s="1"/>
  <c r="T485" i="6" s="1"/>
  <c r="L486" i="6"/>
  <c r="E481" i="11"/>
  <c r="F481" i="11" s="1"/>
  <c r="F481" i="4"/>
  <c r="P481" i="4" s="1"/>
  <c r="D482" i="11"/>
  <c r="Z482" i="6"/>
  <c r="AJ482" i="6" s="1"/>
  <c r="X483" i="6"/>
  <c r="V483" i="6"/>
  <c r="F485" i="6"/>
  <c r="K484" i="6"/>
  <c r="F482" i="4"/>
  <c r="P482" i="4" s="1"/>
  <c r="E482" i="11"/>
  <c r="I485" i="3"/>
  <c r="K485" i="3" s="1"/>
  <c r="F484" i="3"/>
  <c r="G484" i="3" s="1"/>
  <c r="G484" i="6"/>
  <c r="W484" i="6"/>
  <c r="E194" i="9" l="1"/>
  <c r="M18" i="10" s="1"/>
  <c r="G195" i="4"/>
  <c r="J195" i="4" s="1"/>
  <c r="AH483" i="3"/>
  <c r="AJ483" i="3" s="1"/>
  <c r="AH483" i="6"/>
  <c r="AG242" i="3"/>
  <c r="C242" i="9" s="1"/>
  <c r="C22" i="10" s="1"/>
  <c r="AG240" i="6"/>
  <c r="D240" i="9" s="1"/>
  <c r="F482" i="11"/>
  <c r="X484" i="6"/>
  <c r="V484" i="6"/>
  <c r="C484" i="4" s="1"/>
  <c r="X485" i="3"/>
  <c r="V485" i="3"/>
  <c r="H481" i="4"/>
  <c r="U486" i="3"/>
  <c r="W484" i="3"/>
  <c r="Z484" i="3" s="1"/>
  <c r="AH484" i="6" s="1"/>
  <c r="M486" i="6"/>
  <c r="N486" i="6" s="1"/>
  <c r="O486" i="6" s="1"/>
  <c r="T486" i="6" s="1"/>
  <c r="L487" i="6"/>
  <c r="I486" i="3"/>
  <c r="K486" i="3" s="1"/>
  <c r="D483" i="11"/>
  <c r="Z483" i="6"/>
  <c r="F485" i="3"/>
  <c r="G485" i="3" s="1"/>
  <c r="H482" i="4"/>
  <c r="H487" i="6"/>
  <c r="I486" i="6"/>
  <c r="F486" i="6"/>
  <c r="K485" i="6"/>
  <c r="W485" i="6"/>
  <c r="G485" i="6"/>
  <c r="U485" i="6"/>
  <c r="M487" i="3"/>
  <c r="N487" i="3" s="1"/>
  <c r="O487" i="3" s="1"/>
  <c r="T487" i="3" s="1"/>
  <c r="L488" i="3"/>
  <c r="C484" i="11"/>
  <c r="C483" i="4"/>
  <c r="M195" i="4" l="1"/>
  <c r="AJ483" i="6"/>
  <c r="AA243" i="3"/>
  <c r="AC243" i="3" s="1"/>
  <c r="AD243" i="3" s="1"/>
  <c r="AE243" i="3" s="1"/>
  <c r="AH484" i="3"/>
  <c r="AJ484" i="3" s="1"/>
  <c r="AA241" i="6"/>
  <c r="AC241" i="6" s="1"/>
  <c r="AD241" i="6" s="1"/>
  <c r="AE241" i="6" s="1"/>
  <c r="X485" i="6"/>
  <c r="V485" i="6"/>
  <c r="C485" i="4" s="1"/>
  <c r="X486" i="3"/>
  <c r="V486" i="3"/>
  <c r="H488" i="6"/>
  <c r="I487" i="6"/>
  <c r="E483" i="11"/>
  <c r="F483" i="11" s="1"/>
  <c r="F483" i="4"/>
  <c r="P483" i="4" s="1"/>
  <c r="C485" i="11"/>
  <c r="I487" i="3"/>
  <c r="K487" i="3" s="1"/>
  <c r="F487" i="6"/>
  <c r="K486" i="6"/>
  <c r="W485" i="3"/>
  <c r="Z485" i="3" s="1"/>
  <c r="F486" i="3"/>
  <c r="G486" i="3" s="1"/>
  <c r="M488" i="3"/>
  <c r="N488" i="3" s="1"/>
  <c r="O488" i="3" s="1"/>
  <c r="T488" i="3" s="1"/>
  <c r="L489" i="3"/>
  <c r="M487" i="6"/>
  <c r="N487" i="6" s="1"/>
  <c r="O487" i="6" s="1"/>
  <c r="T487" i="6" s="1"/>
  <c r="L488" i="6"/>
  <c r="D484" i="11"/>
  <c r="Z484" i="6"/>
  <c r="AJ484" i="6" s="1"/>
  <c r="U486" i="6"/>
  <c r="E484" i="11"/>
  <c r="F484" i="4"/>
  <c r="P484" i="4" s="1"/>
  <c r="U487" i="3"/>
  <c r="W486" i="6"/>
  <c r="G486" i="6"/>
  <c r="K195" i="4" l="1"/>
  <c r="L195" i="4" s="1"/>
  <c r="N195" i="4" s="1"/>
  <c r="AF243" i="3"/>
  <c r="AG243" i="3" s="1"/>
  <c r="AA244" i="3" s="1"/>
  <c r="AC244" i="3" s="1"/>
  <c r="AF241" i="6"/>
  <c r="AG241" i="6" s="1"/>
  <c r="AA242" i="6" s="1"/>
  <c r="AC242" i="6" s="1"/>
  <c r="AH485" i="3"/>
  <c r="AJ485" i="3" s="1"/>
  <c r="AH485" i="6"/>
  <c r="F484" i="11"/>
  <c r="X487" i="3"/>
  <c r="V487" i="3"/>
  <c r="W486" i="3"/>
  <c r="Z486" i="3" s="1"/>
  <c r="H484" i="4"/>
  <c r="C486" i="11"/>
  <c r="X486" i="6"/>
  <c r="V486" i="6"/>
  <c r="W487" i="6"/>
  <c r="G487" i="6"/>
  <c r="I488" i="3"/>
  <c r="K488" i="3" s="1"/>
  <c r="H483" i="4"/>
  <c r="F487" i="3"/>
  <c r="G487" i="3" s="1"/>
  <c r="K487" i="6"/>
  <c r="F488" i="6"/>
  <c r="U488" i="3"/>
  <c r="I488" i="6"/>
  <c r="H489" i="6"/>
  <c r="Z485" i="6"/>
  <c r="D485" i="11"/>
  <c r="M488" i="6"/>
  <c r="N488" i="6" s="1"/>
  <c r="O488" i="6" s="1"/>
  <c r="T488" i="6" s="1"/>
  <c r="L489" i="6"/>
  <c r="F485" i="4"/>
  <c r="P485" i="4" s="1"/>
  <c r="E485" i="11"/>
  <c r="U487" i="6"/>
  <c r="M489" i="3"/>
  <c r="N489" i="3" s="1"/>
  <c r="O489" i="3" s="1"/>
  <c r="T489" i="3" s="1"/>
  <c r="L490" i="3"/>
  <c r="E195" i="9" l="1"/>
  <c r="G196" i="4"/>
  <c r="J196" i="4" s="1"/>
  <c r="AJ485" i="6"/>
  <c r="AH486" i="3"/>
  <c r="AJ486" i="3" s="1"/>
  <c r="AH486" i="6"/>
  <c r="D241" i="9"/>
  <c r="C243" i="9"/>
  <c r="F485" i="11"/>
  <c r="X488" i="3"/>
  <c r="V488" i="3"/>
  <c r="K488" i="6"/>
  <c r="F489" i="6"/>
  <c r="D486" i="11"/>
  <c r="Z486" i="6"/>
  <c r="M490" i="3"/>
  <c r="N490" i="3" s="1"/>
  <c r="O490" i="3" s="1"/>
  <c r="T490" i="3" s="1"/>
  <c r="L491" i="3"/>
  <c r="U489" i="3"/>
  <c r="AD242" i="6"/>
  <c r="AE242" i="6" s="1"/>
  <c r="AF242" i="6"/>
  <c r="X487" i="6"/>
  <c r="V487" i="6"/>
  <c r="C487" i="4" s="1"/>
  <c r="AF244" i="3"/>
  <c r="AD244" i="3"/>
  <c r="AE244" i="3" s="1"/>
  <c r="C486" i="4"/>
  <c r="W488" i="6"/>
  <c r="G488" i="6"/>
  <c r="H485" i="4"/>
  <c r="W487" i="3"/>
  <c r="Z487" i="3" s="1"/>
  <c r="M489" i="6"/>
  <c r="N489" i="6" s="1"/>
  <c r="O489" i="6" s="1"/>
  <c r="T489" i="6" s="1"/>
  <c r="L490" i="6"/>
  <c r="U488" i="6"/>
  <c r="I489" i="3"/>
  <c r="K489" i="3" s="1"/>
  <c r="F488" i="3"/>
  <c r="G488" i="3" s="1"/>
  <c r="C487" i="11"/>
  <c r="H490" i="6"/>
  <c r="I489" i="6"/>
  <c r="K196" i="4" l="1"/>
  <c r="L196" i="4" s="1"/>
  <c r="AJ486" i="6"/>
  <c r="AH487" i="3"/>
  <c r="AJ487" i="3" s="1"/>
  <c r="AH487" i="6"/>
  <c r="AG244" i="3"/>
  <c r="AA245" i="3" s="1"/>
  <c r="AC245" i="3" s="1"/>
  <c r="AG242" i="6"/>
  <c r="AA243" i="6" s="1"/>
  <c r="AC243" i="6" s="1"/>
  <c r="X489" i="3"/>
  <c r="V489" i="3"/>
  <c r="U489" i="6"/>
  <c r="F490" i="6"/>
  <c r="K489" i="6"/>
  <c r="U490" i="3"/>
  <c r="I490" i="6"/>
  <c r="H491" i="6"/>
  <c r="F487" i="4"/>
  <c r="P487" i="4" s="1"/>
  <c r="E487" i="11"/>
  <c r="M491" i="3"/>
  <c r="N491" i="3" s="1"/>
  <c r="O491" i="3" s="1"/>
  <c r="T491" i="3" s="1"/>
  <c r="L492" i="3"/>
  <c r="W488" i="3"/>
  <c r="Z488" i="3" s="1"/>
  <c r="AH488" i="6" s="1"/>
  <c r="E486" i="11"/>
  <c r="F486" i="11" s="1"/>
  <c r="F486" i="4"/>
  <c r="P486" i="4" s="1"/>
  <c r="F489" i="3"/>
  <c r="G489" i="3" s="1"/>
  <c r="W489" i="6"/>
  <c r="G489" i="6"/>
  <c r="I490" i="3"/>
  <c r="K490" i="3" s="1"/>
  <c r="X488" i="6"/>
  <c r="V488" i="6"/>
  <c r="C488" i="4" s="1"/>
  <c r="D487" i="11"/>
  <c r="Z487" i="6"/>
  <c r="C488" i="11"/>
  <c r="M490" i="6"/>
  <c r="N490" i="6" s="1"/>
  <c r="O490" i="6" s="1"/>
  <c r="T490" i="6" s="1"/>
  <c r="L491" i="6"/>
  <c r="M196" i="4" l="1"/>
  <c r="N196" i="4" s="1"/>
  <c r="AJ487" i="6"/>
  <c r="AH488" i="3"/>
  <c r="AJ488" i="3" s="1"/>
  <c r="C244" i="9"/>
  <c r="D242" i="9"/>
  <c r="H22" i="10" s="1"/>
  <c r="F487" i="11"/>
  <c r="X489" i="6"/>
  <c r="V489" i="6"/>
  <c r="C489" i="4" s="1"/>
  <c r="M491" i="6"/>
  <c r="N491" i="6" s="1"/>
  <c r="O491" i="6" s="1"/>
  <c r="T491" i="6" s="1"/>
  <c r="L492" i="6"/>
  <c r="U491" i="3"/>
  <c r="H487" i="4"/>
  <c r="I491" i="6"/>
  <c r="H492" i="6"/>
  <c r="F490" i="3"/>
  <c r="G490" i="3" s="1"/>
  <c r="K490" i="6"/>
  <c r="F491" i="6"/>
  <c r="X490" i="3"/>
  <c r="V490" i="3"/>
  <c r="E488" i="11"/>
  <c r="F488" i="4"/>
  <c r="P488" i="4" s="1"/>
  <c r="W489" i="3"/>
  <c r="Z489" i="3" s="1"/>
  <c r="W490" i="6"/>
  <c r="G490" i="6"/>
  <c r="U490" i="6"/>
  <c r="H486" i="4"/>
  <c r="C489" i="11"/>
  <c r="D488" i="11"/>
  <c r="Z488" i="6"/>
  <c r="AJ488" i="6" s="1"/>
  <c r="I491" i="3"/>
  <c r="K491" i="3" s="1"/>
  <c r="AD245" i="3"/>
  <c r="AE245" i="3" s="1"/>
  <c r="AF245" i="3"/>
  <c r="M492" i="3"/>
  <c r="N492" i="3" s="1"/>
  <c r="O492" i="3" s="1"/>
  <c r="T492" i="3" s="1"/>
  <c r="L493" i="3"/>
  <c r="AD243" i="6"/>
  <c r="AE243" i="6" s="1"/>
  <c r="AF243" i="6"/>
  <c r="E196" i="9" l="1"/>
  <c r="G197" i="4"/>
  <c r="J197" i="4" s="1"/>
  <c r="AH489" i="3"/>
  <c r="AJ489" i="3" s="1"/>
  <c r="AH489" i="6"/>
  <c r="AG243" i="6"/>
  <c r="AA244" i="6" s="1"/>
  <c r="AC244" i="6" s="1"/>
  <c r="F488" i="11"/>
  <c r="AG245" i="3"/>
  <c r="C245" i="9" s="1"/>
  <c r="W490" i="3"/>
  <c r="Z490" i="3" s="1"/>
  <c r="H493" i="6"/>
  <c r="I492" i="6"/>
  <c r="K491" i="6"/>
  <c r="F492" i="6"/>
  <c r="X490" i="6"/>
  <c r="V490" i="6"/>
  <c r="C490" i="4" s="1"/>
  <c r="X491" i="3"/>
  <c r="V491" i="3"/>
  <c r="I492" i="3"/>
  <c r="K492" i="3" s="1"/>
  <c r="F491" i="3"/>
  <c r="G491" i="3" s="1"/>
  <c r="M492" i="6"/>
  <c r="N492" i="6" s="1"/>
  <c r="O492" i="6" s="1"/>
  <c r="T492" i="6" s="1"/>
  <c r="L493" i="6"/>
  <c r="U491" i="6"/>
  <c r="U492" i="3"/>
  <c r="D489" i="11"/>
  <c r="Z489" i="6"/>
  <c r="M493" i="3"/>
  <c r="N493" i="3" s="1"/>
  <c r="O493" i="3" s="1"/>
  <c r="T493" i="3" s="1"/>
  <c r="L494" i="3"/>
  <c r="E489" i="11"/>
  <c r="F489" i="4"/>
  <c r="P489" i="4" s="1"/>
  <c r="H488" i="4"/>
  <c r="C490" i="11"/>
  <c r="W491" i="6"/>
  <c r="G491" i="6"/>
  <c r="K197" i="4" l="1"/>
  <c r="L197" i="4" s="1"/>
  <c r="AJ489" i="6"/>
  <c r="AH490" i="3"/>
  <c r="AJ490" i="3" s="1"/>
  <c r="AH490" i="6"/>
  <c r="AA246" i="3"/>
  <c r="AC246" i="3" s="1"/>
  <c r="AF246" i="3" s="1"/>
  <c r="D243" i="9"/>
  <c r="F489" i="11"/>
  <c r="X492" i="3"/>
  <c r="V492" i="3"/>
  <c r="X491" i="6"/>
  <c r="V491" i="6"/>
  <c r="C491" i="4" s="1"/>
  <c r="H489" i="4"/>
  <c r="F492" i="3"/>
  <c r="G492" i="3" s="1"/>
  <c r="I493" i="3"/>
  <c r="K493" i="3" s="1"/>
  <c r="C491" i="11"/>
  <c r="D490" i="11"/>
  <c r="Z490" i="6"/>
  <c r="W492" i="6"/>
  <c r="G492" i="6"/>
  <c r="F493" i="6"/>
  <c r="K492" i="6"/>
  <c r="H494" i="6"/>
  <c r="I493" i="6"/>
  <c r="M494" i="3"/>
  <c r="N494" i="3" s="1"/>
  <c r="O494" i="3" s="1"/>
  <c r="T494" i="3" s="1"/>
  <c r="L495" i="3"/>
  <c r="U492" i="6"/>
  <c r="F490" i="4"/>
  <c r="P490" i="4" s="1"/>
  <c r="E490" i="11"/>
  <c r="AF244" i="6"/>
  <c r="AD244" i="6"/>
  <c r="AE244" i="6" s="1"/>
  <c r="W491" i="3"/>
  <c r="Z491" i="3" s="1"/>
  <c r="U493" i="3"/>
  <c r="M493" i="6"/>
  <c r="N493" i="6" s="1"/>
  <c r="O493" i="6" s="1"/>
  <c r="T493" i="6" s="1"/>
  <c r="L494" i="6"/>
  <c r="M197" i="4" l="1"/>
  <c r="N197" i="4" s="1"/>
  <c r="AJ490" i="6"/>
  <c r="AD246" i="3"/>
  <c r="AE246" i="3" s="1"/>
  <c r="AG246" i="3" s="1"/>
  <c r="AA247" i="3" s="1"/>
  <c r="AC247" i="3" s="1"/>
  <c r="AH491" i="3"/>
  <c r="AJ491" i="3" s="1"/>
  <c r="AH491" i="6"/>
  <c r="F490" i="11"/>
  <c r="AG244" i="6"/>
  <c r="AA245" i="6" s="1"/>
  <c r="AC245" i="6" s="1"/>
  <c r="X492" i="6"/>
  <c r="V492" i="6"/>
  <c r="C492" i="4" s="1"/>
  <c r="H490" i="4"/>
  <c r="F491" i="4"/>
  <c r="P491" i="4" s="1"/>
  <c r="E491" i="11"/>
  <c r="M495" i="3"/>
  <c r="N495" i="3" s="1"/>
  <c r="O495" i="3" s="1"/>
  <c r="T495" i="3" s="1"/>
  <c r="L496" i="3"/>
  <c r="U494" i="3"/>
  <c r="I494" i="3"/>
  <c r="K494" i="3" s="1"/>
  <c r="I494" i="6"/>
  <c r="H495" i="6"/>
  <c r="W492" i="3"/>
  <c r="Z492" i="3" s="1"/>
  <c r="K493" i="6"/>
  <c r="F494" i="6"/>
  <c r="F493" i="3"/>
  <c r="G493" i="3" s="1"/>
  <c r="M494" i="6"/>
  <c r="N494" i="6" s="1"/>
  <c r="O494" i="6" s="1"/>
  <c r="T494" i="6" s="1"/>
  <c r="L495" i="6"/>
  <c r="U493" i="6"/>
  <c r="Z491" i="6"/>
  <c r="D491" i="11"/>
  <c r="W493" i="6"/>
  <c r="G493" i="6"/>
  <c r="X493" i="3"/>
  <c r="V493" i="3"/>
  <c r="C492" i="11"/>
  <c r="E197" i="9" l="1"/>
  <c r="G198" i="4"/>
  <c r="J198" i="4" s="1"/>
  <c r="AJ491" i="6"/>
  <c r="AH492" i="3"/>
  <c r="AJ492" i="3" s="1"/>
  <c r="AH492" i="6"/>
  <c r="D244" i="9"/>
  <c r="F491" i="11"/>
  <c r="C246" i="9"/>
  <c r="X494" i="3"/>
  <c r="V494" i="3"/>
  <c r="M496" i="3"/>
  <c r="N496" i="3" s="1"/>
  <c r="O496" i="3" s="1"/>
  <c r="T496" i="3" s="1"/>
  <c r="L497" i="3"/>
  <c r="H491" i="4"/>
  <c r="M495" i="6"/>
  <c r="N495" i="6" s="1"/>
  <c r="O495" i="6" s="1"/>
  <c r="T495" i="6" s="1"/>
  <c r="L496" i="6"/>
  <c r="W493" i="3"/>
  <c r="Z493" i="3" s="1"/>
  <c r="AH493" i="3" s="1"/>
  <c r="C493" i="11"/>
  <c r="U494" i="6"/>
  <c r="AD247" i="3"/>
  <c r="AE247" i="3" s="1"/>
  <c r="AF247" i="3"/>
  <c r="X493" i="6"/>
  <c r="V493" i="6"/>
  <c r="C493" i="4" s="1"/>
  <c r="F492" i="4"/>
  <c r="P492" i="4" s="1"/>
  <c r="E492" i="11"/>
  <c r="I495" i="6"/>
  <c r="H496" i="6"/>
  <c r="AF245" i="6"/>
  <c r="AD245" i="6"/>
  <c r="AE245" i="6" s="1"/>
  <c r="U495" i="3"/>
  <c r="D492" i="11"/>
  <c r="Z492" i="6"/>
  <c r="G494" i="6"/>
  <c r="W494" i="6"/>
  <c r="K494" i="6"/>
  <c r="F495" i="6"/>
  <c r="I495" i="3"/>
  <c r="K495" i="3" s="1"/>
  <c r="F494" i="3"/>
  <c r="G494" i="3" s="1"/>
  <c r="M198" i="4" l="1"/>
  <c r="AJ492" i="6"/>
  <c r="AJ493" i="3"/>
  <c r="AH493" i="6"/>
  <c r="F492" i="11"/>
  <c r="AG245" i="6"/>
  <c r="D245" i="9" s="1"/>
  <c r="AG247" i="3"/>
  <c r="C247" i="9" s="1"/>
  <c r="X495" i="3"/>
  <c r="V495" i="3"/>
  <c r="F493" i="4"/>
  <c r="P493" i="4" s="1"/>
  <c r="E493" i="11"/>
  <c r="W494" i="3"/>
  <c r="Z494" i="3" s="1"/>
  <c r="M496" i="6"/>
  <c r="N496" i="6" s="1"/>
  <c r="O496" i="6" s="1"/>
  <c r="T496" i="6" s="1"/>
  <c r="L497" i="6"/>
  <c r="U495" i="6"/>
  <c r="K495" i="6"/>
  <c r="F496" i="6"/>
  <c r="F495" i="3"/>
  <c r="G495" i="3" s="1"/>
  <c r="M497" i="3"/>
  <c r="N497" i="3" s="1"/>
  <c r="O497" i="3" s="1"/>
  <c r="T497" i="3" s="1"/>
  <c r="L498" i="3"/>
  <c r="U496" i="3"/>
  <c r="H497" i="6"/>
  <c r="I496" i="6"/>
  <c r="I496" i="3"/>
  <c r="K496" i="3" s="1"/>
  <c r="H492" i="4"/>
  <c r="W495" i="6"/>
  <c r="G495" i="6"/>
  <c r="X494" i="6"/>
  <c r="V494" i="6"/>
  <c r="C494" i="4" s="1"/>
  <c r="Z493" i="6"/>
  <c r="D493" i="11"/>
  <c r="C494" i="11"/>
  <c r="K198" i="4" l="1"/>
  <c r="L198" i="4" s="1"/>
  <c r="N198" i="4" s="1"/>
  <c r="AJ493" i="6"/>
  <c r="AH494" i="3"/>
  <c r="AJ494" i="3" s="1"/>
  <c r="AH494" i="6"/>
  <c r="AA248" i="3"/>
  <c r="AC248" i="3" s="1"/>
  <c r="AD248" i="3" s="1"/>
  <c r="AE248" i="3" s="1"/>
  <c r="AA246" i="6"/>
  <c r="AC246" i="6" s="1"/>
  <c r="AF246" i="6" s="1"/>
  <c r="F493" i="11"/>
  <c r="X496" i="3"/>
  <c r="V496" i="3"/>
  <c r="X495" i="6"/>
  <c r="V495" i="6"/>
  <c r="C495" i="4" s="1"/>
  <c r="M497" i="6"/>
  <c r="N497" i="6" s="1"/>
  <c r="O497" i="6" s="1"/>
  <c r="T497" i="6" s="1"/>
  <c r="L498" i="6"/>
  <c r="U496" i="6"/>
  <c r="I497" i="3"/>
  <c r="K497" i="3" s="1"/>
  <c r="F496" i="3"/>
  <c r="G496" i="3" s="1"/>
  <c r="F494" i="4"/>
  <c r="P494" i="4" s="1"/>
  <c r="E494" i="11"/>
  <c r="I497" i="6"/>
  <c r="H498" i="6"/>
  <c r="H493" i="4"/>
  <c r="F497" i="6"/>
  <c r="K496" i="6"/>
  <c r="U497" i="3"/>
  <c r="D494" i="11"/>
  <c r="Z494" i="6"/>
  <c r="W495" i="3"/>
  <c r="Z495" i="3" s="1"/>
  <c r="AH495" i="6" s="1"/>
  <c r="M498" i="3"/>
  <c r="N498" i="3" s="1"/>
  <c r="O498" i="3" s="1"/>
  <c r="T498" i="3" s="1"/>
  <c r="L499" i="3"/>
  <c r="G496" i="6"/>
  <c r="W496" i="6"/>
  <c r="C495" i="11"/>
  <c r="E198" i="9" l="1"/>
  <c r="G199" i="4"/>
  <c r="J199" i="4" s="1"/>
  <c r="AF248" i="3"/>
  <c r="AG248" i="3" s="1"/>
  <c r="AA249" i="3" s="1"/>
  <c r="AC249" i="3" s="1"/>
  <c r="AJ494" i="6"/>
  <c r="AD246" i="6"/>
  <c r="AE246" i="6" s="1"/>
  <c r="AG246" i="6" s="1"/>
  <c r="AA247" i="6" s="1"/>
  <c r="AC247" i="6" s="1"/>
  <c r="AH495" i="3"/>
  <c r="AJ495" i="3" s="1"/>
  <c r="F494" i="11"/>
  <c r="X497" i="3"/>
  <c r="V497" i="3"/>
  <c r="W496" i="3"/>
  <c r="Z496" i="3" s="1"/>
  <c r="F495" i="4"/>
  <c r="P495" i="4" s="1"/>
  <c r="E495" i="11"/>
  <c r="M498" i="6"/>
  <c r="N498" i="6" s="1"/>
  <c r="O498" i="6" s="1"/>
  <c r="T498" i="6" s="1"/>
  <c r="L499" i="6"/>
  <c r="U497" i="6"/>
  <c r="D495" i="11"/>
  <c r="Z495" i="6"/>
  <c r="AJ495" i="6" s="1"/>
  <c r="F497" i="3"/>
  <c r="G497" i="3" s="1"/>
  <c r="U498" i="3"/>
  <c r="W497" i="6"/>
  <c r="G497" i="6"/>
  <c r="I498" i="3"/>
  <c r="K498" i="3" s="1"/>
  <c r="M499" i="3"/>
  <c r="N499" i="3" s="1"/>
  <c r="O499" i="3" s="1"/>
  <c r="T499" i="3" s="1"/>
  <c r="L500" i="3"/>
  <c r="H499" i="6"/>
  <c r="I498" i="6"/>
  <c r="X496" i="6"/>
  <c r="V496" i="6"/>
  <c r="C496" i="4" s="1"/>
  <c r="K497" i="6"/>
  <c r="F498" i="6"/>
  <c r="C496" i="11"/>
  <c r="H494" i="4"/>
  <c r="K199" i="4" l="1"/>
  <c r="L199" i="4" s="1"/>
  <c r="AH496" i="3"/>
  <c r="AJ496" i="3" s="1"/>
  <c r="AH496" i="6"/>
  <c r="C248" i="9"/>
  <c r="D246" i="9"/>
  <c r="F495" i="11"/>
  <c r="X497" i="6"/>
  <c r="V497" i="6"/>
  <c r="C497" i="4" s="1"/>
  <c r="X498" i="3"/>
  <c r="V498" i="3"/>
  <c r="I499" i="6"/>
  <c r="H500" i="6"/>
  <c r="U499" i="3"/>
  <c r="M500" i="3"/>
  <c r="N500" i="3" s="1"/>
  <c r="O500" i="3" s="1"/>
  <c r="T500" i="3" s="1"/>
  <c r="L501" i="3"/>
  <c r="F498" i="3"/>
  <c r="G498" i="3" s="1"/>
  <c r="W498" i="6"/>
  <c r="G498" i="6"/>
  <c r="M499" i="6"/>
  <c r="N499" i="6" s="1"/>
  <c r="O499" i="6" s="1"/>
  <c r="T499" i="6" s="1"/>
  <c r="L500" i="6"/>
  <c r="AF249" i="3"/>
  <c r="AD249" i="3"/>
  <c r="AE249" i="3" s="1"/>
  <c r="E496" i="11"/>
  <c r="F496" i="4"/>
  <c r="P496" i="4" s="1"/>
  <c r="D496" i="11"/>
  <c r="Z496" i="6"/>
  <c r="W497" i="3"/>
  <c r="Z497" i="3" s="1"/>
  <c r="AF247" i="6"/>
  <c r="AD247" i="6"/>
  <c r="AE247" i="6" s="1"/>
  <c r="I499" i="3"/>
  <c r="K499" i="3" s="1"/>
  <c r="C497" i="11"/>
  <c r="U498" i="6"/>
  <c r="H495" i="4"/>
  <c r="F499" i="6"/>
  <c r="K498" i="6"/>
  <c r="M199" i="4" l="1"/>
  <c r="N199" i="4" s="1"/>
  <c r="AJ496" i="6"/>
  <c r="AH497" i="3"/>
  <c r="AJ497" i="3" s="1"/>
  <c r="AH497" i="6"/>
  <c r="F496" i="11"/>
  <c r="AG249" i="3"/>
  <c r="AA250" i="3" s="1"/>
  <c r="AC250" i="3" s="1"/>
  <c r="AG247" i="6"/>
  <c r="AA248" i="6" s="1"/>
  <c r="AC248" i="6" s="1"/>
  <c r="X498" i="6"/>
  <c r="V498" i="6"/>
  <c r="C498" i="4" s="1"/>
  <c r="W498" i="3"/>
  <c r="Z498" i="3" s="1"/>
  <c r="AH498" i="6" s="1"/>
  <c r="M501" i="3"/>
  <c r="N501" i="3" s="1"/>
  <c r="O501" i="3" s="1"/>
  <c r="T501" i="3" s="1"/>
  <c r="L502" i="3"/>
  <c r="H496" i="4"/>
  <c r="K499" i="6"/>
  <c r="F500" i="6"/>
  <c r="W499" i="6"/>
  <c r="G499" i="6"/>
  <c r="C498" i="11"/>
  <c r="E497" i="11"/>
  <c r="F497" i="4"/>
  <c r="P497" i="4" s="1"/>
  <c r="M500" i="6"/>
  <c r="N500" i="6" s="1"/>
  <c r="O500" i="6" s="1"/>
  <c r="T500" i="6" s="1"/>
  <c r="L501" i="6"/>
  <c r="U500" i="3"/>
  <c r="X499" i="3"/>
  <c r="V499" i="3"/>
  <c r="U499" i="6"/>
  <c r="Z497" i="6"/>
  <c r="D497" i="11"/>
  <c r="I500" i="3"/>
  <c r="K500" i="3" s="1"/>
  <c r="H501" i="6"/>
  <c r="I500" i="6"/>
  <c r="F499" i="3"/>
  <c r="G499" i="3" s="1"/>
  <c r="AJ497" i="6" l="1"/>
  <c r="E199" i="9"/>
  <c r="G200" i="4"/>
  <c r="J200" i="4" s="1"/>
  <c r="C249" i="9"/>
  <c r="D247" i="9"/>
  <c r="AH498" i="3"/>
  <c r="AJ498" i="3" s="1"/>
  <c r="F497" i="11"/>
  <c r="X499" i="6"/>
  <c r="V499" i="6"/>
  <c r="C499" i="4" s="1"/>
  <c r="M501" i="6"/>
  <c r="N501" i="6" s="1"/>
  <c r="O501" i="6" s="1"/>
  <c r="T501" i="6" s="1"/>
  <c r="L502" i="6"/>
  <c r="U500" i="6"/>
  <c r="W499" i="3"/>
  <c r="Z499" i="3" s="1"/>
  <c r="E498" i="11"/>
  <c r="F498" i="4"/>
  <c r="P498" i="4" s="1"/>
  <c r="Z498" i="6"/>
  <c r="AJ498" i="6" s="1"/>
  <c r="D498" i="11"/>
  <c r="I501" i="6"/>
  <c r="H502" i="6"/>
  <c r="F501" i="6"/>
  <c r="K500" i="6"/>
  <c r="M502" i="3"/>
  <c r="N502" i="3" s="1"/>
  <c r="O502" i="3" s="1"/>
  <c r="T502" i="3" s="1"/>
  <c r="L503" i="3"/>
  <c r="C499" i="11"/>
  <c r="F500" i="3"/>
  <c r="G500" i="3" s="1"/>
  <c r="AF248" i="6"/>
  <c r="AD248" i="6"/>
  <c r="AE248" i="6" s="1"/>
  <c r="H497" i="4"/>
  <c r="W500" i="6"/>
  <c r="G500" i="6"/>
  <c r="U501" i="3"/>
  <c r="I501" i="3"/>
  <c r="K501" i="3" s="1"/>
  <c r="X500" i="3"/>
  <c r="V500" i="3"/>
  <c r="AD250" i="3"/>
  <c r="AE250" i="3" s="1"/>
  <c r="AF250" i="3"/>
  <c r="M200" i="4" l="1"/>
  <c r="AH499" i="3"/>
  <c r="AJ499" i="3" s="1"/>
  <c r="AH499" i="6"/>
  <c r="F498" i="11"/>
  <c r="AG248" i="6"/>
  <c r="D248" i="9" s="1"/>
  <c r="AG250" i="3"/>
  <c r="AA251" i="3" s="1"/>
  <c r="AC251" i="3" s="1"/>
  <c r="X501" i="3"/>
  <c r="V501" i="3"/>
  <c r="X500" i="6"/>
  <c r="V500" i="6"/>
  <c r="M503" i="3"/>
  <c r="N503" i="3" s="1"/>
  <c r="O503" i="3" s="1"/>
  <c r="T503" i="3" s="1"/>
  <c r="L504" i="3"/>
  <c r="H498" i="4"/>
  <c r="F501" i="3"/>
  <c r="G501" i="3" s="1"/>
  <c r="U502" i="3"/>
  <c r="L503" i="6"/>
  <c r="M502" i="6"/>
  <c r="N502" i="6" s="1"/>
  <c r="O502" i="6" s="1"/>
  <c r="T502" i="6" s="1"/>
  <c r="U501" i="6"/>
  <c r="D499" i="11"/>
  <c r="Z499" i="6"/>
  <c r="AJ499" i="6" s="1"/>
  <c r="E499" i="11"/>
  <c r="F499" i="4"/>
  <c r="P499" i="4" s="1"/>
  <c r="W500" i="3"/>
  <c r="Z500" i="3" s="1"/>
  <c r="C500" i="11"/>
  <c r="G501" i="6"/>
  <c r="W501" i="6"/>
  <c r="H503" i="6"/>
  <c r="I502" i="6"/>
  <c r="I502" i="3"/>
  <c r="K502" i="3" s="1"/>
  <c r="K501" i="6"/>
  <c r="F502" i="6"/>
  <c r="K200" i="4" l="1"/>
  <c r="L200" i="4" s="1"/>
  <c r="N200" i="4" s="1"/>
  <c r="AA249" i="6"/>
  <c r="AC249" i="6" s="1"/>
  <c r="AD249" i="6" s="1"/>
  <c r="AE249" i="6" s="1"/>
  <c r="AH500" i="6"/>
  <c r="AH500" i="3"/>
  <c r="AJ500" i="3" s="1"/>
  <c r="C250" i="9"/>
  <c r="F499" i="11"/>
  <c r="X502" i="3"/>
  <c r="V502" i="3"/>
  <c r="X501" i="6"/>
  <c r="V501" i="6"/>
  <c r="I503" i="3"/>
  <c r="K503" i="3" s="1"/>
  <c r="F502" i="3"/>
  <c r="G502" i="3" s="1"/>
  <c r="U503" i="3"/>
  <c r="H504" i="6"/>
  <c r="I503" i="6"/>
  <c r="C501" i="11"/>
  <c r="G502" i="6"/>
  <c r="W502" i="6"/>
  <c r="H499" i="4"/>
  <c r="M504" i="3"/>
  <c r="N504" i="3" s="1"/>
  <c r="O504" i="3" s="1"/>
  <c r="T504" i="3" s="1"/>
  <c r="L505" i="3"/>
  <c r="Z500" i="6"/>
  <c r="AJ500" i="6" s="1"/>
  <c r="D500" i="11"/>
  <c r="M503" i="6"/>
  <c r="N503" i="6" s="1"/>
  <c r="O503" i="6" s="1"/>
  <c r="T503" i="6" s="1"/>
  <c r="L504" i="6"/>
  <c r="F503" i="6"/>
  <c r="K502" i="6"/>
  <c r="AF249" i="6"/>
  <c r="U502" i="6"/>
  <c r="C500" i="4"/>
  <c r="W501" i="3"/>
  <c r="Z501" i="3" s="1"/>
  <c r="AH501" i="3" s="1"/>
  <c r="AD251" i="3"/>
  <c r="AE251" i="3" s="1"/>
  <c r="AF251" i="3"/>
  <c r="G201" i="4" l="1"/>
  <c r="J201" i="4" s="1"/>
  <c r="E200" i="9"/>
  <c r="AJ501" i="3"/>
  <c r="AH501" i="6"/>
  <c r="AG251" i="3"/>
  <c r="AA252" i="3" s="1"/>
  <c r="AC252" i="3" s="1"/>
  <c r="AG249" i="6"/>
  <c r="AA250" i="6" s="1"/>
  <c r="AC250" i="6" s="1"/>
  <c r="W502" i="3"/>
  <c r="Z502" i="3" s="1"/>
  <c r="X503" i="3"/>
  <c r="V503" i="3"/>
  <c r="Z501" i="6"/>
  <c r="AJ501" i="6" s="1"/>
  <c r="D501" i="11"/>
  <c r="M505" i="3"/>
  <c r="N505" i="3" s="1"/>
  <c r="O505" i="3" s="1"/>
  <c r="T505" i="3" s="1"/>
  <c r="L506" i="3"/>
  <c r="U503" i="6"/>
  <c r="U504" i="3"/>
  <c r="F503" i="3"/>
  <c r="G503" i="3" s="1"/>
  <c r="C501" i="4"/>
  <c r="M504" i="6"/>
  <c r="N504" i="6" s="1"/>
  <c r="O504" i="6" s="1"/>
  <c r="T504" i="6" s="1"/>
  <c r="L505" i="6"/>
  <c r="E500" i="11"/>
  <c r="F500" i="11" s="1"/>
  <c r="F500" i="4"/>
  <c r="P500" i="4" s="1"/>
  <c r="I504" i="3"/>
  <c r="K504" i="3" s="1"/>
  <c r="C502" i="11"/>
  <c r="X502" i="6"/>
  <c r="V502" i="6"/>
  <c r="W503" i="6"/>
  <c r="G503" i="6"/>
  <c r="K503" i="6"/>
  <c r="F504" i="6"/>
  <c r="H505" i="6"/>
  <c r="I504" i="6"/>
  <c r="D249" i="9" l="1"/>
  <c r="M201" i="4"/>
  <c r="K201" i="4"/>
  <c r="L201" i="4" s="1"/>
  <c r="C251" i="9"/>
  <c r="AH502" i="3"/>
  <c r="AJ502" i="3" s="1"/>
  <c r="AH502" i="6"/>
  <c r="X504" i="3"/>
  <c r="V504" i="3"/>
  <c r="F504" i="3"/>
  <c r="G504" i="3" s="1"/>
  <c r="I505" i="3"/>
  <c r="K505" i="3" s="1"/>
  <c r="E501" i="11"/>
  <c r="F501" i="11" s="1"/>
  <c r="F501" i="4"/>
  <c r="P501" i="4" s="1"/>
  <c r="I505" i="6"/>
  <c r="H506" i="6"/>
  <c r="M505" i="6"/>
  <c r="N505" i="6" s="1"/>
  <c r="O505" i="6" s="1"/>
  <c r="T505" i="6" s="1"/>
  <c r="L506" i="6"/>
  <c r="W503" i="3"/>
  <c r="Z503" i="3" s="1"/>
  <c r="W504" i="6"/>
  <c r="G504" i="6"/>
  <c r="AD252" i="3"/>
  <c r="AE252" i="3" s="1"/>
  <c r="AF252" i="3"/>
  <c r="U504" i="6"/>
  <c r="U505" i="3"/>
  <c r="F505" i="6"/>
  <c r="K504" i="6"/>
  <c r="Z502" i="6"/>
  <c r="D502" i="11"/>
  <c r="C503" i="11"/>
  <c r="M506" i="3"/>
  <c r="N506" i="3" s="1"/>
  <c r="O506" i="3" s="1"/>
  <c r="T506" i="3" s="1"/>
  <c r="L507" i="3"/>
  <c r="H500" i="4"/>
  <c r="AF250" i="6"/>
  <c r="AD250" i="6"/>
  <c r="AE250" i="6" s="1"/>
  <c r="C502" i="4"/>
  <c r="X503" i="6"/>
  <c r="V503" i="6"/>
  <c r="N201" i="4" l="1"/>
  <c r="AJ502" i="6"/>
  <c r="E201" i="9"/>
  <c r="G202" i="4"/>
  <c r="J202" i="4" s="1"/>
  <c r="AH503" i="3"/>
  <c r="AJ503" i="3" s="1"/>
  <c r="AH503" i="6"/>
  <c r="AG250" i="6"/>
  <c r="AA251" i="6" s="1"/>
  <c r="AC251" i="6" s="1"/>
  <c r="AG252" i="3"/>
  <c r="AA253" i="3" s="1"/>
  <c r="AC253" i="3" s="1"/>
  <c r="X505" i="3"/>
  <c r="V505" i="3"/>
  <c r="X504" i="6"/>
  <c r="V504" i="6"/>
  <c r="U505" i="6"/>
  <c r="K505" i="6"/>
  <c r="F506" i="6"/>
  <c r="W505" i="6"/>
  <c r="G505" i="6"/>
  <c r="C504" i="11"/>
  <c r="F505" i="3"/>
  <c r="G505" i="3" s="1"/>
  <c r="M507" i="3"/>
  <c r="N507" i="3" s="1"/>
  <c r="O507" i="3" s="1"/>
  <c r="T507" i="3" s="1"/>
  <c r="L508" i="3"/>
  <c r="I506" i="3"/>
  <c r="K506" i="3" s="1"/>
  <c r="W504" i="3"/>
  <c r="Z504" i="3" s="1"/>
  <c r="H501" i="4"/>
  <c r="D503" i="11"/>
  <c r="Z503" i="6"/>
  <c r="F502" i="4"/>
  <c r="P502" i="4" s="1"/>
  <c r="E502" i="11"/>
  <c r="F502" i="11" s="1"/>
  <c r="U506" i="3"/>
  <c r="I506" i="6"/>
  <c r="H507" i="6"/>
  <c r="C503" i="4"/>
  <c r="M506" i="6"/>
  <c r="N506" i="6" s="1"/>
  <c r="O506" i="6" s="1"/>
  <c r="T506" i="6" s="1"/>
  <c r="L507" i="6"/>
  <c r="AJ503" i="6" l="1"/>
  <c r="K202" i="4"/>
  <c r="L202" i="4" s="1"/>
  <c r="D250" i="9"/>
  <c r="AH504" i="3"/>
  <c r="AJ504" i="3" s="1"/>
  <c r="AH504" i="6"/>
  <c r="C252" i="9"/>
  <c r="X505" i="6"/>
  <c r="V505" i="6"/>
  <c r="C505" i="4" s="1"/>
  <c r="W506" i="6"/>
  <c r="G506" i="6"/>
  <c r="K506" i="6"/>
  <c r="F507" i="6"/>
  <c r="U506" i="6"/>
  <c r="I507" i="3"/>
  <c r="K507" i="3" s="1"/>
  <c r="M508" i="3"/>
  <c r="N508" i="3" s="1"/>
  <c r="O508" i="3" s="1"/>
  <c r="T508" i="3" s="1"/>
  <c r="L509" i="3"/>
  <c r="M507" i="6"/>
  <c r="N507" i="6" s="1"/>
  <c r="O507" i="6" s="1"/>
  <c r="T507" i="6" s="1"/>
  <c r="L508" i="6"/>
  <c r="AF251" i="6"/>
  <c r="AD251" i="6"/>
  <c r="AE251" i="6" s="1"/>
  <c r="W505" i="3"/>
  <c r="Z505" i="3" s="1"/>
  <c r="X506" i="3"/>
  <c r="V506" i="3"/>
  <c r="C505" i="11"/>
  <c r="F506" i="3"/>
  <c r="G506" i="3" s="1"/>
  <c r="I507" i="6"/>
  <c r="H508" i="6"/>
  <c r="D504" i="11"/>
  <c r="Z504" i="6"/>
  <c r="E503" i="11"/>
  <c r="F503" i="11" s="1"/>
  <c r="F503" i="4"/>
  <c r="P503" i="4" s="1"/>
  <c r="H502" i="4"/>
  <c r="U507" i="3"/>
  <c r="AD253" i="3"/>
  <c r="AE253" i="3" s="1"/>
  <c r="AF253" i="3"/>
  <c r="C504" i="4"/>
  <c r="AJ504" i="6" l="1"/>
  <c r="M202" i="4"/>
  <c r="N202" i="4" s="1"/>
  <c r="AH505" i="3"/>
  <c r="AJ505" i="3" s="1"/>
  <c r="AH505" i="6"/>
  <c r="AG253" i="3"/>
  <c r="AA254" i="3" s="1"/>
  <c r="AC254" i="3" s="1"/>
  <c r="AG251" i="6"/>
  <c r="AA252" i="6" s="1"/>
  <c r="AC252" i="6" s="1"/>
  <c r="X506" i="6"/>
  <c r="V506" i="6"/>
  <c r="C506" i="4" s="1"/>
  <c r="W506" i="3"/>
  <c r="Z506" i="3" s="1"/>
  <c r="W507" i="6"/>
  <c r="G507" i="6"/>
  <c r="M509" i="3"/>
  <c r="N509" i="3" s="1"/>
  <c r="O509" i="3" s="1"/>
  <c r="T509" i="3" s="1"/>
  <c r="L510" i="3"/>
  <c r="F505" i="4"/>
  <c r="P505" i="4" s="1"/>
  <c r="E505" i="11"/>
  <c r="X507" i="3"/>
  <c r="V507" i="3"/>
  <c r="C506" i="11"/>
  <c r="D505" i="11"/>
  <c r="Z505" i="6"/>
  <c r="I508" i="3"/>
  <c r="K508" i="3" s="1"/>
  <c r="H503" i="4"/>
  <c r="I508" i="6"/>
  <c r="H509" i="6"/>
  <c r="M508" i="6"/>
  <c r="N508" i="6" s="1"/>
  <c r="O508" i="6" s="1"/>
  <c r="T508" i="6" s="1"/>
  <c r="L509" i="6"/>
  <c r="E504" i="11"/>
  <c r="F504" i="11" s="1"/>
  <c r="F504" i="4"/>
  <c r="P504" i="4" s="1"/>
  <c r="U508" i="3"/>
  <c r="F507" i="3"/>
  <c r="G507" i="3" s="1"/>
  <c r="K507" i="6"/>
  <c r="F508" i="6"/>
  <c r="U507" i="6"/>
  <c r="E202" i="9" l="1"/>
  <c r="G203" i="4"/>
  <c r="J203" i="4" s="1"/>
  <c r="C253" i="9"/>
  <c r="AJ505" i="6"/>
  <c r="D251" i="9"/>
  <c r="F505" i="11"/>
  <c r="AH506" i="3"/>
  <c r="AJ506" i="3" s="1"/>
  <c r="AH506" i="6"/>
  <c r="W508" i="6"/>
  <c r="G508" i="6"/>
  <c r="AD252" i="6"/>
  <c r="AE252" i="6" s="1"/>
  <c r="AF252" i="6"/>
  <c r="I509" i="3"/>
  <c r="K509" i="3" s="1"/>
  <c r="X508" i="3"/>
  <c r="V508" i="3"/>
  <c r="H505" i="4"/>
  <c r="I509" i="6"/>
  <c r="H510" i="6"/>
  <c r="W507" i="3"/>
  <c r="Z507" i="3" s="1"/>
  <c r="U509" i="3"/>
  <c r="H504" i="4"/>
  <c r="M509" i="6"/>
  <c r="N509" i="6" s="1"/>
  <c r="O509" i="6" s="1"/>
  <c r="T509" i="6" s="1"/>
  <c r="L510" i="6"/>
  <c r="K508" i="6"/>
  <c r="F509" i="6"/>
  <c r="Z506" i="6"/>
  <c r="D506" i="11"/>
  <c r="U508" i="6"/>
  <c r="C507" i="11"/>
  <c r="X507" i="6"/>
  <c r="V507" i="6"/>
  <c r="M510" i="3"/>
  <c r="N510" i="3" s="1"/>
  <c r="O510" i="3" s="1"/>
  <c r="T510" i="3" s="1"/>
  <c r="L511" i="3"/>
  <c r="F508" i="3"/>
  <c r="G508" i="3" s="1"/>
  <c r="AF254" i="3"/>
  <c r="AD254" i="3"/>
  <c r="AE254" i="3" s="1"/>
  <c r="F506" i="4"/>
  <c r="P506" i="4" s="1"/>
  <c r="E506" i="11"/>
  <c r="K203" i="4" l="1"/>
  <c r="L203" i="4" s="1"/>
  <c r="AJ506" i="6"/>
  <c r="AH507" i="3"/>
  <c r="AJ507" i="3" s="1"/>
  <c r="AH507" i="6"/>
  <c r="AG252" i="6"/>
  <c r="AA253" i="6" s="1"/>
  <c r="AC253" i="6" s="1"/>
  <c r="F506" i="11"/>
  <c r="AG254" i="3"/>
  <c r="AA255" i="3" s="1"/>
  <c r="AC255" i="3" s="1"/>
  <c r="K509" i="6"/>
  <c r="F510" i="6"/>
  <c r="C508" i="11"/>
  <c r="X508" i="6"/>
  <c r="V508" i="6"/>
  <c r="G509" i="6"/>
  <c r="W509" i="6"/>
  <c r="U509" i="6"/>
  <c r="I510" i="3"/>
  <c r="K510" i="3" s="1"/>
  <c r="W508" i="3"/>
  <c r="Z508" i="3" s="1"/>
  <c r="U510" i="3"/>
  <c r="F509" i="3"/>
  <c r="G509" i="3" s="1"/>
  <c r="Z507" i="6"/>
  <c r="D507" i="11"/>
  <c r="M510" i="6"/>
  <c r="N510" i="6" s="1"/>
  <c r="O510" i="6" s="1"/>
  <c r="T510" i="6" s="1"/>
  <c r="L511" i="6"/>
  <c r="M511" i="3"/>
  <c r="N511" i="3" s="1"/>
  <c r="O511" i="3" s="1"/>
  <c r="T511" i="3" s="1"/>
  <c r="L512" i="3"/>
  <c r="C507" i="4"/>
  <c r="H506" i="4"/>
  <c r="X509" i="3"/>
  <c r="V509" i="3"/>
  <c r="H511" i="6"/>
  <c r="I510" i="6"/>
  <c r="M203" i="4" l="1"/>
  <c r="N203" i="4" s="1"/>
  <c r="D252" i="9"/>
  <c r="C254" i="9"/>
  <c r="E27" i="5" s="1" a="1"/>
  <c r="E27" i="5" s="1"/>
  <c r="AJ507" i="6"/>
  <c r="AH508" i="3"/>
  <c r="AJ508" i="3" s="1"/>
  <c r="AH508" i="6"/>
  <c r="U511" i="3"/>
  <c r="M511" i="6"/>
  <c r="N511" i="6" s="1"/>
  <c r="O511" i="6" s="1"/>
  <c r="T511" i="6" s="1"/>
  <c r="L512" i="6"/>
  <c r="C509" i="11"/>
  <c r="M512" i="3"/>
  <c r="N512" i="3" s="1"/>
  <c r="O512" i="3" s="1"/>
  <c r="T512" i="3" s="1"/>
  <c r="L513" i="3"/>
  <c r="W509" i="3"/>
  <c r="Z509" i="3" s="1"/>
  <c r="H512" i="6"/>
  <c r="I511" i="6"/>
  <c r="C23" i="10"/>
  <c r="U510" i="6"/>
  <c r="F511" i="6"/>
  <c r="K510" i="6"/>
  <c r="X510" i="3"/>
  <c r="V510" i="3"/>
  <c r="I511" i="3"/>
  <c r="K511" i="3" s="1"/>
  <c r="AD255" i="3"/>
  <c r="AE255" i="3" s="1"/>
  <c r="AF255" i="3"/>
  <c r="F510" i="3"/>
  <c r="G510" i="3" s="1"/>
  <c r="X509" i="6"/>
  <c r="V509" i="6"/>
  <c r="D508" i="11"/>
  <c r="Z508" i="6"/>
  <c r="C508" i="4"/>
  <c r="W510" i="6"/>
  <c r="G510" i="6"/>
  <c r="F507" i="4"/>
  <c r="P507" i="4" s="1"/>
  <c r="E507" i="11"/>
  <c r="F507" i="11" s="1"/>
  <c r="AF253" i="6"/>
  <c r="AD253" i="6"/>
  <c r="AE253" i="6" s="1"/>
  <c r="AJ508" i="6" l="1"/>
  <c r="G204" i="4"/>
  <c r="J204" i="4" s="1"/>
  <c r="E203" i="9"/>
  <c r="AH509" i="3"/>
  <c r="AJ509" i="3" s="1"/>
  <c r="AH509" i="6"/>
  <c r="AG253" i="6"/>
  <c r="D253" i="9" s="1"/>
  <c r="AG255" i="3"/>
  <c r="AA256" i="3" s="1"/>
  <c r="AC256" i="3" s="1"/>
  <c r="H513" i="6"/>
  <c r="I512" i="6"/>
  <c r="I512" i="3"/>
  <c r="K512" i="3" s="1"/>
  <c r="C510" i="11"/>
  <c r="U512" i="3"/>
  <c r="Z509" i="6"/>
  <c r="D509" i="11"/>
  <c r="E508" i="11"/>
  <c r="F508" i="11" s="1"/>
  <c r="F508" i="4"/>
  <c r="P508" i="4" s="1"/>
  <c r="U511" i="6"/>
  <c r="X511" i="3"/>
  <c r="V511" i="3"/>
  <c r="X510" i="6"/>
  <c r="V510" i="6"/>
  <c r="C510" i="4" s="1"/>
  <c r="F511" i="3"/>
  <c r="G511" i="3" s="1"/>
  <c r="W511" i="6"/>
  <c r="G511" i="6"/>
  <c r="M512" i="6"/>
  <c r="N512" i="6" s="1"/>
  <c r="O512" i="6" s="1"/>
  <c r="T512" i="6" s="1"/>
  <c r="L513" i="6"/>
  <c r="H507" i="4"/>
  <c r="M513" i="3"/>
  <c r="N513" i="3" s="1"/>
  <c r="O513" i="3" s="1"/>
  <c r="T513" i="3" s="1"/>
  <c r="L514" i="3"/>
  <c r="C509" i="4"/>
  <c r="W510" i="3"/>
  <c r="Z510" i="3" s="1"/>
  <c r="AH510" i="3" s="1"/>
  <c r="K511" i="6"/>
  <c r="F512" i="6"/>
  <c r="K204" i="4" l="1"/>
  <c r="L204" i="4" s="1"/>
  <c r="M204" i="4"/>
  <c r="AA254" i="6"/>
  <c r="AC254" i="6" s="1"/>
  <c r="AF254" i="6" s="1"/>
  <c r="C255" i="9"/>
  <c r="AJ510" i="3"/>
  <c r="AJ509" i="6"/>
  <c r="AH510" i="6"/>
  <c r="X512" i="3"/>
  <c r="V512" i="3"/>
  <c r="G512" i="6"/>
  <c r="W512" i="6"/>
  <c r="E509" i="11"/>
  <c r="F509" i="11" s="1"/>
  <c r="F509" i="4"/>
  <c r="P509" i="4" s="1"/>
  <c r="W511" i="3"/>
  <c r="Z511" i="3" s="1"/>
  <c r="D510" i="11"/>
  <c r="Z510" i="6"/>
  <c r="F512" i="3"/>
  <c r="G512" i="3" s="1"/>
  <c r="M514" i="3"/>
  <c r="N514" i="3" s="1"/>
  <c r="O514" i="3" s="1"/>
  <c r="T514" i="3" s="1"/>
  <c r="L515" i="3"/>
  <c r="C511" i="11"/>
  <c r="I513" i="3"/>
  <c r="K513" i="3" s="1"/>
  <c r="E510" i="11"/>
  <c r="F510" i="4"/>
  <c r="P510" i="4" s="1"/>
  <c r="U513" i="3"/>
  <c r="F513" i="6"/>
  <c r="K512" i="6"/>
  <c r="I513" i="6"/>
  <c r="H514" i="6"/>
  <c r="M513" i="6"/>
  <c r="N513" i="6" s="1"/>
  <c r="O513" i="6" s="1"/>
  <c r="T513" i="6" s="1"/>
  <c r="L514" i="6"/>
  <c r="X511" i="6"/>
  <c r="V511" i="6"/>
  <c r="C511" i="4" s="1"/>
  <c r="U512" i="6"/>
  <c r="H508" i="4"/>
  <c r="AF256" i="3"/>
  <c r="AD256" i="3"/>
  <c r="AE256" i="3" s="1"/>
  <c r="N204" i="4" l="1"/>
  <c r="E204" i="9" s="1"/>
  <c r="AD254" i="6"/>
  <c r="AE254" i="6" s="1"/>
  <c r="AG254" i="6" s="1"/>
  <c r="D254" i="9" s="1"/>
  <c r="E28" i="5" s="1" a="1"/>
  <c r="E28" i="5" s="1"/>
  <c r="AH511" i="3"/>
  <c r="AJ511" i="3" s="1"/>
  <c r="AJ510" i="6"/>
  <c r="AH511" i="6"/>
  <c r="F510" i="11"/>
  <c r="AG256" i="3"/>
  <c r="C256" i="9" s="1"/>
  <c r="X512" i="6"/>
  <c r="V512" i="6"/>
  <c r="C512" i="4" s="1"/>
  <c r="M515" i="3"/>
  <c r="N515" i="3" s="1"/>
  <c r="O515" i="3" s="1"/>
  <c r="T515" i="3" s="1"/>
  <c r="L516" i="3"/>
  <c r="W513" i="6"/>
  <c r="G513" i="6"/>
  <c r="Z511" i="6"/>
  <c r="D511" i="11"/>
  <c r="H510" i="4"/>
  <c r="H509" i="4"/>
  <c r="U513" i="6"/>
  <c r="X513" i="3"/>
  <c r="V513" i="3"/>
  <c r="I514" i="3"/>
  <c r="K514" i="3" s="1"/>
  <c r="M514" i="6"/>
  <c r="N514" i="6" s="1"/>
  <c r="O514" i="6" s="1"/>
  <c r="T514" i="6" s="1"/>
  <c r="L515" i="6"/>
  <c r="F513" i="3"/>
  <c r="G513" i="3" s="1"/>
  <c r="F511" i="4"/>
  <c r="P511" i="4" s="1"/>
  <c r="E511" i="11"/>
  <c r="U514" i="3"/>
  <c r="C512" i="11"/>
  <c r="I514" i="6"/>
  <c r="H515" i="6"/>
  <c r="W512" i="3"/>
  <c r="Z512" i="3" s="1"/>
  <c r="K513" i="6"/>
  <c r="F514" i="6"/>
  <c r="G205" i="4" l="1"/>
  <c r="J205" i="4" s="1"/>
  <c r="M205" i="4" s="1"/>
  <c r="AH512" i="3"/>
  <c r="AJ512" i="3" s="1"/>
  <c r="AH512" i="6"/>
  <c r="AJ511" i="6"/>
  <c r="AA255" i="6"/>
  <c r="AC255" i="6" s="1"/>
  <c r="AF255" i="6" s="1"/>
  <c r="AA257" i="3"/>
  <c r="AC257" i="3" s="1"/>
  <c r="AD257" i="3" s="1"/>
  <c r="AE257" i="3" s="1"/>
  <c r="F511" i="11"/>
  <c r="F512" i="4"/>
  <c r="P512" i="4" s="1"/>
  <c r="E512" i="11"/>
  <c r="X514" i="3"/>
  <c r="V514" i="3"/>
  <c r="G514" i="6"/>
  <c r="W514" i="6"/>
  <c r="W513" i="3"/>
  <c r="Z513" i="3" s="1"/>
  <c r="AH513" i="6" s="1"/>
  <c r="K514" i="6"/>
  <c r="F515" i="6"/>
  <c r="M515" i="6"/>
  <c r="N515" i="6" s="1"/>
  <c r="O515" i="6" s="1"/>
  <c r="T515" i="6" s="1"/>
  <c r="L516" i="6"/>
  <c r="H516" i="6"/>
  <c r="I515" i="6"/>
  <c r="U514" i="6"/>
  <c r="H511" i="4"/>
  <c r="M516" i="3"/>
  <c r="N516" i="3" s="1"/>
  <c r="O516" i="3" s="1"/>
  <c r="T516" i="3" s="1"/>
  <c r="L517" i="3"/>
  <c r="F514" i="3"/>
  <c r="G514" i="3" s="1"/>
  <c r="I515" i="3"/>
  <c r="K515" i="3" s="1"/>
  <c r="U515" i="3"/>
  <c r="D512" i="11"/>
  <c r="Z512" i="6"/>
  <c r="C513" i="11"/>
  <c r="X513" i="6"/>
  <c r="V513" i="6"/>
  <c r="C513" i="4" s="1"/>
  <c r="H23" i="10"/>
  <c r="K205" i="4" l="1"/>
  <c r="L205" i="4" s="1"/>
  <c r="N205" i="4" s="1"/>
  <c r="E205" i="9" s="1"/>
  <c r="AD255" i="6"/>
  <c r="AE255" i="6" s="1"/>
  <c r="AG255" i="6" s="1"/>
  <c r="D255" i="9" s="1"/>
  <c r="AH513" i="3"/>
  <c r="AJ513" i="3" s="1"/>
  <c r="AJ512" i="6"/>
  <c r="AF257" i="3"/>
  <c r="AG257" i="3" s="1"/>
  <c r="AA258" i="3" s="1"/>
  <c r="AC258" i="3" s="1"/>
  <c r="F512" i="11"/>
  <c r="X515" i="3"/>
  <c r="V515" i="3"/>
  <c r="M516" i="6"/>
  <c r="N516" i="6" s="1"/>
  <c r="O516" i="6" s="1"/>
  <c r="T516" i="6" s="1"/>
  <c r="L517" i="6"/>
  <c r="U515" i="6"/>
  <c r="I516" i="6"/>
  <c r="H517" i="6"/>
  <c r="I516" i="3"/>
  <c r="K516" i="3" s="1"/>
  <c r="W515" i="6"/>
  <c r="G515" i="6"/>
  <c r="Z513" i="6"/>
  <c r="AJ513" i="6" s="1"/>
  <c r="D513" i="11"/>
  <c r="M517" i="3"/>
  <c r="N517" i="3" s="1"/>
  <c r="O517" i="3" s="1"/>
  <c r="T517" i="3" s="1"/>
  <c r="L518" i="3"/>
  <c r="U516" i="3"/>
  <c r="C514" i="11"/>
  <c r="F515" i="3"/>
  <c r="G515" i="3" s="1"/>
  <c r="E513" i="11"/>
  <c r="F513" i="4"/>
  <c r="P513" i="4" s="1"/>
  <c r="X514" i="6"/>
  <c r="V514" i="6"/>
  <c r="C514" i="4" s="1"/>
  <c r="H512" i="4"/>
  <c r="W514" i="3"/>
  <c r="Z514" i="3" s="1"/>
  <c r="AH514" i="3" s="1"/>
  <c r="K515" i="6"/>
  <c r="F516" i="6"/>
  <c r="G206" i="4" l="1"/>
  <c r="J206" i="4" s="1"/>
  <c r="K206" i="4" s="1"/>
  <c r="L206" i="4" s="1"/>
  <c r="AJ514" i="3"/>
  <c r="AH514" i="6"/>
  <c r="AA256" i="6"/>
  <c r="AC256" i="6" s="1"/>
  <c r="AD256" i="6" s="1"/>
  <c r="AE256" i="6" s="1"/>
  <c r="C257" i="9"/>
  <c r="F513" i="11"/>
  <c r="E514" i="11"/>
  <c r="F514" i="4"/>
  <c r="P514" i="4" s="1"/>
  <c r="X515" i="6"/>
  <c r="V515" i="6"/>
  <c r="C515" i="4" s="1"/>
  <c r="X516" i="3"/>
  <c r="V516" i="3"/>
  <c r="AF258" i="3"/>
  <c r="AD258" i="3"/>
  <c r="AE258" i="3" s="1"/>
  <c r="H513" i="4"/>
  <c r="W515" i="3"/>
  <c r="Z515" i="3" s="1"/>
  <c r="AH515" i="3" s="1"/>
  <c r="I517" i="3"/>
  <c r="K517" i="3" s="1"/>
  <c r="W516" i="6"/>
  <c r="G516" i="6"/>
  <c r="F516" i="3"/>
  <c r="G516" i="3" s="1"/>
  <c r="I517" i="6"/>
  <c r="H518" i="6"/>
  <c r="K516" i="6"/>
  <c r="F517" i="6"/>
  <c r="M518" i="3"/>
  <c r="N518" i="3" s="1"/>
  <c r="O518" i="3" s="1"/>
  <c r="T518" i="3" s="1"/>
  <c r="L519" i="3"/>
  <c r="M517" i="6"/>
  <c r="N517" i="6" s="1"/>
  <c r="O517" i="6" s="1"/>
  <c r="T517" i="6" s="1"/>
  <c r="L518" i="6"/>
  <c r="U516" i="6"/>
  <c r="C515" i="11"/>
  <c r="U517" i="3"/>
  <c r="Z514" i="6"/>
  <c r="D514" i="11"/>
  <c r="M206" i="4" l="1"/>
  <c r="N206" i="4" s="1"/>
  <c r="AJ514" i="6"/>
  <c r="AJ515" i="3"/>
  <c r="AH515" i="6"/>
  <c r="F514" i="11"/>
  <c r="AF256" i="6"/>
  <c r="AG256" i="6" s="1"/>
  <c r="AA257" i="6" s="1"/>
  <c r="AC257" i="6" s="1"/>
  <c r="AG258" i="3"/>
  <c r="AA259" i="3" s="1"/>
  <c r="AC259" i="3" s="1"/>
  <c r="X517" i="3"/>
  <c r="V517" i="3"/>
  <c r="K517" i="6"/>
  <c r="F518" i="6"/>
  <c r="C516" i="11"/>
  <c r="E515" i="11"/>
  <c r="F515" i="4"/>
  <c r="P515" i="4" s="1"/>
  <c r="F517" i="3"/>
  <c r="G517" i="3" s="1"/>
  <c r="Z515" i="6"/>
  <c r="D515" i="11"/>
  <c r="I518" i="6"/>
  <c r="H519" i="6"/>
  <c r="M518" i="6"/>
  <c r="N518" i="6" s="1"/>
  <c r="O518" i="6" s="1"/>
  <c r="T518" i="6" s="1"/>
  <c r="L519" i="6"/>
  <c r="H514" i="4"/>
  <c r="W516" i="3"/>
  <c r="Z516" i="3" s="1"/>
  <c r="X516" i="6"/>
  <c r="V516" i="6"/>
  <c r="C516" i="4" s="1"/>
  <c r="U517" i="6"/>
  <c r="I518" i="3"/>
  <c r="K518" i="3" s="1"/>
  <c r="M519" i="3"/>
  <c r="N519" i="3" s="1"/>
  <c r="O519" i="3" s="1"/>
  <c r="T519" i="3" s="1"/>
  <c r="L520" i="3"/>
  <c r="U518" i="3"/>
  <c r="W517" i="6"/>
  <c r="G517" i="6"/>
  <c r="E206" i="9" l="1"/>
  <c r="M19" i="10" s="1"/>
  <c r="G207" i="4"/>
  <c r="J207" i="4" s="1"/>
  <c r="AJ515" i="6"/>
  <c r="AH516" i="6"/>
  <c r="AH516" i="3"/>
  <c r="AJ516" i="3" s="1"/>
  <c r="C258" i="9"/>
  <c r="D256" i="9"/>
  <c r="F515" i="11"/>
  <c r="X517" i="6"/>
  <c r="V517" i="6"/>
  <c r="C517" i="4" s="1"/>
  <c r="M519" i="6"/>
  <c r="N519" i="6" s="1"/>
  <c r="O519" i="6" s="1"/>
  <c r="T519" i="6" s="1"/>
  <c r="L520" i="6"/>
  <c r="F516" i="4"/>
  <c r="P516" i="4" s="1"/>
  <c r="E516" i="11"/>
  <c r="K518" i="6"/>
  <c r="F519" i="6"/>
  <c r="H520" i="6"/>
  <c r="I519" i="6"/>
  <c r="U519" i="3"/>
  <c r="W518" i="6"/>
  <c r="G518" i="6"/>
  <c r="U518" i="6"/>
  <c r="C517" i="11"/>
  <c r="AF259" i="3"/>
  <c r="AD259" i="3"/>
  <c r="AE259" i="3" s="1"/>
  <c r="W517" i="3"/>
  <c r="Z517" i="3" s="1"/>
  <c r="X518" i="3"/>
  <c r="V518" i="3"/>
  <c r="M520" i="3"/>
  <c r="N520" i="3" s="1"/>
  <c r="O520" i="3" s="1"/>
  <c r="T520" i="3" s="1"/>
  <c r="L521" i="3"/>
  <c r="I519" i="3"/>
  <c r="K519" i="3" s="1"/>
  <c r="H515" i="4"/>
  <c r="F518" i="3"/>
  <c r="G518" i="3" s="1"/>
  <c r="Z516" i="6"/>
  <c r="D516" i="11"/>
  <c r="AF257" i="6"/>
  <c r="AD257" i="6"/>
  <c r="AE257" i="6" s="1"/>
  <c r="K207" i="4" l="1"/>
  <c r="L207" i="4" s="1"/>
  <c r="M207" i="4"/>
  <c r="AJ516" i="6"/>
  <c r="AH517" i="3"/>
  <c r="AJ517" i="3" s="1"/>
  <c r="AH517" i="6"/>
  <c r="AG259" i="3"/>
  <c r="AA260" i="3" s="1"/>
  <c r="AC260" i="3" s="1"/>
  <c r="AG257" i="6"/>
  <c r="AA258" i="6" s="1"/>
  <c r="AC258" i="6" s="1"/>
  <c r="F516" i="11"/>
  <c r="X518" i="6"/>
  <c r="V518" i="6"/>
  <c r="C518" i="4" s="1"/>
  <c r="C518" i="11"/>
  <c r="I520" i="6"/>
  <c r="H521" i="6"/>
  <c r="F520" i="6"/>
  <c r="K519" i="6"/>
  <c r="W519" i="6"/>
  <c r="G519" i="6"/>
  <c r="X519" i="3"/>
  <c r="V519" i="3"/>
  <c r="H516" i="4"/>
  <c r="W518" i="3"/>
  <c r="Z518" i="3" s="1"/>
  <c r="M520" i="6"/>
  <c r="N520" i="6" s="1"/>
  <c r="O520" i="6" s="1"/>
  <c r="T520" i="6" s="1"/>
  <c r="L521" i="6"/>
  <c r="U519" i="6"/>
  <c r="Z517" i="6"/>
  <c r="D517" i="11"/>
  <c r="E517" i="11"/>
  <c r="F517" i="4"/>
  <c r="P517" i="4" s="1"/>
  <c r="I520" i="3"/>
  <c r="K520" i="3" s="1"/>
  <c r="F519" i="3"/>
  <c r="G519" i="3" s="1"/>
  <c r="M521" i="3"/>
  <c r="N521" i="3" s="1"/>
  <c r="O521" i="3" s="1"/>
  <c r="T521" i="3" s="1"/>
  <c r="L522" i="3"/>
  <c r="U520" i="3"/>
  <c r="N207" i="4" l="1"/>
  <c r="C259" i="9"/>
  <c r="AJ517" i="6"/>
  <c r="AH518" i="3"/>
  <c r="AJ518" i="3" s="1"/>
  <c r="AH518" i="6"/>
  <c r="D257" i="9"/>
  <c r="F517" i="11"/>
  <c r="X519" i="6"/>
  <c r="V519" i="6"/>
  <c r="C519" i="4" s="1"/>
  <c r="W520" i="6"/>
  <c r="G520" i="6"/>
  <c r="X520" i="3"/>
  <c r="V520" i="3"/>
  <c r="K520" i="6"/>
  <c r="F521" i="6"/>
  <c r="H522" i="6"/>
  <c r="I521" i="6"/>
  <c r="D518" i="11"/>
  <c r="Z518" i="6"/>
  <c r="U521" i="3"/>
  <c r="M521" i="6"/>
  <c r="N521" i="6" s="1"/>
  <c r="O521" i="6" s="1"/>
  <c r="T521" i="6" s="1"/>
  <c r="L522" i="6"/>
  <c r="E518" i="11"/>
  <c r="F518" i="4"/>
  <c r="P518" i="4" s="1"/>
  <c r="C519" i="11"/>
  <c r="AD260" i="3"/>
  <c r="AE260" i="3" s="1"/>
  <c r="AF260" i="3"/>
  <c r="M522" i="3"/>
  <c r="N522" i="3" s="1"/>
  <c r="O522" i="3" s="1"/>
  <c r="T522" i="3" s="1"/>
  <c r="L523" i="3"/>
  <c r="W519" i="3"/>
  <c r="Z519" i="3" s="1"/>
  <c r="I521" i="3"/>
  <c r="K521" i="3" s="1"/>
  <c r="U520" i="6"/>
  <c r="F520" i="3"/>
  <c r="G520" i="3" s="1"/>
  <c r="H517" i="4"/>
  <c r="AD258" i="6"/>
  <c r="AE258" i="6" s="1"/>
  <c r="AF258" i="6"/>
  <c r="G208" i="4" l="1"/>
  <c r="J208" i="4" s="1"/>
  <c r="E207" i="9"/>
  <c r="AJ518" i="6"/>
  <c r="AH519" i="6"/>
  <c r="AH519" i="3"/>
  <c r="AJ519" i="3" s="1"/>
  <c r="F518" i="11"/>
  <c r="AG258" i="6"/>
  <c r="AA259" i="6" s="1"/>
  <c r="AC259" i="6" s="1"/>
  <c r="AG260" i="3"/>
  <c r="AA261" i="3" s="1"/>
  <c r="AC261" i="3" s="1"/>
  <c r="X520" i="6"/>
  <c r="V520" i="6"/>
  <c r="C520" i="4" s="1"/>
  <c r="U522" i="3"/>
  <c r="W521" i="6"/>
  <c r="G521" i="6"/>
  <c r="I522" i="6"/>
  <c r="H523" i="6"/>
  <c r="W520" i="3"/>
  <c r="Z520" i="3" s="1"/>
  <c r="AH520" i="6" s="1"/>
  <c r="L523" i="6"/>
  <c r="M522" i="6"/>
  <c r="N522" i="6" s="1"/>
  <c r="O522" i="6" s="1"/>
  <c r="T522" i="6" s="1"/>
  <c r="F519" i="4"/>
  <c r="P519" i="4" s="1"/>
  <c r="E519" i="11"/>
  <c r="U521" i="6"/>
  <c r="X521" i="3"/>
  <c r="V521" i="3"/>
  <c r="K521" i="6"/>
  <c r="F522" i="6"/>
  <c r="D519" i="11"/>
  <c r="Z519" i="6"/>
  <c r="C520" i="11"/>
  <c r="I522" i="3"/>
  <c r="K522" i="3" s="1"/>
  <c r="H518" i="4"/>
  <c r="F521" i="3"/>
  <c r="G521" i="3" s="1"/>
  <c r="M523" i="3"/>
  <c r="N523" i="3" s="1"/>
  <c r="O523" i="3" s="1"/>
  <c r="T523" i="3" s="1"/>
  <c r="L524" i="3"/>
  <c r="M208" i="4" l="1"/>
  <c r="K208" i="4"/>
  <c r="L208" i="4" s="1"/>
  <c r="AJ519" i="6"/>
  <c r="AH520" i="3"/>
  <c r="AJ520" i="3" s="1"/>
  <c r="D258" i="9"/>
  <c r="F519" i="11"/>
  <c r="C260" i="9"/>
  <c r="X521" i="6"/>
  <c r="V521" i="6"/>
  <c r="W522" i="6"/>
  <c r="G522" i="6"/>
  <c r="U523" i="3"/>
  <c r="F523" i="6"/>
  <c r="K522" i="6"/>
  <c r="X522" i="3"/>
  <c r="V522" i="3"/>
  <c r="M524" i="3"/>
  <c r="N524" i="3" s="1"/>
  <c r="O524" i="3" s="1"/>
  <c r="T524" i="3" s="1"/>
  <c r="L525" i="3"/>
  <c r="C521" i="11"/>
  <c r="I523" i="3"/>
  <c r="K523" i="3" s="1"/>
  <c r="AD259" i="6"/>
  <c r="AE259" i="6" s="1"/>
  <c r="AF259" i="6"/>
  <c r="W521" i="3"/>
  <c r="Z521" i="3" s="1"/>
  <c r="I523" i="6"/>
  <c r="H524" i="6"/>
  <c r="F522" i="3"/>
  <c r="G522" i="3" s="1"/>
  <c r="H519" i="4"/>
  <c r="AD261" i="3"/>
  <c r="AE261" i="3" s="1"/>
  <c r="AF261" i="3"/>
  <c r="U522" i="6"/>
  <c r="D520" i="11"/>
  <c r="Z520" i="6"/>
  <c r="AJ520" i="6" s="1"/>
  <c r="M523" i="6"/>
  <c r="N523" i="6" s="1"/>
  <c r="O523" i="6" s="1"/>
  <c r="T523" i="6" s="1"/>
  <c r="L524" i="6"/>
  <c r="F520" i="4"/>
  <c r="P520" i="4" s="1"/>
  <c r="E520" i="11"/>
  <c r="N208" i="4" l="1"/>
  <c r="E208" i="9" s="1"/>
  <c r="F520" i="11"/>
  <c r="AH521" i="3"/>
  <c r="AJ521" i="3" s="1"/>
  <c r="AH521" i="6"/>
  <c r="AG259" i="6"/>
  <c r="AA260" i="6" s="1"/>
  <c r="AC260" i="6" s="1"/>
  <c r="AG261" i="3"/>
  <c r="AA262" i="3" s="1"/>
  <c r="AC262" i="3" s="1"/>
  <c r="X523" i="3"/>
  <c r="V523" i="3"/>
  <c r="C522" i="11"/>
  <c r="U524" i="3"/>
  <c r="H520" i="4"/>
  <c r="G523" i="6"/>
  <c r="W523" i="6"/>
  <c r="W522" i="3"/>
  <c r="Z522" i="3" s="1"/>
  <c r="K523" i="6"/>
  <c r="F524" i="6"/>
  <c r="M524" i="6"/>
  <c r="N524" i="6" s="1"/>
  <c r="O524" i="6" s="1"/>
  <c r="T524" i="6" s="1"/>
  <c r="L525" i="6"/>
  <c r="F523" i="3"/>
  <c r="G523" i="3" s="1"/>
  <c r="H525" i="6"/>
  <c r="I524" i="6"/>
  <c r="Z521" i="6"/>
  <c r="D521" i="11"/>
  <c r="X522" i="6"/>
  <c r="V522" i="6"/>
  <c r="C522" i="4" s="1"/>
  <c r="I524" i="3"/>
  <c r="K524" i="3" s="1"/>
  <c r="U523" i="6"/>
  <c r="C521" i="4"/>
  <c r="M525" i="3"/>
  <c r="N525" i="3" s="1"/>
  <c r="O525" i="3" s="1"/>
  <c r="T525" i="3" s="1"/>
  <c r="L526" i="3"/>
  <c r="G209" i="4" l="1"/>
  <c r="J209" i="4" s="1"/>
  <c r="K209" i="4" s="1"/>
  <c r="L209" i="4" s="1"/>
  <c r="D259" i="9"/>
  <c r="AH522" i="3"/>
  <c r="AJ522" i="3" s="1"/>
  <c r="AJ521" i="6"/>
  <c r="AH522" i="6"/>
  <c r="C261" i="9"/>
  <c r="X523" i="6"/>
  <c r="V523" i="6"/>
  <c r="C523" i="4" s="1"/>
  <c r="X524" i="3"/>
  <c r="V524" i="3"/>
  <c r="M525" i="6"/>
  <c r="N525" i="6" s="1"/>
  <c r="O525" i="6" s="1"/>
  <c r="T525" i="6" s="1"/>
  <c r="L526" i="6"/>
  <c r="K524" i="6"/>
  <c r="F525" i="6"/>
  <c r="U525" i="3"/>
  <c r="U524" i="6"/>
  <c r="M526" i="3"/>
  <c r="N526" i="3" s="1"/>
  <c r="O526" i="3" s="1"/>
  <c r="T526" i="3" s="1"/>
  <c r="L527" i="3"/>
  <c r="I525" i="6"/>
  <c r="H526" i="6"/>
  <c r="E521" i="11"/>
  <c r="F521" i="11" s="1"/>
  <c r="F521" i="4"/>
  <c r="P521" i="4" s="1"/>
  <c r="C523" i="11"/>
  <c r="I525" i="3"/>
  <c r="K525" i="3" s="1"/>
  <c r="Z522" i="6"/>
  <c r="D522" i="11"/>
  <c r="W523" i="3"/>
  <c r="Z523" i="3" s="1"/>
  <c r="AH523" i="3" s="1"/>
  <c r="F522" i="4"/>
  <c r="P522" i="4" s="1"/>
  <c r="E522" i="11"/>
  <c r="AF260" i="6"/>
  <c r="AD260" i="6"/>
  <c r="AE260" i="6" s="1"/>
  <c r="G524" i="6"/>
  <c r="W524" i="6"/>
  <c r="F524" i="3"/>
  <c r="G524" i="3" s="1"/>
  <c r="AD262" i="3"/>
  <c r="AE262" i="3" s="1"/>
  <c r="AF262" i="3"/>
  <c r="M209" i="4" l="1"/>
  <c r="N209" i="4" s="1"/>
  <c r="AJ522" i="6"/>
  <c r="AJ523" i="3"/>
  <c r="AH523" i="6"/>
  <c r="AG262" i="3"/>
  <c r="AA263" i="3" s="1"/>
  <c r="AC263" i="3" s="1"/>
  <c r="F522" i="11"/>
  <c r="AG260" i="6"/>
  <c r="AA261" i="6" s="1"/>
  <c r="AC261" i="6" s="1"/>
  <c r="F525" i="3"/>
  <c r="G525" i="3" s="1"/>
  <c r="I526" i="3"/>
  <c r="K526" i="3" s="1"/>
  <c r="M526" i="6"/>
  <c r="N526" i="6" s="1"/>
  <c r="O526" i="6" s="1"/>
  <c r="T526" i="6" s="1"/>
  <c r="L527" i="6"/>
  <c r="E523" i="11"/>
  <c r="F523" i="4"/>
  <c r="P523" i="4" s="1"/>
  <c r="X525" i="3"/>
  <c r="V525" i="3"/>
  <c r="W524" i="3"/>
  <c r="Z524" i="3" s="1"/>
  <c r="H527" i="6"/>
  <c r="I526" i="6"/>
  <c r="U525" i="6"/>
  <c r="M527" i="3"/>
  <c r="N527" i="3" s="1"/>
  <c r="O527" i="3" s="1"/>
  <c r="T527" i="3" s="1"/>
  <c r="L528" i="3"/>
  <c r="U526" i="3"/>
  <c r="X524" i="6"/>
  <c r="V524" i="6"/>
  <c r="C524" i="4" s="1"/>
  <c r="W525" i="6"/>
  <c r="G525" i="6"/>
  <c r="H521" i="4"/>
  <c r="K525" i="6"/>
  <c r="F526" i="6"/>
  <c r="C524" i="11"/>
  <c r="H522" i="4"/>
  <c r="D523" i="11"/>
  <c r="Z523" i="6"/>
  <c r="G210" i="4" l="1"/>
  <c r="J210" i="4" s="1"/>
  <c r="E209" i="9"/>
  <c r="C262" i="9"/>
  <c r="AJ523" i="6"/>
  <c r="AH524" i="6"/>
  <c r="AH524" i="3"/>
  <c r="AJ524" i="3" s="1"/>
  <c r="D260" i="9"/>
  <c r="F523" i="11"/>
  <c r="X525" i="6"/>
  <c r="V525" i="6"/>
  <c r="C525" i="4" s="1"/>
  <c r="D524" i="11"/>
  <c r="Z524" i="6"/>
  <c r="AJ524" i="6" s="1"/>
  <c r="H523" i="4"/>
  <c r="X526" i="3"/>
  <c r="V526" i="3"/>
  <c r="W526" i="6"/>
  <c r="G526" i="6"/>
  <c r="F526" i="3"/>
  <c r="G526" i="3" s="1"/>
  <c r="C525" i="11"/>
  <c r="M527" i="6"/>
  <c r="N527" i="6" s="1"/>
  <c r="O527" i="6" s="1"/>
  <c r="T527" i="6" s="1"/>
  <c r="L528" i="6"/>
  <c r="W525" i="3"/>
  <c r="Z525" i="3" s="1"/>
  <c r="AH525" i="3" s="1"/>
  <c r="M528" i="3"/>
  <c r="N528" i="3" s="1"/>
  <c r="O528" i="3" s="1"/>
  <c r="T528" i="3" s="1"/>
  <c r="L529" i="3"/>
  <c r="F527" i="6"/>
  <c r="K526" i="6"/>
  <c r="E524" i="11"/>
  <c r="F524" i="4"/>
  <c r="P524" i="4" s="1"/>
  <c r="I527" i="3"/>
  <c r="K527" i="3" s="1"/>
  <c r="H528" i="6"/>
  <c r="I527" i="6"/>
  <c r="U526" i="6"/>
  <c r="U527" i="3"/>
  <c r="AD261" i="6"/>
  <c r="AE261" i="6" s="1"/>
  <c r="AF261" i="6"/>
  <c r="AD263" i="3"/>
  <c r="AE263" i="3" s="1"/>
  <c r="AF263" i="3"/>
  <c r="M210" i="4" l="1"/>
  <c r="K210" i="4"/>
  <c r="L210" i="4" s="1"/>
  <c r="AJ525" i="3"/>
  <c r="AH525" i="6"/>
  <c r="F524" i="11"/>
  <c r="AG261" i="6"/>
  <c r="AA262" i="6" s="1"/>
  <c r="AC262" i="6" s="1"/>
  <c r="AG263" i="3"/>
  <c r="AA264" i="3" s="1"/>
  <c r="AC264" i="3" s="1"/>
  <c r="W527" i="6"/>
  <c r="G527" i="6"/>
  <c r="H524" i="4"/>
  <c r="M529" i="3"/>
  <c r="N529" i="3" s="1"/>
  <c r="O529" i="3" s="1"/>
  <c r="T529" i="3" s="1"/>
  <c r="L530" i="3"/>
  <c r="X527" i="3"/>
  <c r="V527" i="3"/>
  <c r="M528" i="6"/>
  <c r="N528" i="6" s="1"/>
  <c r="O528" i="6" s="1"/>
  <c r="T528" i="6" s="1"/>
  <c r="L529" i="6"/>
  <c r="C526" i="11"/>
  <c r="E525" i="11"/>
  <c r="F525" i="4"/>
  <c r="P525" i="4" s="1"/>
  <c r="U528" i="3"/>
  <c r="X526" i="6"/>
  <c r="V526" i="6"/>
  <c r="C526" i="4" s="1"/>
  <c r="K527" i="6"/>
  <c r="F528" i="6"/>
  <c r="I528" i="3"/>
  <c r="K528" i="3" s="1"/>
  <c r="U527" i="6"/>
  <c r="Z525" i="6"/>
  <c r="D525" i="11"/>
  <c r="I528" i="6"/>
  <c r="H529" i="6"/>
  <c r="F527" i="3"/>
  <c r="G527" i="3" s="1"/>
  <c r="W526" i="3"/>
  <c r="Z526" i="3" s="1"/>
  <c r="AJ525" i="6" l="1"/>
  <c r="N210" i="4"/>
  <c r="E210" i="9" s="1"/>
  <c r="D261" i="9"/>
  <c r="C263" i="9"/>
  <c r="AH526" i="3"/>
  <c r="AJ526" i="3" s="1"/>
  <c r="AH526" i="6"/>
  <c r="F525" i="11"/>
  <c r="X527" i="6"/>
  <c r="V527" i="6"/>
  <c r="C527" i="4" s="1"/>
  <c r="E526" i="11"/>
  <c r="F526" i="4"/>
  <c r="P526" i="4" s="1"/>
  <c r="C527" i="11"/>
  <c r="W528" i="6"/>
  <c r="G528" i="6"/>
  <c r="U528" i="6"/>
  <c r="I529" i="3"/>
  <c r="K529" i="3" s="1"/>
  <c r="M530" i="3"/>
  <c r="N530" i="3" s="1"/>
  <c r="O530" i="3" s="1"/>
  <c r="T530" i="3" s="1"/>
  <c r="L531" i="3"/>
  <c r="M529" i="6"/>
  <c r="N529" i="6" s="1"/>
  <c r="O529" i="6" s="1"/>
  <c r="T529" i="6" s="1"/>
  <c r="L530" i="6"/>
  <c r="U529" i="3"/>
  <c r="H530" i="6"/>
  <c r="I529" i="6"/>
  <c r="W527" i="3"/>
  <c r="Z527" i="3" s="1"/>
  <c r="K528" i="6"/>
  <c r="F529" i="6"/>
  <c r="Z526" i="6"/>
  <c r="D526" i="11"/>
  <c r="AD262" i="6"/>
  <c r="AE262" i="6" s="1"/>
  <c r="AF262" i="6"/>
  <c r="F528" i="3"/>
  <c r="G528" i="3" s="1"/>
  <c r="X528" i="3"/>
  <c r="V528" i="3"/>
  <c r="H525" i="4"/>
  <c r="AD264" i="3"/>
  <c r="AE264" i="3" s="1"/>
  <c r="AF264" i="3"/>
  <c r="G211" i="4" l="1"/>
  <c r="J211" i="4" s="1"/>
  <c r="AJ526" i="6"/>
  <c r="AH527" i="3"/>
  <c r="AJ527" i="3" s="1"/>
  <c r="AH527" i="6"/>
  <c r="AG262" i="6"/>
  <c r="AA263" i="6" s="1"/>
  <c r="AC263" i="6" s="1"/>
  <c r="AG264" i="3"/>
  <c r="AA265" i="3" s="1"/>
  <c r="AC265" i="3" s="1"/>
  <c r="F526" i="11"/>
  <c r="X528" i="6"/>
  <c r="V528" i="6"/>
  <c r="C528" i="4" s="1"/>
  <c r="X529" i="3"/>
  <c r="V529" i="3"/>
  <c r="I530" i="3"/>
  <c r="K530" i="3" s="1"/>
  <c r="W529" i="6"/>
  <c r="G529" i="6"/>
  <c r="C528" i="11"/>
  <c r="H526" i="4"/>
  <c r="W528" i="3"/>
  <c r="Z528" i="3" s="1"/>
  <c r="H531" i="6"/>
  <c r="I530" i="6"/>
  <c r="F527" i="4"/>
  <c r="P527" i="4" s="1"/>
  <c r="E527" i="11"/>
  <c r="U529" i="6"/>
  <c r="M531" i="3"/>
  <c r="N531" i="3" s="1"/>
  <c r="O531" i="3" s="1"/>
  <c r="T531" i="3" s="1"/>
  <c r="L532" i="3"/>
  <c r="F530" i="6"/>
  <c r="K529" i="6"/>
  <c r="M530" i="6"/>
  <c r="N530" i="6" s="1"/>
  <c r="O530" i="6" s="1"/>
  <c r="T530" i="6" s="1"/>
  <c r="L531" i="6"/>
  <c r="U530" i="3"/>
  <c r="D527" i="11"/>
  <c r="Z527" i="6"/>
  <c r="F529" i="3"/>
  <c r="G529" i="3" s="1"/>
  <c r="D262" i="9" l="1"/>
  <c r="M211" i="4"/>
  <c r="K211" i="4"/>
  <c r="L211" i="4" s="1"/>
  <c r="AJ527" i="6"/>
  <c r="AH528" i="6"/>
  <c r="AH528" i="3"/>
  <c r="AJ528" i="3" s="1"/>
  <c r="C264" i="9"/>
  <c r="F527" i="11"/>
  <c r="M532" i="3"/>
  <c r="N532" i="3" s="1"/>
  <c r="O532" i="3" s="1"/>
  <c r="T532" i="3" s="1"/>
  <c r="L533" i="3"/>
  <c r="AD265" i="3"/>
  <c r="AE265" i="3" s="1"/>
  <c r="AF265" i="3"/>
  <c r="F530" i="3"/>
  <c r="G530" i="3" s="1"/>
  <c r="K530" i="6"/>
  <c r="F531" i="6"/>
  <c r="M531" i="6"/>
  <c r="N531" i="6" s="1"/>
  <c r="O531" i="6" s="1"/>
  <c r="T531" i="6" s="1"/>
  <c r="L532" i="6"/>
  <c r="F528" i="4"/>
  <c r="P528" i="4" s="1"/>
  <c r="E528" i="11"/>
  <c r="H527" i="4"/>
  <c r="I531" i="6"/>
  <c r="H532" i="6"/>
  <c r="U530" i="6"/>
  <c r="AD263" i="6"/>
  <c r="AE263" i="6" s="1"/>
  <c r="AF263" i="6"/>
  <c r="W530" i="6"/>
  <c r="G530" i="6"/>
  <c r="W529" i="3"/>
  <c r="Z529" i="3" s="1"/>
  <c r="AH529" i="6" s="1"/>
  <c r="U531" i="3"/>
  <c r="X529" i="6"/>
  <c r="V529" i="6"/>
  <c r="C529" i="4" s="1"/>
  <c r="I531" i="3"/>
  <c r="K531" i="3" s="1"/>
  <c r="C529" i="11"/>
  <c r="X530" i="3"/>
  <c r="V530" i="3"/>
  <c r="Z528" i="6"/>
  <c r="D528" i="11"/>
  <c r="N211" i="4" l="1"/>
  <c r="E211" i="9" s="1"/>
  <c r="AJ528" i="6"/>
  <c r="AH529" i="3"/>
  <c r="AJ529" i="3" s="1"/>
  <c r="AG265" i="3"/>
  <c r="AA266" i="3" s="1"/>
  <c r="AC266" i="3" s="1"/>
  <c r="AG263" i="6"/>
  <c r="AA264" i="6" s="1"/>
  <c r="AC264" i="6" s="1"/>
  <c r="F528" i="11"/>
  <c r="X530" i="6"/>
  <c r="V530" i="6"/>
  <c r="C530" i="4" s="1"/>
  <c r="U531" i="6"/>
  <c r="M532" i="6"/>
  <c r="N532" i="6" s="1"/>
  <c r="O532" i="6" s="1"/>
  <c r="T532" i="6" s="1"/>
  <c r="L533" i="6"/>
  <c r="C530" i="11"/>
  <c r="W530" i="3"/>
  <c r="Z530" i="3" s="1"/>
  <c r="AH530" i="3" s="1"/>
  <c r="X531" i="3"/>
  <c r="V531" i="3"/>
  <c r="I532" i="3"/>
  <c r="K532" i="3" s="1"/>
  <c r="U532" i="3"/>
  <c r="K531" i="6"/>
  <c r="F532" i="6"/>
  <c r="D529" i="11"/>
  <c r="Z529" i="6"/>
  <c r="AJ529" i="6" s="1"/>
  <c r="W531" i="6"/>
  <c r="G531" i="6"/>
  <c r="E529" i="11"/>
  <c r="F529" i="4"/>
  <c r="P529" i="4" s="1"/>
  <c r="H533" i="6"/>
  <c r="I532" i="6"/>
  <c r="F531" i="3"/>
  <c r="G531" i="3" s="1"/>
  <c r="M533" i="3"/>
  <c r="N533" i="3" s="1"/>
  <c r="O533" i="3" s="1"/>
  <c r="T533" i="3" s="1"/>
  <c r="L534" i="3"/>
  <c r="H528" i="4"/>
  <c r="G212" i="4" l="1"/>
  <c r="J212" i="4" s="1"/>
  <c r="K212" i="4" s="1"/>
  <c r="L212" i="4" s="1"/>
  <c r="C265" i="9"/>
  <c r="AJ530" i="3"/>
  <c r="AH530" i="6"/>
  <c r="D263" i="9"/>
  <c r="F529" i="11"/>
  <c r="X532" i="3"/>
  <c r="V532" i="3"/>
  <c r="X531" i="6"/>
  <c r="V531" i="6"/>
  <c r="W532" i="6"/>
  <c r="G532" i="6"/>
  <c r="U533" i="3"/>
  <c r="M533" i="6"/>
  <c r="N533" i="6" s="1"/>
  <c r="O533" i="6" s="1"/>
  <c r="T533" i="6" s="1"/>
  <c r="L534" i="6"/>
  <c r="M534" i="3"/>
  <c r="N534" i="3" s="1"/>
  <c r="O534" i="3" s="1"/>
  <c r="T534" i="3" s="1"/>
  <c r="L535" i="3"/>
  <c r="W531" i="3"/>
  <c r="Z531" i="3" s="1"/>
  <c r="F530" i="4"/>
  <c r="P530" i="4" s="1"/>
  <c r="E530" i="11"/>
  <c r="I533" i="3"/>
  <c r="K533" i="3" s="1"/>
  <c r="K532" i="6"/>
  <c r="F533" i="6"/>
  <c r="AD266" i="3"/>
  <c r="AE266" i="3" s="1"/>
  <c r="AF266" i="3"/>
  <c r="AD264" i="6"/>
  <c r="AE264" i="6" s="1"/>
  <c r="AF264" i="6"/>
  <c r="F532" i="3"/>
  <c r="G532" i="3" s="1"/>
  <c r="U532" i="6"/>
  <c r="C531" i="11"/>
  <c r="I533" i="6"/>
  <c r="H534" i="6"/>
  <c r="H529" i="4"/>
  <c r="D530" i="11"/>
  <c r="Z530" i="6"/>
  <c r="M212" i="4" l="1"/>
  <c r="N212" i="4" s="1"/>
  <c r="AJ530" i="6"/>
  <c r="F530" i="11"/>
  <c r="AH531" i="3"/>
  <c r="AJ531" i="3" s="1"/>
  <c r="AH531" i="6"/>
  <c r="AG266" i="3"/>
  <c r="C266" i="9" s="1"/>
  <c r="C24" i="10" s="1"/>
  <c r="AG264" i="6"/>
  <c r="AA265" i="6" s="1"/>
  <c r="AC265" i="6" s="1"/>
  <c r="U533" i="6"/>
  <c r="K533" i="6"/>
  <c r="F534" i="6"/>
  <c r="M534" i="6"/>
  <c r="N534" i="6" s="1"/>
  <c r="O534" i="6" s="1"/>
  <c r="T534" i="6" s="1"/>
  <c r="L535" i="6"/>
  <c r="D531" i="11"/>
  <c r="Z531" i="6"/>
  <c r="X533" i="3"/>
  <c r="V533" i="3"/>
  <c r="U534" i="3"/>
  <c r="G533" i="6"/>
  <c r="W533" i="6"/>
  <c r="C531" i="4"/>
  <c r="H530" i="4"/>
  <c r="W532" i="3"/>
  <c r="Z532" i="3" s="1"/>
  <c r="H535" i="6"/>
  <c r="I534" i="6"/>
  <c r="F533" i="3"/>
  <c r="G533" i="3" s="1"/>
  <c r="C532" i="11"/>
  <c r="I534" i="3"/>
  <c r="K534" i="3" s="1"/>
  <c r="X532" i="6"/>
  <c r="V532" i="6"/>
  <c r="C532" i="4" s="1"/>
  <c r="M535" i="3"/>
  <c r="N535" i="3" s="1"/>
  <c r="O535" i="3" s="1"/>
  <c r="T535" i="3" s="1"/>
  <c r="L536" i="3"/>
  <c r="AJ531" i="6" l="1"/>
  <c r="G213" i="4"/>
  <c r="J213" i="4" s="1"/>
  <c r="E212" i="9"/>
  <c r="AH532" i="6"/>
  <c r="AA267" i="3"/>
  <c r="AC267" i="3" s="1"/>
  <c r="AF267" i="3" s="1"/>
  <c r="AH532" i="3"/>
  <c r="AJ532" i="3" s="1"/>
  <c r="D264" i="9"/>
  <c r="X533" i="6"/>
  <c r="V533" i="6"/>
  <c r="C533" i="4" s="1"/>
  <c r="C533" i="11"/>
  <c r="M536" i="3"/>
  <c r="N536" i="3" s="1"/>
  <c r="O536" i="3" s="1"/>
  <c r="T536" i="3" s="1"/>
  <c r="L537" i="3"/>
  <c r="W533" i="3"/>
  <c r="Z533" i="3" s="1"/>
  <c r="D532" i="11"/>
  <c r="Z532" i="6"/>
  <c r="M535" i="6"/>
  <c r="N535" i="6" s="1"/>
  <c r="O535" i="6" s="1"/>
  <c r="T535" i="6" s="1"/>
  <c r="L536" i="6"/>
  <c r="F534" i="3"/>
  <c r="G534" i="3" s="1"/>
  <c r="I535" i="6"/>
  <c r="H536" i="6"/>
  <c r="I535" i="3"/>
  <c r="K535" i="3" s="1"/>
  <c r="F531" i="4"/>
  <c r="P531" i="4" s="1"/>
  <c r="E531" i="11"/>
  <c r="F531" i="11" s="1"/>
  <c r="E532" i="11"/>
  <c r="F532" i="4"/>
  <c r="P532" i="4" s="1"/>
  <c r="X534" i="3"/>
  <c r="V534" i="3"/>
  <c r="U535" i="3"/>
  <c r="K534" i="6"/>
  <c r="F535" i="6"/>
  <c r="U534" i="6"/>
  <c r="W534" i="6"/>
  <c r="G534" i="6"/>
  <c r="AF265" i="6"/>
  <c r="AD265" i="6"/>
  <c r="AE265" i="6" s="1"/>
  <c r="AD267" i="3" l="1"/>
  <c r="AE267" i="3" s="1"/>
  <c r="AG267" i="3" s="1"/>
  <c r="C267" i="9" s="1"/>
  <c r="AH533" i="3"/>
  <c r="AJ533" i="3" s="1"/>
  <c r="AJ532" i="6"/>
  <c r="AH533" i="6"/>
  <c r="AG265" i="6"/>
  <c r="AA266" i="6" s="1"/>
  <c r="AC266" i="6" s="1"/>
  <c r="F532" i="11"/>
  <c r="X534" i="6"/>
  <c r="V534" i="6"/>
  <c r="C534" i="4" s="1"/>
  <c r="E533" i="11"/>
  <c r="F533" i="4"/>
  <c r="P533" i="4" s="1"/>
  <c r="M536" i="6"/>
  <c r="N536" i="6" s="1"/>
  <c r="O536" i="6" s="1"/>
  <c r="T536" i="6" s="1"/>
  <c r="L537" i="6"/>
  <c r="U535" i="6"/>
  <c r="H531" i="4"/>
  <c r="M537" i="3"/>
  <c r="N537" i="3" s="1"/>
  <c r="O537" i="3" s="1"/>
  <c r="T537" i="3" s="1"/>
  <c r="L538" i="3"/>
  <c r="U536" i="3"/>
  <c r="I536" i="3"/>
  <c r="K536" i="3" s="1"/>
  <c r="W535" i="6"/>
  <c r="G535" i="6"/>
  <c r="H537" i="6"/>
  <c r="I536" i="6"/>
  <c r="K535" i="6"/>
  <c r="F536" i="6"/>
  <c r="H532" i="4"/>
  <c r="Z533" i="6"/>
  <c r="D533" i="11"/>
  <c r="W534" i="3"/>
  <c r="Z534" i="3" s="1"/>
  <c r="AH534" i="6" s="1"/>
  <c r="F535" i="3"/>
  <c r="G535" i="3" s="1"/>
  <c r="X535" i="3"/>
  <c r="V535" i="3"/>
  <c r="C534" i="11"/>
  <c r="M213" i="4" l="1"/>
  <c r="K213" i="4"/>
  <c r="L213" i="4" s="1"/>
  <c r="AJ533" i="6"/>
  <c r="AH534" i="3"/>
  <c r="AJ534" i="3" s="1"/>
  <c r="D265" i="9"/>
  <c r="F533" i="11"/>
  <c r="AA268" i="3"/>
  <c r="AC268" i="3" s="1"/>
  <c r="AF268" i="3" s="1"/>
  <c r="F534" i="4"/>
  <c r="P534" i="4" s="1"/>
  <c r="E534" i="11"/>
  <c r="X536" i="3"/>
  <c r="V536" i="3"/>
  <c r="W536" i="6"/>
  <c r="G536" i="6"/>
  <c r="X535" i="6"/>
  <c r="V535" i="6"/>
  <c r="U536" i="6"/>
  <c r="C535" i="11"/>
  <c r="F537" i="6"/>
  <c r="K536" i="6"/>
  <c r="I537" i="6"/>
  <c r="H538" i="6"/>
  <c r="M537" i="6"/>
  <c r="N537" i="6" s="1"/>
  <c r="O537" i="6" s="1"/>
  <c r="T537" i="6" s="1"/>
  <c r="L538" i="6"/>
  <c r="W535" i="3"/>
  <c r="Z535" i="3" s="1"/>
  <c r="H533" i="4"/>
  <c r="Z534" i="6"/>
  <c r="AJ534" i="6" s="1"/>
  <c r="D534" i="11"/>
  <c r="F536" i="3"/>
  <c r="G536" i="3" s="1"/>
  <c r="U537" i="3"/>
  <c r="AD266" i="6"/>
  <c r="AE266" i="6" s="1"/>
  <c r="AF266" i="6"/>
  <c r="I537" i="3"/>
  <c r="K537" i="3" s="1"/>
  <c r="M538" i="3"/>
  <c r="N538" i="3" s="1"/>
  <c r="O538" i="3" s="1"/>
  <c r="T538" i="3" s="1"/>
  <c r="L539" i="3"/>
  <c r="N213" i="4" l="1"/>
  <c r="E213" i="9" s="1"/>
  <c r="AH535" i="3"/>
  <c r="AJ535" i="3" s="1"/>
  <c r="AH535" i="6"/>
  <c r="AD268" i="3"/>
  <c r="AE268" i="3" s="1"/>
  <c r="AG268" i="3" s="1"/>
  <c r="AA269" i="3" s="1"/>
  <c r="AC269" i="3" s="1"/>
  <c r="F534" i="11"/>
  <c r="AG266" i="6"/>
  <c r="AA267" i="6" s="1"/>
  <c r="AC267" i="6" s="1"/>
  <c r="X537" i="3"/>
  <c r="V537" i="3"/>
  <c r="X536" i="6"/>
  <c r="V536" i="6"/>
  <c r="C536" i="4" s="1"/>
  <c r="U538" i="3"/>
  <c r="I538" i="3"/>
  <c r="K538" i="3" s="1"/>
  <c r="F537" i="3"/>
  <c r="G537" i="3" s="1"/>
  <c r="D535" i="11"/>
  <c r="Z535" i="6"/>
  <c r="M538" i="6"/>
  <c r="N538" i="6" s="1"/>
  <c r="O538" i="6" s="1"/>
  <c r="T538" i="6" s="1"/>
  <c r="L539" i="6"/>
  <c r="M539" i="3"/>
  <c r="N539" i="3" s="1"/>
  <c r="O539" i="3" s="1"/>
  <c r="T539" i="3" s="1"/>
  <c r="L540" i="3"/>
  <c r="U537" i="6"/>
  <c r="H539" i="6"/>
  <c r="I538" i="6"/>
  <c r="K537" i="6"/>
  <c r="F538" i="6"/>
  <c r="C536" i="11"/>
  <c r="W537" i="6"/>
  <c r="G537" i="6"/>
  <c r="W536" i="3"/>
  <c r="Z536" i="3" s="1"/>
  <c r="AH536" i="3" s="1"/>
  <c r="C535" i="4"/>
  <c r="H534" i="4"/>
  <c r="G214" i="4" l="1"/>
  <c r="J214" i="4" s="1"/>
  <c r="AJ535" i="6"/>
  <c r="AJ536" i="3"/>
  <c r="AH536" i="6"/>
  <c r="D266" i="9"/>
  <c r="H24" i="10" s="1"/>
  <c r="C268" i="9"/>
  <c r="X538" i="3"/>
  <c r="V538" i="3"/>
  <c r="U539" i="3"/>
  <c r="W537" i="3"/>
  <c r="Z537" i="3" s="1"/>
  <c r="F536" i="4"/>
  <c r="P536" i="4" s="1"/>
  <c r="E536" i="11"/>
  <c r="F538" i="3"/>
  <c r="G538" i="3" s="1"/>
  <c r="W538" i="6"/>
  <c r="G538" i="6"/>
  <c r="F539" i="6"/>
  <c r="K538" i="6"/>
  <c r="I539" i="3"/>
  <c r="K539" i="3" s="1"/>
  <c r="I539" i="6"/>
  <c r="H540" i="6"/>
  <c r="AD269" i="3"/>
  <c r="AE269" i="3" s="1"/>
  <c r="AF269" i="3"/>
  <c r="D536" i="11"/>
  <c r="Z536" i="6"/>
  <c r="X537" i="6"/>
  <c r="V537" i="6"/>
  <c r="C537" i="4" s="1"/>
  <c r="F535" i="4"/>
  <c r="P535" i="4" s="1"/>
  <c r="E535" i="11"/>
  <c r="F535" i="11" s="1"/>
  <c r="M540" i="3"/>
  <c r="N540" i="3" s="1"/>
  <c r="O540" i="3" s="1"/>
  <c r="T540" i="3" s="1"/>
  <c r="L541" i="3"/>
  <c r="C537" i="11"/>
  <c r="L540" i="6"/>
  <c r="M539" i="6"/>
  <c r="N539" i="6" s="1"/>
  <c r="O539" i="6" s="1"/>
  <c r="T539" i="6" s="1"/>
  <c r="U538" i="6"/>
  <c r="AD267" i="6"/>
  <c r="AE267" i="6" s="1"/>
  <c r="AF267" i="6"/>
  <c r="M214" i="4" l="1"/>
  <c r="K214" i="4"/>
  <c r="L214" i="4" s="1"/>
  <c r="AJ536" i="6"/>
  <c r="AH537" i="3"/>
  <c r="AJ537" i="3" s="1"/>
  <c r="AH537" i="6"/>
  <c r="AG269" i="3"/>
  <c r="C269" i="9" s="1"/>
  <c r="AG267" i="6"/>
  <c r="AA268" i="6" s="1"/>
  <c r="AC268" i="6" s="1"/>
  <c r="F536" i="11"/>
  <c r="X538" i="6"/>
  <c r="V538" i="6"/>
  <c r="C538" i="4" s="1"/>
  <c r="W538" i="3"/>
  <c r="Z538" i="3" s="1"/>
  <c r="H536" i="4"/>
  <c r="U539" i="6"/>
  <c r="L541" i="6"/>
  <c r="M540" i="6"/>
  <c r="N540" i="6" s="1"/>
  <c r="O540" i="6" s="1"/>
  <c r="T540" i="6" s="1"/>
  <c r="I540" i="6"/>
  <c r="H541" i="6"/>
  <c r="K539" i="6"/>
  <c r="F540" i="6"/>
  <c r="X539" i="3"/>
  <c r="V539" i="3"/>
  <c r="F537" i="4"/>
  <c r="P537" i="4" s="1"/>
  <c r="E537" i="11"/>
  <c r="I540" i="3"/>
  <c r="K540" i="3" s="1"/>
  <c r="L542" i="3"/>
  <c r="M542" i="3" s="1"/>
  <c r="N542" i="3" s="1"/>
  <c r="O542" i="3" s="1"/>
  <c r="M541" i="3"/>
  <c r="N541" i="3" s="1"/>
  <c r="O541" i="3" s="1"/>
  <c r="T541" i="3" s="1"/>
  <c r="W539" i="6"/>
  <c r="G539" i="6"/>
  <c r="C538" i="11"/>
  <c r="F539" i="3"/>
  <c r="G539" i="3" s="1"/>
  <c r="U540" i="3"/>
  <c r="H535" i="4"/>
  <c r="D537" i="11"/>
  <c r="Z537" i="6"/>
  <c r="N214" i="4" l="1"/>
  <c r="G215" i="4" s="1"/>
  <c r="J215" i="4" s="1"/>
  <c r="AJ537" i="6"/>
  <c r="AH538" i="3"/>
  <c r="AJ538" i="3" s="1"/>
  <c r="AH538" i="6"/>
  <c r="AA270" i="3"/>
  <c r="AC270" i="3" s="1"/>
  <c r="AD270" i="3" s="1"/>
  <c r="AE270" i="3" s="1"/>
  <c r="D267" i="9"/>
  <c r="F537" i="11"/>
  <c r="T542" i="3"/>
  <c r="D90" i="5"/>
  <c r="H542" i="6"/>
  <c r="I542" i="6" s="1"/>
  <c r="K542" i="6" s="1"/>
  <c r="I541" i="6"/>
  <c r="K540" i="6"/>
  <c r="F541" i="6"/>
  <c r="U540" i="6"/>
  <c r="M541" i="6"/>
  <c r="N541" i="6" s="1"/>
  <c r="O541" i="6" s="1"/>
  <c r="T541" i="6" s="1"/>
  <c r="L542" i="6"/>
  <c r="M542" i="6" s="1"/>
  <c r="N542" i="6" s="1"/>
  <c r="O542" i="6" s="1"/>
  <c r="X539" i="6"/>
  <c r="V539" i="6"/>
  <c r="C539" i="4" s="1"/>
  <c r="U541" i="3"/>
  <c r="I541" i="3"/>
  <c r="K541" i="3" s="1"/>
  <c r="H537" i="4"/>
  <c r="F540" i="3"/>
  <c r="G540" i="3" s="1"/>
  <c r="C539" i="11"/>
  <c r="Z538" i="6"/>
  <c r="D538" i="11"/>
  <c r="F538" i="4"/>
  <c r="P538" i="4" s="1"/>
  <c r="E538" i="11"/>
  <c r="W539" i="3"/>
  <c r="Z539" i="3" s="1"/>
  <c r="X540" i="3"/>
  <c r="V540" i="3"/>
  <c r="W540" i="6"/>
  <c r="G540" i="6"/>
  <c r="AF268" i="6"/>
  <c r="AD268" i="6"/>
  <c r="AE268" i="6" s="1"/>
  <c r="E214" i="9" l="1"/>
  <c r="K215" i="4"/>
  <c r="L215" i="4" s="1"/>
  <c r="M215" i="4"/>
  <c r="AJ538" i="6"/>
  <c r="AH539" i="3"/>
  <c r="AJ539" i="3" s="1"/>
  <c r="AH539" i="6"/>
  <c r="AF270" i="3"/>
  <c r="AG270" i="3" s="1"/>
  <c r="AA271" i="3" s="1"/>
  <c r="AC271" i="3" s="1"/>
  <c r="F538" i="11"/>
  <c r="AG268" i="6"/>
  <c r="AA269" i="6" s="1"/>
  <c r="AC269" i="6" s="1"/>
  <c r="X541" i="3"/>
  <c r="V541" i="3"/>
  <c r="X540" i="6"/>
  <c r="V540" i="6"/>
  <c r="D539" i="11"/>
  <c r="Z539" i="6"/>
  <c r="F539" i="4"/>
  <c r="P539" i="4" s="1"/>
  <c r="E539" i="11"/>
  <c r="T542" i="6"/>
  <c r="E90" i="5"/>
  <c r="W540" i="3"/>
  <c r="Z540" i="3" s="1"/>
  <c r="AH540" i="3" s="1"/>
  <c r="U541" i="6"/>
  <c r="W541" i="6"/>
  <c r="G541" i="6"/>
  <c r="K541" i="6"/>
  <c r="F542" i="6"/>
  <c r="E116" i="5" s="1"/>
  <c r="E79" i="5"/>
  <c r="C540" i="11"/>
  <c r="F541" i="3"/>
  <c r="G541" i="3" s="1"/>
  <c r="U542" i="3"/>
  <c r="D117" i="5" s="1"/>
  <c r="I542" i="3"/>
  <c r="K542" i="3" s="1"/>
  <c r="H538" i="4"/>
  <c r="N215" i="4" l="1"/>
  <c r="E215" i="9" s="1"/>
  <c r="AJ539" i="6"/>
  <c r="AJ540" i="3"/>
  <c r="AH540" i="6"/>
  <c r="F539" i="11"/>
  <c r="C270" i="9"/>
  <c r="D268" i="9"/>
  <c r="X541" i="6"/>
  <c r="V541" i="6"/>
  <c r="C541" i="4" s="1"/>
  <c r="H539" i="4"/>
  <c r="D79" i="5"/>
  <c r="AF269" i="6"/>
  <c r="AD269" i="6"/>
  <c r="AE269" i="6" s="1"/>
  <c r="F542" i="3"/>
  <c r="D116" i="5" s="1"/>
  <c r="D123" i="5" s="1"/>
  <c r="D540" i="11"/>
  <c r="Z540" i="6"/>
  <c r="AD271" i="3"/>
  <c r="AE271" i="3" s="1"/>
  <c r="AF271" i="3"/>
  <c r="C541" i="11"/>
  <c r="W542" i="6"/>
  <c r="G542" i="6"/>
  <c r="N18" i="1" s="1"/>
  <c r="X542" i="3"/>
  <c r="V542" i="3"/>
  <c r="W541" i="3"/>
  <c r="Z541" i="3" s="1"/>
  <c r="AH541" i="6" s="1"/>
  <c r="C540" i="4"/>
  <c r="G216" i="4" l="1"/>
  <c r="J216" i="4" s="1"/>
  <c r="K216" i="4" s="1"/>
  <c r="L216" i="4" s="1"/>
  <c r="G542" i="3"/>
  <c r="AJ540" i="6"/>
  <c r="AH541" i="3"/>
  <c r="AJ541" i="3" s="1"/>
  <c r="AG271" i="3"/>
  <c r="C271" i="9" s="1"/>
  <c r="AG269" i="6"/>
  <c r="AA270" i="6" s="1"/>
  <c r="AC270" i="6" s="1"/>
  <c r="U542" i="6"/>
  <c r="E117" i="5" s="1"/>
  <c r="E123" i="5" s="1"/>
  <c r="F541" i="4"/>
  <c r="P541" i="4" s="1"/>
  <c r="E541" i="11"/>
  <c r="E540" i="11"/>
  <c r="F540" i="11" s="1"/>
  <c r="F540" i="4"/>
  <c r="P540" i="4" s="1"/>
  <c r="Z541" i="6"/>
  <c r="AJ541" i="6" s="1"/>
  <c r="D541" i="11"/>
  <c r="W542" i="3"/>
  <c r="Z542" i="3" s="1"/>
  <c r="AH542" i="6" s="1"/>
  <c r="M18" i="1"/>
  <c r="C542" i="11"/>
  <c r="M216" i="4" l="1"/>
  <c r="N216" i="4" s="1"/>
  <c r="AH542" i="3"/>
  <c r="AJ542" i="3" s="1"/>
  <c r="B3" i="10" s="1"/>
  <c r="AA272" i="3"/>
  <c r="AC272" i="3" s="1"/>
  <c r="AD272" i="3" s="1"/>
  <c r="AE272" i="3" s="1"/>
  <c r="V542" i="6"/>
  <c r="D542" i="11" s="1"/>
  <c r="X542" i="6"/>
  <c r="D269" i="9"/>
  <c r="F541" i="11"/>
  <c r="D100" i="5"/>
  <c r="H541" i="4"/>
  <c r="H540" i="4"/>
  <c r="AF270" i="6"/>
  <c r="AD270" i="6"/>
  <c r="AE270" i="6" s="1"/>
  <c r="E216" i="9" l="1"/>
  <c r="G217" i="4"/>
  <c r="J217" i="4" s="1"/>
  <c r="C542" i="4"/>
  <c r="F542" i="4" s="1"/>
  <c r="P542" i="4" s="1"/>
  <c r="AF272" i="3"/>
  <c r="AG272" i="3" s="1"/>
  <c r="AA273" i="3" s="1"/>
  <c r="AC273" i="3" s="1"/>
  <c r="Z542" i="6"/>
  <c r="AJ542" i="6" s="1"/>
  <c r="AG270" i="6"/>
  <c r="D270" i="9" s="1"/>
  <c r="E100" i="5"/>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M217" i="4" l="1"/>
  <c r="K217" i="4"/>
  <c r="L217" i="4" s="1"/>
  <c r="E542" i="11"/>
  <c r="F542" i="11" s="1"/>
  <c r="M19" i="1" s="1"/>
  <c r="N19" i="1" s="1"/>
  <c r="O19" i="1" s="1"/>
  <c r="C272" i="9"/>
  <c r="AA271" i="6"/>
  <c r="AC271" i="6" s="1"/>
  <c r="D23" i="10"/>
  <c r="E23" i="10" a="1"/>
  <c r="E23" i="10" s="1"/>
  <c r="E59" i="5" s="1"/>
  <c r="D7" i="10"/>
  <c r="E7" i="10" a="1"/>
  <c r="E7" i="10" s="1"/>
  <c r="D22" i="10"/>
  <c r="E22" i="10" a="1"/>
  <c r="E22" i="10" s="1"/>
  <c r="D6" i="10"/>
  <c r="E6" i="10" a="1"/>
  <c r="E6" i="10" s="1"/>
  <c r="E21" i="10" a="1"/>
  <c r="E21" i="10" s="1"/>
  <c r="D21" i="10"/>
  <c r="E5" i="10" a="1"/>
  <c r="E5" i="10" s="1"/>
  <c r="D5" i="10"/>
  <c r="E20" i="10" a="1"/>
  <c r="E20" i="10" s="1"/>
  <c r="D20" i="10"/>
  <c r="E4" i="10" a="1"/>
  <c r="E4" i="10" s="1"/>
  <c r="D4" i="10"/>
  <c r="E19" i="10" a="1"/>
  <c r="E19" i="10" s="1"/>
  <c r="D19" i="10"/>
  <c r="D3" i="10"/>
  <c r="E3" i="10" a="1"/>
  <c r="E3" i="10" s="1"/>
  <c r="C59" i="5" s="1"/>
  <c r="E18" i="10" a="1"/>
  <c r="E18" i="10" s="1"/>
  <c r="D18" i="10"/>
  <c r="D17" i="10"/>
  <c r="E17" i="10" a="1"/>
  <c r="E17" i="10" s="1"/>
  <c r="E16" i="10" a="1"/>
  <c r="E16" i="10" s="1"/>
  <c r="D16" i="10"/>
  <c r="E15" i="10" a="1"/>
  <c r="E15" i="10" s="1"/>
  <c r="D15" i="10"/>
  <c r="G3" i="10"/>
  <c r="G4" i="10"/>
  <c r="G5" i="10"/>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E14" i="10" a="1"/>
  <c r="E14" i="10" s="1"/>
  <c r="D14" i="10"/>
  <c r="E13" i="10" a="1"/>
  <c r="E13" i="10" s="1"/>
  <c r="D59" i="5" s="1"/>
  <c r="D13" i="10"/>
  <c r="E12" i="10" a="1"/>
  <c r="E12" i="10" s="1"/>
  <c r="D12" i="10"/>
  <c r="H542" i="4"/>
  <c r="F100" i="5" s="1"/>
  <c r="E11" i="10" a="1"/>
  <c r="E11" i="10" s="1"/>
  <c r="D11" i="10"/>
  <c r="D10" i="10"/>
  <c r="E10" i="10" a="1"/>
  <c r="E10" i="10" s="1"/>
  <c r="AF273" i="3"/>
  <c r="AD273" i="3"/>
  <c r="AE273" i="3" s="1"/>
  <c r="D9" i="10"/>
  <c r="E9" i="10" a="1"/>
  <c r="E9" i="10" s="1"/>
  <c r="D24" i="10"/>
  <c r="E24" i="10" a="1"/>
  <c r="E24" i="10" s="1"/>
  <c r="D8" i="10"/>
  <c r="E8" i="10" a="1"/>
  <c r="E8" i="10" s="1"/>
  <c r="AD271" i="6"/>
  <c r="AE271" i="6" s="1"/>
  <c r="AF271" i="6"/>
  <c r="N217" i="4" l="1"/>
  <c r="E217" i="9" s="1"/>
  <c r="AG273" i="3"/>
  <c r="AA274" i="3" s="1"/>
  <c r="AC274" i="3" s="1"/>
  <c r="AG271" i="6"/>
  <c r="AA272" i="6" s="1"/>
  <c r="AC272" i="6" s="1"/>
  <c r="J10" i="10" a="1"/>
  <c r="J10" i="10" s="1"/>
  <c r="I10" i="10"/>
  <c r="J9" i="10" a="1"/>
  <c r="J9" i="10" s="1"/>
  <c r="I9" i="10"/>
  <c r="I24" i="10"/>
  <c r="J24" i="10" a="1"/>
  <c r="J24" i="10" s="1"/>
  <c r="J8" i="10" a="1"/>
  <c r="J8" i="10" s="1"/>
  <c r="I8" i="10"/>
  <c r="I23" i="10"/>
  <c r="J23" i="10" a="1"/>
  <c r="J23" i="10" s="1"/>
  <c r="E60" i="5" s="1"/>
  <c r="I7" i="10"/>
  <c r="J7" i="10" a="1"/>
  <c r="J7" i="10" s="1"/>
  <c r="J22" i="10" a="1"/>
  <c r="J22" i="10" s="1"/>
  <c r="I22" i="10"/>
  <c r="J6" i="10" a="1"/>
  <c r="J6" i="10" s="1"/>
  <c r="I6" i="10"/>
  <c r="I21" i="10"/>
  <c r="J21" i="10" a="1"/>
  <c r="J21" i="10" s="1"/>
  <c r="J5" i="10" a="1"/>
  <c r="J5" i="10" s="1"/>
  <c r="I5" i="10"/>
  <c r="J20" i="10" a="1"/>
  <c r="J20" i="10" s="1"/>
  <c r="I20" i="10"/>
  <c r="J4" i="10" a="1"/>
  <c r="J4" i="10" s="1"/>
  <c r="I4" i="10"/>
  <c r="I19" i="10"/>
  <c r="J19" i="10" a="1"/>
  <c r="J19" i="10" s="1"/>
  <c r="J3" i="10" a="1"/>
  <c r="J3" i="10" s="1"/>
  <c r="C60" i="5" s="1"/>
  <c r="I3" i="10"/>
  <c r="J18" i="10" a="1"/>
  <c r="J18" i="10" s="1"/>
  <c r="I18" i="10"/>
  <c r="I17" i="10"/>
  <c r="J17" i="10" a="1"/>
  <c r="J17" i="10" s="1"/>
  <c r="I16" i="10"/>
  <c r="J16" i="10" a="1"/>
  <c r="J16" i="10" s="1"/>
  <c r="J15" i="10" a="1"/>
  <c r="J15" i="10" s="1"/>
  <c r="I15" i="10"/>
  <c r="I14" i="10"/>
  <c r="J14" i="10" a="1"/>
  <c r="J14" i="10" s="1"/>
  <c r="J13" i="10" a="1"/>
  <c r="J13" i="10" s="1"/>
  <c r="D60" i="5" s="1"/>
  <c r="I13" i="10"/>
  <c r="L3" i="10"/>
  <c r="L4" i="10"/>
  <c r="L5" i="10"/>
  <c r="L6" i="10"/>
  <c r="L7" i="10"/>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J12" i="10" a="1"/>
  <c r="J12" i="10" s="1"/>
  <c r="I12" i="10"/>
  <c r="I11" i="10"/>
  <c r="J11" i="10" a="1"/>
  <c r="J11" i="10" s="1"/>
  <c r="C273" i="9" l="1"/>
  <c r="G218" i="4"/>
  <c r="J218" i="4" s="1"/>
  <c r="M218" i="4" s="1"/>
  <c r="D271" i="9"/>
  <c r="O12" i="10" a="1"/>
  <c r="O12" i="10" s="1"/>
  <c r="N12" i="10"/>
  <c r="N11" i="10"/>
  <c r="O11" i="10" a="1"/>
  <c r="O11" i="10" s="1"/>
  <c r="O10" i="10" a="1"/>
  <c r="O10" i="10" s="1"/>
  <c r="N10" i="10"/>
  <c r="N9" i="10"/>
  <c r="O9" i="10" a="1"/>
  <c r="O9" i="10" s="1"/>
  <c r="N8" i="10"/>
  <c r="O8" i="10" a="1"/>
  <c r="O8" i="10" s="1"/>
  <c r="N7" i="10"/>
  <c r="O7" i="10" a="1"/>
  <c r="O7" i="10" s="1"/>
  <c r="O6" i="10" a="1"/>
  <c r="O6" i="10" s="1"/>
  <c r="N6" i="10"/>
  <c r="O5" i="10" a="1"/>
  <c r="O5" i="10" s="1"/>
  <c r="N5" i="10"/>
  <c r="O4" i="10" a="1"/>
  <c r="O4" i="10" s="1"/>
  <c r="N4" i="10"/>
  <c r="N19" i="10"/>
  <c r="O19" i="10" a="1"/>
  <c r="O19" i="10" s="1"/>
  <c r="O3" i="10" a="1"/>
  <c r="O3" i="10" s="1"/>
  <c r="C61" i="5" s="1"/>
  <c r="N3" i="10"/>
  <c r="O18" i="10" a="1"/>
  <c r="O18" i="10" s="1"/>
  <c r="N18" i="10"/>
  <c r="N17" i="10"/>
  <c r="O17" i="10" a="1"/>
  <c r="O17" i="10" s="1"/>
  <c r="AD274" i="3"/>
  <c r="AE274" i="3" s="1"/>
  <c r="AF274" i="3"/>
  <c r="O16" i="10" a="1"/>
  <c r="O16" i="10" s="1"/>
  <c r="N16" i="10"/>
  <c r="N15" i="10"/>
  <c r="O15" i="10" a="1"/>
  <c r="O15" i="10" s="1"/>
  <c r="O14" i="10" a="1"/>
  <c r="O14" i="10" s="1"/>
  <c r="N14" i="10"/>
  <c r="N13" i="10"/>
  <c r="O13" i="10" a="1"/>
  <c r="O13" i="10" s="1"/>
  <c r="D61" i="5" s="1"/>
  <c r="AD272" i="6"/>
  <c r="AE272" i="6" s="1"/>
  <c r="AF272" i="6"/>
  <c r="K218" i="4" l="1"/>
  <c r="L218" i="4" s="1"/>
  <c r="N218" i="4" s="1"/>
  <c r="AG274" i="3"/>
  <c r="AA275" i="3" s="1"/>
  <c r="AC275" i="3" s="1"/>
  <c r="AG272" i="6"/>
  <c r="AA273" i="6" s="1"/>
  <c r="AC273" i="6" s="1"/>
  <c r="E218" i="9" l="1"/>
  <c r="M20" i="10" s="1"/>
  <c r="G219" i="4"/>
  <c r="J219" i="4" s="1"/>
  <c r="D272" i="9"/>
  <c r="C274" i="9"/>
  <c r="AD273" i="6"/>
  <c r="AE273" i="6" s="1"/>
  <c r="AF273" i="6"/>
  <c r="AF275" i="3"/>
  <c r="AD275" i="3"/>
  <c r="AE275" i="3" s="1"/>
  <c r="K219" i="4" l="1"/>
  <c r="L219" i="4" s="1"/>
  <c r="O20" i="10" a="1"/>
  <c r="O20" i="10" s="1"/>
  <c r="N20" i="10"/>
  <c r="AG275" i="3"/>
  <c r="AA276" i="3" s="1"/>
  <c r="AC276" i="3" s="1"/>
  <c r="AG273" i="6"/>
  <c r="AA274" i="6" s="1"/>
  <c r="AC274" i="6" s="1"/>
  <c r="M219" i="4" l="1"/>
  <c r="N219" i="4" s="1"/>
  <c r="C275" i="9"/>
  <c r="D273" i="9"/>
  <c r="AF274" i="6"/>
  <c r="AD274" i="6"/>
  <c r="AE274" i="6" s="1"/>
  <c r="AD276" i="3"/>
  <c r="AE276" i="3" s="1"/>
  <c r="AF276" i="3"/>
  <c r="E219" i="9" l="1"/>
  <c r="G220" i="4"/>
  <c r="J220" i="4" s="1"/>
  <c r="AG274" i="6"/>
  <c r="AA275" i="6" s="1"/>
  <c r="AC275" i="6" s="1"/>
  <c r="AG276" i="3"/>
  <c r="AA277" i="3" s="1"/>
  <c r="AC277" i="3" s="1"/>
  <c r="K220" i="4" l="1"/>
  <c r="L220" i="4" s="1"/>
  <c r="D274" i="9"/>
  <c r="C276" i="9"/>
  <c r="AF275" i="6"/>
  <c r="AD275" i="6"/>
  <c r="AE275" i="6" s="1"/>
  <c r="AD277" i="3"/>
  <c r="AE277" i="3" s="1"/>
  <c r="AF277" i="3"/>
  <c r="M220" i="4" l="1"/>
  <c r="N220" i="4" s="1"/>
  <c r="AG275" i="6"/>
  <c r="AA276" i="6" s="1"/>
  <c r="AC276" i="6" s="1"/>
  <c r="AG277" i="3"/>
  <c r="AA278" i="3" s="1"/>
  <c r="AC278" i="3" s="1"/>
  <c r="E220" i="9" l="1"/>
  <c r="G221" i="4"/>
  <c r="J221" i="4" s="1"/>
  <c r="D275" i="9"/>
  <c r="C277" i="9"/>
  <c r="AF276" i="6"/>
  <c r="AD276" i="6"/>
  <c r="AE276" i="6" s="1"/>
  <c r="AD278" i="3"/>
  <c r="AE278" i="3" s="1"/>
  <c r="AF278" i="3"/>
  <c r="M221" i="4" l="1"/>
  <c r="AG278" i="3"/>
  <c r="AA279" i="3" s="1"/>
  <c r="AC279" i="3" s="1"/>
  <c r="AG276" i="6"/>
  <c r="AA277" i="6" s="1"/>
  <c r="AC277" i="6" s="1"/>
  <c r="K221" i="4" l="1"/>
  <c r="L221" i="4" s="1"/>
  <c r="N221" i="4" s="1"/>
  <c r="D276" i="9"/>
  <c r="C278" i="9"/>
  <c r="C25" i="10" s="1"/>
  <c r="D25" i="10" s="1"/>
  <c r="AD277" i="6"/>
  <c r="AE277" i="6" s="1"/>
  <c r="AF277" i="6"/>
  <c r="AD279" i="3"/>
  <c r="AE279" i="3" s="1"/>
  <c r="AF279" i="3"/>
  <c r="E221" i="9" l="1"/>
  <c r="G222" i="4"/>
  <c r="J222" i="4" s="1"/>
  <c r="E25" i="10" a="1"/>
  <c r="E25" i="10" s="1"/>
  <c r="AG279" i="3"/>
  <c r="AA280" i="3" s="1"/>
  <c r="AC280" i="3" s="1"/>
  <c r="AG277" i="6"/>
  <c r="AA278" i="6" s="1"/>
  <c r="AC278" i="6" s="1"/>
  <c r="K222" i="4" l="1"/>
  <c r="L222" i="4" s="1"/>
  <c r="C279" i="9"/>
  <c r="D277" i="9"/>
  <c r="AF280" i="3"/>
  <c r="AD280" i="3"/>
  <c r="AE280" i="3" s="1"/>
  <c r="AF278" i="6"/>
  <c r="AD278" i="6"/>
  <c r="AE278" i="6" s="1"/>
  <c r="M222" i="4" l="1"/>
  <c r="N222" i="4" s="1"/>
  <c r="AG280" i="3"/>
  <c r="AA281" i="3" s="1"/>
  <c r="AC281" i="3" s="1"/>
  <c r="AG278" i="6"/>
  <c r="AA279" i="6" s="1"/>
  <c r="AC279" i="6" s="1"/>
  <c r="E222" i="9" l="1"/>
  <c r="G223" i="4"/>
  <c r="J223" i="4" s="1"/>
  <c r="C280" i="9"/>
  <c r="D278" i="9"/>
  <c r="H25" i="10" s="1"/>
  <c r="I25" i="10" s="1"/>
  <c r="AD281" i="3"/>
  <c r="AE281" i="3" s="1"/>
  <c r="AF281" i="3"/>
  <c r="AF279" i="6"/>
  <c r="AD279" i="6"/>
  <c r="AE279" i="6" s="1"/>
  <c r="J25" i="10" l="1" a="1"/>
  <c r="J25" i="10" s="1"/>
  <c r="AG279" i="6"/>
  <c r="AA280" i="6" s="1"/>
  <c r="AC280" i="6" s="1"/>
  <c r="AG281" i="3"/>
  <c r="C281" i="9" s="1"/>
  <c r="K223" i="4" l="1"/>
  <c r="L223" i="4" s="1"/>
  <c r="M223" i="4"/>
  <c r="D279" i="9"/>
  <c r="AA282" i="3"/>
  <c r="AC282" i="3" s="1"/>
  <c r="AF282" i="3" s="1"/>
  <c r="AF280" i="6"/>
  <c r="AD280" i="6"/>
  <c r="AE280" i="6" s="1"/>
  <c r="N223" i="4" l="1"/>
  <c r="E223" i="9" s="1"/>
  <c r="AD282" i="3"/>
  <c r="AE282" i="3" s="1"/>
  <c r="AG282" i="3" s="1"/>
  <c r="AG280" i="6"/>
  <c r="AA281" i="6" s="1"/>
  <c r="AC281" i="6" s="1"/>
  <c r="G224" i="4" l="1"/>
  <c r="J224" i="4" s="1"/>
  <c r="M224" i="4" s="1"/>
  <c r="C282" i="9"/>
  <c r="AA283" i="3"/>
  <c r="AC283" i="3" s="1"/>
  <c r="AF283" i="3" s="1"/>
  <c r="D280" i="9"/>
  <c r="AF281" i="6"/>
  <c r="AD281" i="6"/>
  <c r="AE281" i="6" s="1"/>
  <c r="K224" i="4" l="1"/>
  <c r="L224" i="4" s="1"/>
  <c r="N224" i="4" s="1"/>
  <c r="AD283" i="3"/>
  <c r="AE283" i="3" s="1"/>
  <c r="AG283" i="3" s="1"/>
  <c r="AA284" i="3" s="1"/>
  <c r="AC284" i="3" s="1"/>
  <c r="AG281" i="6"/>
  <c r="AA282" i="6" s="1"/>
  <c r="AC282" i="6" s="1"/>
  <c r="E224" i="9" l="1"/>
  <c r="G225" i="4"/>
  <c r="J225" i="4" s="1"/>
  <c r="C283" i="9"/>
  <c r="D281" i="9"/>
  <c r="AF284" i="3"/>
  <c r="AD284" i="3"/>
  <c r="AE284" i="3" s="1"/>
  <c r="AD282" i="6"/>
  <c r="AE282" i="6" s="1"/>
  <c r="AF282" i="6"/>
  <c r="AG284" i="3" l="1"/>
  <c r="AA285" i="3" s="1"/>
  <c r="AC285" i="3" s="1"/>
  <c r="AG282" i="6"/>
  <c r="AA283" i="6" s="1"/>
  <c r="AC283" i="6" s="1"/>
  <c r="M225" i="4" l="1"/>
  <c r="K225" i="4"/>
  <c r="L225" i="4" s="1"/>
  <c r="C284" i="9"/>
  <c r="D282" i="9"/>
  <c r="AD283" i="6"/>
  <c r="AE283" i="6" s="1"/>
  <c r="AF283" i="6"/>
  <c r="AD285" i="3"/>
  <c r="AE285" i="3" s="1"/>
  <c r="AF285" i="3"/>
  <c r="N225" i="4" l="1"/>
  <c r="G226" i="4" s="1"/>
  <c r="J226" i="4" s="1"/>
  <c r="AG285" i="3"/>
  <c r="AA286" i="3" s="1"/>
  <c r="AC286" i="3" s="1"/>
  <c r="AG283" i="6"/>
  <c r="AA284" i="6" s="1"/>
  <c r="AC284" i="6" s="1"/>
  <c r="E225" i="9" l="1"/>
  <c r="M226" i="4"/>
  <c r="K226" i="4"/>
  <c r="L226" i="4" s="1"/>
  <c r="C285" i="9"/>
  <c r="D283" i="9"/>
  <c r="AD284" i="6"/>
  <c r="AE284" i="6" s="1"/>
  <c r="AF284" i="6"/>
  <c r="AF286" i="3"/>
  <c r="AD286" i="3"/>
  <c r="AE286" i="3" s="1"/>
  <c r="N226" i="4" l="1"/>
  <c r="G227" i="4" s="1"/>
  <c r="J227" i="4" s="1"/>
  <c r="AG286" i="3"/>
  <c r="AA287" i="3" s="1"/>
  <c r="AC287" i="3" s="1"/>
  <c r="AG284" i="6"/>
  <c r="AA285" i="6" s="1"/>
  <c r="AC285" i="6" s="1"/>
  <c r="E226" i="9" l="1"/>
  <c r="K227" i="4"/>
  <c r="L227" i="4" s="1"/>
  <c r="M227" i="4"/>
  <c r="C286" i="9"/>
  <c r="D284" i="9"/>
  <c r="AD285" i="6"/>
  <c r="AE285" i="6" s="1"/>
  <c r="AF285" i="6"/>
  <c r="AF287" i="3"/>
  <c r="AD287" i="3"/>
  <c r="AE287" i="3" s="1"/>
  <c r="N227" i="4" l="1"/>
  <c r="E227" i="9" s="1"/>
  <c r="AG285" i="6"/>
  <c r="AA286" i="6" s="1"/>
  <c r="AC286" i="6" s="1"/>
  <c r="AG287" i="3"/>
  <c r="AA288" i="3" s="1"/>
  <c r="AC288" i="3" s="1"/>
  <c r="D285" i="9"/>
  <c r="G228" i="4" l="1"/>
  <c r="J228" i="4" s="1"/>
  <c r="C287" i="9"/>
  <c r="AD286" i="6"/>
  <c r="AE286" i="6" s="1"/>
  <c r="AF286" i="6"/>
  <c r="AD288" i="3"/>
  <c r="AE288" i="3" s="1"/>
  <c r="AF288" i="3"/>
  <c r="M228" i="4" l="1"/>
  <c r="K228" i="4"/>
  <c r="L228" i="4" s="1"/>
  <c r="AG288" i="3"/>
  <c r="AA289" i="3" s="1"/>
  <c r="AC289" i="3" s="1"/>
  <c r="AG286" i="6"/>
  <c r="AA287" i="6" s="1"/>
  <c r="AC287" i="6" s="1"/>
  <c r="C288" i="9"/>
  <c r="N228" i="4" l="1"/>
  <c r="G229" i="4" s="1"/>
  <c r="J229" i="4" s="1"/>
  <c r="D286" i="9"/>
  <c r="AF287" i="6"/>
  <c r="AD287" i="6"/>
  <c r="AE287" i="6" s="1"/>
  <c r="AD289" i="3"/>
  <c r="AE289" i="3" s="1"/>
  <c r="AF289" i="3"/>
  <c r="E228" i="9" l="1"/>
  <c r="M229" i="4"/>
  <c r="K229" i="4"/>
  <c r="L229" i="4" s="1"/>
  <c r="AG287" i="6"/>
  <c r="AA288" i="6" s="1"/>
  <c r="AC288" i="6" s="1"/>
  <c r="AG289" i="3"/>
  <c r="AA290" i="3" s="1"/>
  <c r="AC290" i="3" s="1"/>
  <c r="N229" i="4" l="1"/>
  <c r="G230" i="4" s="1"/>
  <c r="J230" i="4" s="1"/>
  <c r="D287" i="9"/>
  <c r="C289" i="9"/>
  <c r="AD288" i="6"/>
  <c r="AE288" i="6" s="1"/>
  <c r="AF288" i="6"/>
  <c r="AF290" i="3"/>
  <c r="AD290" i="3"/>
  <c r="AE290" i="3" s="1"/>
  <c r="E229" i="9" l="1"/>
  <c r="K230" i="4"/>
  <c r="L230" i="4" s="1"/>
  <c r="M230" i="4"/>
  <c r="AG290" i="3"/>
  <c r="AA291" i="3" s="1"/>
  <c r="AC291" i="3" s="1"/>
  <c r="AG288" i="6"/>
  <c r="AA289" i="6" s="1"/>
  <c r="AC289" i="6" s="1"/>
  <c r="N230" i="4" l="1"/>
  <c r="E230" i="9" s="1"/>
  <c r="M21" i="10" s="1"/>
  <c r="C290" i="9"/>
  <c r="C26" i="10" s="1"/>
  <c r="D26" i="10" s="1"/>
  <c r="D288" i="9"/>
  <c r="AF291" i="3"/>
  <c r="AD291" i="3"/>
  <c r="AE291" i="3" s="1"/>
  <c r="AD289" i="6"/>
  <c r="AE289" i="6" s="1"/>
  <c r="AF289" i="6"/>
  <c r="G231" i="4" l="1"/>
  <c r="J231" i="4" s="1"/>
  <c r="M231" i="4" s="1"/>
  <c r="N21" i="10"/>
  <c r="O21" i="10" a="1"/>
  <c r="O21" i="10" s="1"/>
  <c r="E26" i="10" a="1"/>
  <c r="E26" i="10" s="1"/>
  <c r="AG291" i="3"/>
  <c r="C291" i="9" s="1"/>
  <c r="AG289" i="6"/>
  <c r="AA290" i="6" s="1"/>
  <c r="AC290" i="6" s="1"/>
  <c r="K231" i="4" l="1"/>
  <c r="L231" i="4" s="1"/>
  <c r="N231" i="4" s="1"/>
  <c r="AA292" i="3"/>
  <c r="AC292" i="3" s="1"/>
  <c r="AD292" i="3" s="1"/>
  <c r="AE292" i="3" s="1"/>
  <c r="D289" i="9"/>
  <c r="AF290" i="6"/>
  <c r="AD290" i="6"/>
  <c r="AE290" i="6" s="1"/>
  <c r="E231" i="9" l="1"/>
  <c r="G232" i="4"/>
  <c r="J232" i="4" s="1"/>
  <c r="AF292" i="3"/>
  <c r="AG292" i="3" s="1"/>
  <c r="AA293" i="3" s="1"/>
  <c r="AC293" i="3" s="1"/>
  <c r="AG290" i="6"/>
  <c r="AA291" i="6" s="1"/>
  <c r="AC291" i="6" s="1"/>
  <c r="K232" i="4" l="1"/>
  <c r="L232" i="4" s="1"/>
  <c r="C292" i="9"/>
  <c r="D290" i="9"/>
  <c r="H26" i="10" s="1"/>
  <c r="I26" i="10" s="1"/>
  <c r="AD293" i="3"/>
  <c r="AE293" i="3" s="1"/>
  <c r="AF293" i="3"/>
  <c r="AF291" i="6"/>
  <c r="AD291" i="6"/>
  <c r="AE291" i="6" s="1"/>
  <c r="M232" i="4" l="1"/>
  <c r="N232" i="4" s="1"/>
  <c r="J26" i="10" a="1"/>
  <c r="J26" i="10" s="1"/>
  <c r="AG291" i="6"/>
  <c r="AA292" i="6" s="1"/>
  <c r="AC292" i="6" s="1"/>
  <c r="AG293" i="3"/>
  <c r="C293" i="9" s="1"/>
  <c r="E232" i="9" l="1"/>
  <c r="G233" i="4"/>
  <c r="J233" i="4" s="1"/>
  <c r="D291" i="9"/>
  <c r="AA294" i="3"/>
  <c r="AC294" i="3" s="1"/>
  <c r="AF294" i="3" s="1"/>
  <c r="AD292" i="6"/>
  <c r="AE292" i="6" s="1"/>
  <c r="AF292" i="6"/>
  <c r="M233" i="4" l="1"/>
  <c r="AD294" i="3"/>
  <c r="AE294" i="3" s="1"/>
  <c r="AG294" i="3" s="1"/>
  <c r="AA295" i="3" s="1"/>
  <c r="AC295" i="3" s="1"/>
  <c r="AG292" i="6"/>
  <c r="AA293" i="6" s="1"/>
  <c r="AC293" i="6" s="1"/>
  <c r="K233" i="4" l="1"/>
  <c r="L233" i="4" s="1"/>
  <c r="N233" i="4" s="1"/>
  <c r="C294" i="9"/>
  <c r="D292" i="9"/>
  <c r="AF293" i="6"/>
  <c r="AD293" i="6"/>
  <c r="AE293" i="6" s="1"/>
  <c r="AF295" i="3"/>
  <c r="AD295" i="3"/>
  <c r="AE295" i="3" s="1"/>
  <c r="G234" i="4" l="1"/>
  <c r="J234" i="4" s="1"/>
  <c r="E233" i="9"/>
  <c r="AG293" i="6"/>
  <c r="AA294" i="6" s="1"/>
  <c r="AC294" i="6" s="1"/>
  <c r="AG295" i="3"/>
  <c r="AA296" i="3" s="1"/>
  <c r="AC296" i="3" s="1"/>
  <c r="K234" i="4" l="1"/>
  <c r="L234" i="4" s="1"/>
  <c r="M234" i="4"/>
  <c r="D293" i="9"/>
  <c r="C295" i="9"/>
  <c r="AF294" i="6"/>
  <c r="AD294" i="6"/>
  <c r="AE294" i="6" s="1"/>
  <c r="AD296" i="3"/>
  <c r="AE296" i="3" s="1"/>
  <c r="AF296" i="3"/>
  <c r="N234" i="4" l="1"/>
  <c r="G235" i="4" s="1"/>
  <c r="J235" i="4" s="1"/>
  <c r="AG294" i="6"/>
  <c r="AA295" i="6" s="1"/>
  <c r="AC295" i="6" s="1"/>
  <c r="AG296" i="3"/>
  <c r="AA297" i="3" s="1"/>
  <c r="AC297" i="3" s="1"/>
  <c r="E234" i="9" l="1"/>
  <c r="K235" i="4"/>
  <c r="L235" i="4" s="1"/>
  <c r="M235" i="4"/>
  <c r="D294" i="9"/>
  <c r="C296" i="9"/>
  <c r="AF295" i="6"/>
  <c r="AD295" i="6"/>
  <c r="AE295" i="6" s="1"/>
  <c r="AD297" i="3"/>
  <c r="AE297" i="3" s="1"/>
  <c r="AF297" i="3"/>
  <c r="N235" i="4" l="1"/>
  <c r="G236" i="4" s="1"/>
  <c r="J236" i="4" s="1"/>
  <c r="AG297" i="3"/>
  <c r="AA298" i="3" s="1"/>
  <c r="AC298" i="3" s="1"/>
  <c r="AG295" i="6"/>
  <c r="AA296" i="6" s="1"/>
  <c r="AC296" i="6" s="1"/>
  <c r="E235" i="9" l="1"/>
  <c r="M236" i="4"/>
  <c r="K236" i="4"/>
  <c r="L236" i="4" s="1"/>
  <c r="C297" i="9"/>
  <c r="D295" i="9"/>
  <c r="AF296" i="6"/>
  <c r="AD296" i="6"/>
  <c r="AE296" i="6" s="1"/>
  <c r="AD298" i="3"/>
  <c r="AE298" i="3" s="1"/>
  <c r="AF298" i="3"/>
  <c r="N236" i="4" l="1"/>
  <c r="G237" i="4" s="1"/>
  <c r="J237" i="4" s="1"/>
  <c r="AG298" i="3"/>
  <c r="AA299" i="3" s="1"/>
  <c r="AC299" i="3" s="1"/>
  <c r="AG296" i="6"/>
  <c r="AA297" i="6" s="1"/>
  <c r="AC297" i="6" s="1"/>
  <c r="E236" i="9" l="1"/>
  <c r="M237" i="4"/>
  <c r="K237" i="4"/>
  <c r="L237" i="4" s="1"/>
  <c r="N237" i="4" s="1"/>
  <c r="D296" i="9"/>
  <c r="C298" i="9"/>
  <c r="AF297" i="6"/>
  <c r="AD297" i="6"/>
  <c r="AE297" i="6" s="1"/>
  <c r="AF299" i="3"/>
  <c r="AD299" i="3"/>
  <c r="AE299" i="3" s="1"/>
  <c r="E237" i="9" l="1"/>
  <c r="G238" i="4"/>
  <c r="J238" i="4" s="1"/>
  <c r="AG299" i="3"/>
  <c r="AA300" i="3" s="1"/>
  <c r="AC300" i="3" s="1"/>
  <c r="AG297" i="6"/>
  <c r="D297" i="9" s="1"/>
  <c r="C299" i="9" l="1"/>
  <c r="M238" i="4"/>
  <c r="K238" i="4"/>
  <c r="L238" i="4" s="1"/>
  <c r="AA298" i="6"/>
  <c r="AC298" i="6" s="1"/>
  <c r="AF298" i="6" s="1"/>
  <c r="AD300" i="3"/>
  <c r="AE300" i="3" s="1"/>
  <c r="AF300" i="3"/>
  <c r="N238" i="4" l="1"/>
  <c r="E238" i="9" s="1"/>
  <c r="AD298" i="6"/>
  <c r="AE298" i="6" s="1"/>
  <c r="AG300" i="3"/>
  <c r="AA301" i="3" s="1"/>
  <c r="AC301" i="3" s="1"/>
  <c r="AG298" i="6"/>
  <c r="AA299" i="6" s="1"/>
  <c r="AC299" i="6" s="1"/>
  <c r="G239" i="4" l="1"/>
  <c r="J239" i="4" s="1"/>
  <c r="K239" i="4" s="1"/>
  <c r="L239" i="4" s="1"/>
  <c r="D298" i="9"/>
  <c r="C300" i="9"/>
  <c r="AF299" i="6"/>
  <c r="AD299" i="6"/>
  <c r="AE299" i="6" s="1"/>
  <c r="AD301" i="3"/>
  <c r="AE301" i="3" s="1"/>
  <c r="AF301" i="3"/>
  <c r="M239" i="4" l="1"/>
  <c r="N239" i="4"/>
  <c r="E239" i="9" s="1"/>
  <c r="AG299" i="6"/>
  <c r="AA300" i="6" s="1"/>
  <c r="AC300" i="6" s="1"/>
  <c r="AG301" i="3"/>
  <c r="AA302" i="3" s="1"/>
  <c r="AC302" i="3" s="1"/>
  <c r="G240" i="4" l="1"/>
  <c r="J240" i="4" s="1"/>
  <c r="K240" i="4" s="1"/>
  <c r="L240" i="4" s="1"/>
  <c r="D299" i="9"/>
  <c r="C301" i="9"/>
  <c r="AD300" i="6"/>
  <c r="AE300" i="6" s="1"/>
  <c r="AF300" i="6"/>
  <c r="AF302" i="3"/>
  <c r="AD302" i="3"/>
  <c r="AE302" i="3" s="1"/>
  <c r="M240" i="4" l="1"/>
  <c r="N240" i="4" s="1"/>
  <c r="AG302" i="3"/>
  <c r="AA303" i="3" s="1"/>
  <c r="AC303" i="3" s="1"/>
  <c r="AG300" i="6"/>
  <c r="AA301" i="6" s="1"/>
  <c r="AC301" i="6" s="1"/>
  <c r="E240" i="9" l="1"/>
  <c r="G241" i="4"/>
  <c r="J241" i="4" s="1"/>
  <c r="C302" i="9"/>
  <c r="C27" i="10" s="1"/>
  <c r="D27" i="10" s="1"/>
  <c r="D300" i="9"/>
  <c r="AD301" i="6"/>
  <c r="AE301" i="6" s="1"/>
  <c r="AF301" i="6"/>
  <c r="AD303" i="3"/>
  <c r="AE303" i="3" s="1"/>
  <c r="AF303" i="3"/>
  <c r="K241" i="4" l="1"/>
  <c r="L241" i="4" s="1"/>
  <c r="E27" i="10" a="1"/>
  <c r="E27" i="10" s="1"/>
  <c r="AG301" i="6"/>
  <c r="AA302" i="6" s="1"/>
  <c r="AC302" i="6" s="1"/>
  <c r="AG303" i="3"/>
  <c r="AA304" i="3" s="1"/>
  <c r="AC304" i="3" s="1"/>
  <c r="M241" i="4" l="1"/>
  <c r="N241" i="4" s="1"/>
  <c r="D301" i="9"/>
  <c r="C303" i="9"/>
  <c r="AF302" i="6"/>
  <c r="AD302" i="6"/>
  <c r="AE302" i="6" s="1"/>
  <c r="AD304" i="3"/>
  <c r="AE304" i="3" s="1"/>
  <c r="AF304" i="3"/>
  <c r="G242" i="4" l="1"/>
  <c r="J242" i="4" s="1"/>
  <c r="E241" i="9"/>
  <c r="AG302" i="6"/>
  <c r="D302" i="9" s="1"/>
  <c r="H27" i="10" s="1"/>
  <c r="AG304" i="3"/>
  <c r="AA305" i="3" s="1"/>
  <c r="AC305" i="3" s="1"/>
  <c r="M242" i="4" l="1"/>
  <c r="K242" i="4"/>
  <c r="L242" i="4" s="1"/>
  <c r="AA303" i="6"/>
  <c r="AC303" i="6" s="1"/>
  <c r="AD303" i="6" s="1"/>
  <c r="AE303" i="6" s="1"/>
  <c r="C304" i="9"/>
  <c r="AD305" i="3"/>
  <c r="AE305" i="3" s="1"/>
  <c r="AF305" i="3"/>
  <c r="J27" i="10" a="1"/>
  <c r="J27" i="10" s="1"/>
  <c r="I27" i="10"/>
  <c r="N242" i="4" l="1"/>
  <c r="G243" i="4" s="1"/>
  <c r="J243" i="4" s="1"/>
  <c r="AF303" i="6"/>
  <c r="AG303" i="6" s="1"/>
  <c r="AA304" i="6" s="1"/>
  <c r="AC304" i="6" s="1"/>
  <c r="AG305" i="3"/>
  <c r="AA306" i="3" s="1"/>
  <c r="AC306" i="3" s="1"/>
  <c r="E242" i="9" l="1"/>
  <c r="M22" i="10" s="1"/>
  <c r="O22" i="10" s="1" a="1"/>
  <c r="O22" i="10" s="1"/>
  <c r="M243" i="4"/>
  <c r="K243" i="4"/>
  <c r="L243" i="4" s="1"/>
  <c r="C305" i="9"/>
  <c r="D303" i="9"/>
  <c r="AD306" i="3"/>
  <c r="AE306" i="3" s="1"/>
  <c r="AF306" i="3"/>
  <c r="AF304" i="6"/>
  <c r="AD304" i="6"/>
  <c r="AE304" i="6" s="1"/>
  <c r="N22" i="10" l="1"/>
  <c r="N243" i="4"/>
  <c r="E243" i="9" s="1"/>
  <c r="AG304" i="6"/>
  <c r="AA305" i="6" s="1"/>
  <c r="AC305" i="6" s="1"/>
  <c r="AG306" i="3"/>
  <c r="AA307" i="3" s="1"/>
  <c r="AC307" i="3" s="1"/>
  <c r="G244" i="4" l="1"/>
  <c r="J244" i="4" s="1"/>
  <c r="K244" i="4" s="1"/>
  <c r="L244" i="4" s="1"/>
  <c r="D304" i="9"/>
  <c r="C306" i="9"/>
  <c r="AD307" i="3"/>
  <c r="AE307" i="3" s="1"/>
  <c r="AF307" i="3"/>
  <c r="AD305" i="6"/>
  <c r="AE305" i="6" s="1"/>
  <c r="AF305" i="6"/>
  <c r="M244" i="4" l="1"/>
  <c r="N244" i="4" s="1"/>
  <c r="AG305" i="6"/>
  <c r="D305" i="9" s="1"/>
  <c r="AG307" i="3"/>
  <c r="AA308" i="3" s="1"/>
  <c r="AC308" i="3" s="1"/>
  <c r="G245" i="4" l="1"/>
  <c r="J245" i="4" s="1"/>
  <c r="E244" i="9"/>
  <c r="C307" i="9"/>
  <c r="AA306" i="6"/>
  <c r="AC306" i="6" s="1"/>
  <c r="AF306" i="6" s="1"/>
  <c r="AF308" i="3"/>
  <c r="AD308" i="3"/>
  <c r="AE308" i="3" s="1"/>
  <c r="K245" i="4" l="1"/>
  <c r="L245" i="4" s="1"/>
  <c r="AD306" i="6"/>
  <c r="AE306" i="6" s="1"/>
  <c r="AG306" i="6" s="1"/>
  <c r="AG308" i="3"/>
  <c r="AA309" i="3" s="1"/>
  <c r="AC309" i="3" s="1"/>
  <c r="M245" i="4" l="1"/>
  <c r="N245" i="4" s="1"/>
  <c r="AA307" i="6"/>
  <c r="AC307" i="6" s="1"/>
  <c r="AD307" i="6" s="1"/>
  <c r="AE307" i="6" s="1"/>
  <c r="D306" i="9"/>
  <c r="C308" i="9"/>
  <c r="AF307" i="6"/>
  <c r="AD309" i="3"/>
  <c r="AE309" i="3" s="1"/>
  <c r="AF309" i="3"/>
  <c r="G246" i="4" l="1"/>
  <c r="J246" i="4" s="1"/>
  <c r="E245" i="9"/>
  <c r="AG307" i="6"/>
  <c r="AA308" i="6" s="1"/>
  <c r="AC308" i="6" s="1"/>
  <c r="AG309" i="3"/>
  <c r="AA310" i="3" s="1"/>
  <c r="AC310" i="3" s="1"/>
  <c r="K246" i="4" l="1"/>
  <c r="L246" i="4" s="1"/>
  <c r="M246" i="4"/>
  <c r="D307" i="9"/>
  <c r="C309" i="9"/>
  <c r="AD308" i="6"/>
  <c r="AE308" i="6" s="1"/>
  <c r="AF308" i="6"/>
  <c r="AD310" i="3"/>
  <c r="AE310" i="3" s="1"/>
  <c r="AF310" i="3"/>
  <c r="N246" i="4" l="1"/>
  <c r="E246" i="9" s="1"/>
  <c r="AG308" i="6"/>
  <c r="D308" i="9" s="1"/>
  <c r="AG310" i="3"/>
  <c r="AA311" i="3" s="1"/>
  <c r="AC311" i="3" s="1"/>
  <c r="G247" i="4" l="1"/>
  <c r="J247" i="4" s="1"/>
  <c r="AA309" i="6"/>
  <c r="AC309" i="6" s="1"/>
  <c r="AD309" i="6" s="1"/>
  <c r="AE309" i="6" s="1"/>
  <c r="C310" i="9"/>
  <c r="AD311" i="3"/>
  <c r="AE311" i="3" s="1"/>
  <c r="AF311" i="3"/>
  <c r="K247" i="4" l="1"/>
  <c r="L247" i="4" s="1"/>
  <c r="M247" i="4"/>
  <c r="AF309" i="6"/>
  <c r="AG309" i="6" s="1"/>
  <c r="AA310" i="6" s="1"/>
  <c r="AC310" i="6" s="1"/>
  <c r="AG311" i="3"/>
  <c r="AA312" i="3" s="1"/>
  <c r="AC312" i="3" s="1"/>
  <c r="C311" i="9" l="1"/>
  <c r="N247" i="4"/>
  <c r="E247" i="9" s="1"/>
  <c r="D309" i="9"/>
  <c r="AD312" i="3"/>
  <c r="AE312" i="3" s="1"/>
  <c r="AF312" i="3"/>
  <c r="AD310" i="6"/>
  <c r="AE310" i="6" s="1"/>
  <c r="AF310" i="6"/>
  <c r="G248" i="4" l="1"/>
  <c r="J248" i="4" s="1"/>
  <c r="K248" i="4" s="1"/>
  <c r="L248" i="4" s="1"/>
  <c r="AG310" i="6"/>
  <c r="AA311" i="6" s="1"/>
  <c r="AC311" i="6" s="1"/>
  <c r="AG312" i="3"/>
  <c r="AA313" i="3" s="1"/>
  <c r="AC313" i="3" s="1"/>
  <c r="M248" i="4" l="1"/>
  <c r="N248" i="4" s="1"/>
  <c r="D310" i="9"/>
  <c r="C312" i="9"/>
  <c r="AD313" i="3"/>
  <c r="AE313" i="3" s="1"/>
  <c r="AF313" i="3"/>
  <c r="AD311" i="6"/>
  <c r="AE311" i="6" s="1"/>
  <c r="AF311" i="6"/>
  <c r="E248" i="9" l="1"/>
  <c r="G249" i="4"/>
  <c r="J249" i="4" s="1"/>
  <c r="AG311" i="6"/>
  <c r="AA312" i="6" s="1"/>
  <c r="AC312" i="6" s="1"/>
  <c r="AG313" i="3"/>
  <c r="AA314" i="3" s="1"/>
  <c r="AC314" i="3" s="1"/>
  <c r="M249" i="4" l="1"/>
  <c r="K249" i="4"/>
  <c r="L249" i="4" s="1"/>
  <c r="C313" i="9"/>
  <c r="D311" i="9"/>
  <c r="AF314" i="3"/>
  <c r="AD314" i="3"/>
  <c r="AE314" i="3" s="1"/>
  <c r="AF312" i="6"/>
  <c r="AD312" i="6"/>
  <c r="AE312" i="6" s="1"/>
  <c r="N249" i="4" l="1"/>
  <c r="E249" i="9" s="1"/>
  <c r="AG312" i="6"/>
  <c r="AA313" i="6" s="1"/>
  <c r="AC313" i="6" s="1"/>
  <c r="AG314" i="3"/>
  <c r="C314" i="9" s="1"/>
  <c r="C28" i="10" s="1"/>
  <c r="D312" i="9"/>
  <c r="G250" i="4" l="1"/>
  <c r="J250" i="4" s="1"/>
  <c r="AA315" i="3"/>
  <c r="AC315" i="3" s="1"/>
  <c r="AF315" i="3" s="1"/>
  <c r="E28" i="10" a="1"/>
  <c r="E28" i="10" s="1"/>
  <c r="D28" i="10"/>
  <c r="AF313" i="6"/>
  <c r="AD313" i="6"/>
  <c r="AE313" i="6" s="1"/>
  <c r="K250" i="4" l="1"/>
  <c r="L250" i="4" s="1"/>
  <c r="M250" i="4"/>
  <c r="AD315" i="3"/>
  <c r="AE315" i="3" s="1"/>
  <c r="AG315" i="3" s="1"/>
  <c r="AA316" i="3" s="1"/>
  <c r="AC316" i="3" s="1"/>
  <c r="AG313" i="6"/>
  <c r="AA314" i="6" s="1"/>
  <c r="AC314" i="6" s="1"/>
  <c r="N250" i="4" l="1"/>
  <c r="G251" i="4" s="1"/>
  <c r="J251" i="4" s="1"/>
  <c r="D313" i="9"/>
  <c r="C315" i="9"/>
  <c r="AD316" i="3"/>
  <c r="AE316" i="3" s="1"/>
  <c r="AF316" i="3"/>
  <c r="AF314" i="6"/>
  <c r="AD314" i="6"/>
  <c r="AE314" i="6" s="1"/>
  <c r="E250" i="9" l="1"/>
  <c r="M251" i="4"/>
  <c r="K251" i="4"/>
  <c r="L251" i="4" s="1"/>
  <c r="AG314" i="6"/>
  <c r="AA315" i="6" s="1"/>
  <c r="AC315" i="6" s="1"/>
  <c r="AG316" i="3"/>
  <c r="C316" i="9" s="1"/>
  <c r="N251" i="4" l="1"/>
  <c r="G252" i="4" s="1"/>
  <c r="J252" i="4" s="1"/>
  <c r="AA317" i="3"/>
  <c r="AC317" i="3" s="1"/>
  <c r="AF317" i="3" s="1"/>
  <c r="D314" i="9"/>
  <c r="H28" i="10" s="1"/>
  <c r="J28" i="10" s="1" a="1"/>
  <c r="J28" i="10" s="1"/>
  <c r="AF315" i="6"/>
  <c r="AD315" i="6"/>
  <c r="AE315" i="6" s="1"/>
  <c r="E251" i="9" l="1"/>
  <c r="M252" i="4"/>
  <c r="AD317" i="3"/>
  <c r="AE317" i="3" s="1"/>
  <c r="AG317" i="3" s="1"/>
  <c r="AA318" i="3" s="1"/>
  <c r="AC318" i="3" s="1"/>
  <c r="I28" i="10"/>
  <c r="AG315" i="6"/>
  <c r="AA316" i="6" s="1"/>
  <c r="AC316" i="6" s="1"/>
  <c r="K252" i="4" l="1"/>
  <c r="L252" i="4" s="1"/>
  <c r="N252" i="4" s="1"/>
  <c r="D315" i="9"/>
  <c r="C317" i="9"/>
  <c r="AD316" i="6"/>
  <c r="AE316" i="6" s="1"/>
  <c r="AF316" i="6"/>
  <c r="AF318" i="3"/>
  <c r="AD318" i="3"/>
  <c r="AE318" i="3" s="1"/>
  <c r="G253" i="4" l="1"/>
  <c r="J253" i="4" s="1"/>
  <c r="E252" i="9"/>
  <c r="AG318" i="3"/>
  <c r="C318" i="9" s="1"/>
  <c r="AG316" i="6"/>
  <c r="D316" i="9" s="1"/>
  <c r="M253" i="4" l="1"/>
  <c r="K253" i="4"/>
  <c r="L253" i="4" s="1"/>
  <c r="AA319" i="3"/>
  <c r="AC319" i="3" s="1"/>
  <c r="AD319" i="3" s="1"/>
  <c r="AE319" i="3" s="1"/>
  <c r="AA317" i="6"/>
  <c r="AC317" i="6" s="1"/>
  <c r="AF317" i="6" s="1"/>
  <c r="N253" i="4" l="1"/>
  <c r="E253" i="9" s="1"/>
  <c r="AF319" i="3"/>
  <c r="AG319" i="3" s="1"/>
  <c r="AA320" i="3" s="1"/>
  <c r="AC320" i="3" s="1"/>
  <c r="AD317" i="6"/>
  <c r="AE317" i="6" s="1"/>
  <c r="AG317" i="6" s="1"/>
  <c r="G254" i="4" l="1"/>
  <c r="J254" i="4" s="1"/>
  <c r="K254" i="4" s="1"/>
  <c r="L254" i="4" s="1"/>
  <c r="D317" i="9"/>
  <c r="AA318" i="6"/>
  <c r="AC318" i="6" s="1"/>
  <c r="AD318" i="6" s="1"/>
  <c r="AE318" i="6" s="1"/>
  <c r="C319" i="9"/>
  <c r="AD320" i="3"/>
  <c r="AE320" i="3" s="1"/>
  <c r="AF320" i="3"/>
  <c r="M254" i="4" l="1"/>
  <c r="N254" i="4" s="1"/>
  <c r="AF318" i="6"/>
  <c r="AG318" i="6" s="1"/>
  <c r="AA319" i="6" s="1"/>
  <c r="AC319" i="6" s="1"/>
  <c r="AG320" i="3"/>
  <c r="C320" i="9" s="1"/>
  <c r="E254" i="9" l="1"/>
  <c r="G255" i="4"/>
  <c r="J255" i="4" s="1"/>
  <c r="AA321" i="3"/>
  <c r="AC321" i="3" s="1"/>
  <c r="AF321" i="3" s="1"/>
  <c r="D318" i="9"/>
  <c r="AD319" i="6"/>
  <c r="AE319" i="6" s="1"/>
  <c r="AF319" i="6"/>
  <c r="K255" i="4" l="1"/>
  <c r="L255" i="4" s="1"/>
  <c r="E29" i="5" a="1"/>
  <c r="E29" i="5" s="1"/>
  <c r="M23" i="10"/>
  <c r="AD321" i="3"/>
  <c r="AE321" i="3" s="1"/>
  <c r="AG321" i="3" s="1"/>
  <c r="AA322" i="3" s="1"/>
  <c r="AC322" i="3" s="1"/>
  <c r="AG319" i="6"/>
  <c r="AA320" i="6" s="1"/>
  <c r="AC320" i="6" s="1"/>
  <c r="N23" i="10" l="1"/>
  <c r="O23" i="10" a="1"/>
  <c r="O23" i="10" s="1"/>
  <c r="E61" i="5" s="1"/>
  <c r="M255" i="4"/>
  <c r="N255" i="4" s="1"/>
  <c r="D319" i="9"/>
  <c r="C321" i="9"/>
  <c r="AF320" i="6"/>
  <c r="AD320" i="6"/>
  <c r="AE320" i="6" s="1"/>
  <c r="AD322" i="3"/>
  <c r="AE322" i="3" s="1"/>
  <c r="AF322" i="3"/>
  <c r="G256" i="4" l="1"/>
  <c r="J256" i="4" s="1"/>
  <c r="E255" i="9"/>
  <c r="AG320" i="6"/>
  <c r="AA321" i="6" s="1"/>
  <c r="AC321" i="6" s="1"/>
  <c r="AG322" i="3"/>
  <c r="AA323" i="3" s="1"/>
  <c r="AC323" i="3" s="1"/>
  <c r="M256" i="4" l="1"/>
  <c r="K256" i="4"/>
  <c r="L256" i="4" s="1"/>
  <c r="D320" i="9"/>
  <c r="C322" i="9"/>
  <c r="AD321" i="6"/>
  <c r="AE321" i="6" s="1"/>
  <c r="AF321" i="6"/>
  <c r="AD323" i="3"/>
  <c r="AE323" i="3" s="1"/>
  <c r="AF323" i="3"/>
  <c r="N256" i="4" l="1"/>
  <c r="G257" i="4" s="1"/>
  <c r="J257" i="4" s="1"/>
  <c r="AG323" i="3"/>
  <c r="AA324" i="3" s="1"/>
  <c r="AC324" i="3" s="1"/>
  <c r="AG321" i="6"/>
  <c r="AA322" i="6" s="1"/>
  <c r="AC322" i="6" s="1"/>
  <c r="E256" i="9" l="1"/>
  <c r="M257" i="4"/>
  <c r="K257" i="4"/>
  <c r="L257" i="4" s="1"/>
  <c r="C323" i="9"/>
  <c r="D321" i="9"/>
  <c r="AD322" i="6"/>
  <c r="AE322" i="6" s="1"/>
  <c r="AF322" i="6"/>
  <c r="AF324" i="3"/>
  <c r="AD324" i="3"/>
  <c r="AE324" i="3" s="1"/>
  <c r="N257" i="4" l="1"/>
  <c r="E257" i="9" s="1"/>
  <c r="AG324" i="3"/>
  <c r="AA325" i="3" s="1"/>
  <c r="AC325" i="3" s="1"/>
  <c r="AG322" i="6"/>
  <c r="AA323" i="6" s="1"/>
  <c r="AC323" i="6" s="1"/>
  <c r="G258" i="4" l="1"/>
  <c r="J258" i="4" s="1"/>
  <c r="M258" i="4" s="1"/>
  <c r="D322" i="9"/>
  <c r="C324" i="9"/>
  <c r="AD323" i="6"/>
  <c r="AE323" i="6" s="1"/>
  <c r="AF323" i="6"/>
  <c r="AD325" i="3"/>
  <c r="AE325" i="3" s="1"/>
  <c r="AF325" i="3"/>
  <c r="K258" i="4" l="1"/>
  <c r="L258" i="4" s="1"/>
  <c r="N258" i="4" s="1"/>
  <c r="AG323" i="6"/>
  <c r="AA324" i="6" s="1"/>
  <c r="AC324" i="6" s="1"/>
  <c r="AG325" i="3"/>
  <c r="AA326" i="3" s="1"/>
  <c r="AC326" i="3" s="1"/>
  <c r="G259" i="4" l="1"/>
  <c r="J259" i="4" s="1"/>
  <c r="E258" i="9"/>
  <c r="D323" i="9"/>
  <c r="C325" i="9"/>
  <c r="AD324" i="6"/>
  <c r="AE324" i="6" s="1"/>
  <c r="AF324" i="6"/>
  <c r="AD326" i="3"/>
  <c r="AE326" i="3" s="1"/>
  <c r="AF326" i="3"/>
  <c r="K259" i="4" l="1"/>
  <c r="L259" i="4" s="1"/>
  <c r="AG324" i="6"/>
  <c r="D324" i="9" s="1"/>
  <c r="AG326" i="3"/>
  <c r="AA327" i="3" s="1"/>
  <c r="AC327" i="3" s="1"/>
  <c r="M259" i="4" l="1"/>
  <c r="N259" i="4" s="1"/>
  <c r="AA325" i="6"/>
  <c r="AC325" i="6" s="1"/>
  <c r="AF325" i="6" s="1"/>
  <c r="C326" i="9"/>
  <c r="C29" i="10" s="1"/>
  <c r="D29" i="10" s="1"/>
  <c r="AD327" i="3"/>
  <c r="AE327" i="3" s="1"/>
  <c r="AF327" i="3"/>
  <c r="AD325" i="6" l="1"/>
  <c r="AE325" i="6" s="1"/>
  <c r="AG325" i="6" s="1"/>
  <c r="AA326" i="6" s="1"/>
  <c r="AC326" i="6" s="1"/>
  <c r="E259" i="9"/>
  <c r="G260" i="4"/>
  <c r="J260" i="4" s="1"/>
  <c r="E29" i="10" a="1"/>
  <c r="E29" i="10" s="1"/>
  <c r="AG327" i="3"/>
  <c r="C327" i="9" s="1"/>
  <c r="M260" i="4" l="1"/>
  <c r="D325" i="9"/>
  <c r="AA328" i="3"/>
  <c r="AC328" i="3" s="1"/>
  <c r="AF328" i="3" s="1"/>
  <c r="AD326" i="6"/>
  <c r="AE326" i="6" s="1"/>
  <c r="AF326" i="6"/>
  <c r="K260" i="4" l="1"/>
  <c r="L260" i="4" s="1"/>
  <c r="N260" i="4" s="1"/>
  <c r="AD328" i="3"/>
  <c r="AE328" i="3" s="1"/>
  <c r="AG328" i="3" s="1"/>
  <c r="AA329" i="3" s="1"/>
  <c r="AC329" i="3" s="1"/>
  <c r="AG326" i="6"/>
  <c r="D326" i="9" s="1"/>
  <c r="H29" i="10" s="1"/>
  <c r="G261" i="4" l="1"/>
  <c r="J261" i="4" s="1"/>
  <c r="E260" i="9"/>
  <c r="AA327" i="6"/>
  <c r="AC327" i="6" s="1"/>
  <c r="AF327" i="6" s="1"/>
  <c r="C328" i="9"/>
  <c r="J29" i="10" a="1"/>
  <c r="J29" i="10" s="1"/>
  <c r="I29" i="10"/>
  <c r="AD329" i="3"/>
  <c r="AE329" i="3" s="1"/>
  <c r="AF329" i="3"/>
  <c r="M261" i="4" l="1"/>
  <c r="K261" i="4"/>
  <c r="L261" i="4" s="1"/>
  <c r="AD327" i="6"/>
  <c r="AE327" i="6" s="1"/>
  <c r="AG327" i="6" s="1"/>
  <c r="AA328" i="6" s="1"/>
  <c r="AC328" i="6" s="1"/>
  <c r="AG329" i="3"/>
  <c r="C329" i="9" s="1"/>
  <c r="N261" i="4" l="1"/>
  <c r="E261" i="9" s="1"/>
  <c r="AA330" i="3"/>
  <c r="AC330" i="3" s="1"/>
  <c r="AF330" i="3" s="1"/>
  <c r="D327" i="9"/>
  <c r="AF328" i="6"/>
  <c r="AD328" i="6"/>
  <c r="AE328" i="6" s="1"/>
  <c r="G262" i="4" l="1"/>
  <c r="J262" i="4" s="1"/>
  <c r="AD330" i="3"/>
  <c r="AE330" i="3" s="1"/>
  <c r="AG330" i="3" s="1"/>
  <c r="AA331" i="3" s="1"/>
  <c r="AC331" i="3" s="1"/>
  <c r="AG328" i="6"/>
  <c r="AA329" i="6" s="1"/>
  <c r="AC329" i="6" s="1"/>
  <c r="K262" i="4" l="1"/>
  <c r="L262" i="4" s="1"/>
  <c r="M262" i="4"/>
  <c r="D328" i="9"/>
  <c r="C330" i="9"/>
  <c r="AD329" i="6"/>
  <c r="AE329" i="6" s="1"/>
  <c r="AF329" i="6"/>
  <c r="AD331" i="3"/>
  <c r="AE331" i="3" s="1"/>
  <c r="AF331" i="3"/>
  <c r="N262" i="4" l="1"/>
  <c r="E262" i="9" s="1"/>
  <c r="AG329" i="6"/>
  <c r="AA330" i="6" s="1"/>
  <c r="AC330" i="6" s="1"/>
  <c r="AG331" i="3"/>
  <c r="AA332" i="3" s="1"/>
  <c r="AC332" i="3" s="1"/>
  <c r="G263" i="4" l="1"/>
  <c r="J263" i="4" s="1"/>
  <c r="D329" i="9"/>
  <c r="C331" i="9"/>
  <c r="AF330" i="6"/>
  <c r="AD330" i="6"/>
  <c r="AE330" i="6" s="1"/>
  <c r="AD332" i="3"/>
  <c r="AE332" i="3" s="1"/>
  <c r="AF332" i="3"/>
  <c r="M263" i="4" l="1"/>
  <c r="K263" i="4"/>
  <c r="L263" i="4" s="1"/>
  <c r="AG332" i="3"/>
  <c r="AA333" i="3" s="1"/>
  <c r="AC333" i="3" s="1"/>
  <c r="AG330" i="6"/>
  <c r="AA331" i="6" s="1"/>
  <c r="AC331" i="6" s="1"/>
  <c r="N263" i="4" l="1"/>
  <c r="E263" i="9"/>
  <c r="G264" i="4"/>
  <c r="J264" i="4" s="1"/>
  <c r="D330" i="9"/>
  <c r="C332" i="9"/>
  <c r="AD331" i="6"/>
  <c r="AE331" i="6" s="1"/>
  <c r="AF331" i="6"/>
  <c r="AF333" i="3"/>
  <c r="AD333" i="3"/>
  <c r="AE333" i="3" s="1"/>
  <c r="M264" i="4" l="1"/>
  <c r="K264" i="4"/>
  <c r="L264" i="4" s="1"/>
  <c r="AG333" i="3"/>
  <c r="AA334" i="3" s="1"/>
  <c r="AC334" i="3" s="1"/>
  <c r="AG331" i="6"/>
  <c r="AA332" i="6" s="1"/>
  <c r="AC332" i="6" s="1"/>
  <c r="N264" i="4" l="1"/>
  <c r="E264" i="9"/>
  <c r="G265" i="4"/>
  <c r="J265" i="4" s="1"/>
  <c r="C333" i="9"/>
  <c r="D331" i="9"/>
  <c r="AF334" i="3"/>
  <c r="AD334" i="3"/>
  <c r="AE334" i="3" s="1"/>
  <c r="AF332" i="6"/>
  <c r="AD332" i="6"/>
  <c r="AE332" i="6" s="1"/>
  <c r="M265" i="4" l="1"/>
  <c r="K265" i="4"/>
  <c r="L265" i="4" s="1"/>
  <c r="AG334" i="3"/>
  <c r="AA335" i="3" s="1"/>
  <c r="AC335" i="3" s="1"/>
  <c r="AG332" i="6"/>
  <c r="AA333" i="6" s="1"/>
  <c r="AC333" i="6" s="1"/>
  <c r="N265" i="4" l="1"/>
  <c r="C334" i="9"/>
  <c r="D332" i="9"/>
  <c r="AF335" i="3"/>
  <c r="AD335" i="3"/>
  <c r="AE335" i="3" s="1"/>
  <c r="AD333" i="6"/>
  <c r="AE333" i="6" s="1"/>
  <c r="AF333" i="6"/>
  <c r="E265" i="9" l="1"/>
  <c r="G266" i="4"/>
  <c r="J266" i="4" s="1"/>
  <c r="AG335" i="3"/>
  <c r="AA336" i="3" s="1"/>
  <c r="AC336" i="3" s="1"/>
  <c r="AG333" i="6"/>
  <c r="AA334" i="6" s="1"/>
  <c r="AC334" i="6" s="1"/>
  <c r="M266" i="4" l="1"/>
  <c r="C335" i="9"/>
  <c r="D333" i="9"/>
  <c r="AF336" i="3"/>
  <c r="AD336" i="3"/>
  <c r="AE336" i="3" s="1"/>
  <c r="AD334" i="6"/>
  <c r="AE334" i="6" s="1"/>
  <c r="AF334" i="6"/>
  <c r="K266" i="4" l="1"/>
  <c r="L266" i="4" s="1"/>
  <c r="N266" i="4" s="1"/>
  <c r="AG336" i="3"/>
  <c r="AA337" i="3" s="1"/>
  <c r="AC337" i="3" s="1"/>
  <c r="AG334" i="6"/>
  <c r="AA335" i="6" s="1"/>
  <c r="AC335" i="6" s="1"/>
  <c r="E266" i="9" l="1"/>
  <c r="M24" i="10" s="1"/>
  <c r="G267" i="4"/>
  <c r="J267" i="4" s="1"/>
  <c r="C336" i="9"/>
  <c r="D334" i="9"/>
  <c r="AD337" i="3"/>
  <c r="AE337" i="3" s="1"/>
  <c r="AF337" i="3"/>
  <c r="AD335" i="6"/>
  <c r="AE335" i="6" s="1"/>
  <c r="AF335" i="6"/>
  <c r="M267" i="4" l="1"/>
  <c r="K267" i="4"/>
  <c r="L267" i="4" s="1"/>
  <c r="O24" i="10" a="1"/>
  <c r="O24" i="10" s="1"/>
  <c r="N24" i="10"/>
  <c r="AG337" i="3"/>
  <c r="AA338" i="3" s="1"/>
  <c r="AC338" i="3" s="1"/>
  <c r="AG335" i="6"/>
  <c r="AA336" i="6" s="1"/>
  <c r="AC336" i="6" s="1"/>
  <c r="N267" i="4" l="1"/>
  <c r="C337" i="9"/>
  <c r="D335" i="9"/>
  <c r="AF338" i="3"/>
  <c r="AD338" i="3"/>
  <c r="AE338" i="3" s="1"/>
  <c r="AD336" i="6"/>
  <c r="AE336" i="6" s="1"/>
  <c r="AF336" i="6"/>
  <c r="E267" i="9" l="1"/>
  <c r="G268" i="4"/>
  <c r="J268" i="4" s="1"/>
  <c r="AG338" i="3"/>
  <c r="AA339" i="3" s="1"/>
  <c r="AC339" i="3" s="1"/>
  <c r="AG336" i="6"/>
  <c r="AA337" i="6" s="1"/>
  <c r="AC337" i="6" s="1"/>
  <c r="M268" i="4" l="1"/>
  <c r="C338" i="9"/>
  <c r="C30" i="10" s="1"/>
  <c r="D30" i="10" s="1"/>
  <c r="D336" i="9"/>
  <c r="AD339" i="3"/>
  <c r="AE339" i="3" s="1"/>
  <c r="AF339" i="3"/>
  <c r="AF337" i="6"/>
  <c r="AD337" i="6"/>
  <c r="AE337" i="6" s="1"/>
  <c r="K268" i="4" l="1"/>
  <c r="L268" i="4" s="1"/>
  <c r="N268" i="4" s="1"/>
  <c r="E30" i="10" a="1"/>
  <c r="E30" i="10" s="1"/>
  <c r="AG339" i="3"/>
  <c r="AA340" i="3" s="1"/>
  <c r="AC340" i="3" s="1"/>
  <c r="AG337" i="6"/>
  <c r="D337" i="9" s="1"/>
  <c r="E268" i="9" l="1"/>
  <c r="G269" i="4"/>
  <c r="J269" i="4" s="1"/>
  <c r="C339" i="9"/>
  <c r="AA338" i="6"/>
  <c r="AC338" i="6" s="1"/>
  <c r="AD338" i="6" s="1"/>
  <c r="AE338" i="6" s="1"/>
  <c r="AD340" i="3"/>
  <c r="AE340" i="3" s="1"/>
  <c r="AF340" i="3"/>
  <c r="M269" i="4" l="1"/>
  <c r="AF338" i="6"/>
  <c r="AG338" i="6" s="1"/>
  <c r="AA339" i="6" s="1"/>
  <c r="AC339" i="6" s="1"/>
  <c r="AG340" i="3"/>
  <c r="AA341" i="3" s="1"/>
  <c r="AC341" i="3" s="1"/>
  <c r="K269" i="4" l="1"/>
  <c r="L269" i="4" s="1"/>
  <c r="N269" i="4" s="1"/>
  <c r="C340" i="9"/>
  <c r="D338" i="9"/>
  <c r="H30" i="10" s="1"/>
  <c r="I30" i="10" s="1"/>
  <c r="AF341" i="3"/>
  <c r="AD341" i="3"/>
  <c r="AE341" i="3" s="1"/>
  <c r="AD339" i="6"/>
  <c r="AE339" i="6" s="1"/>
  <c r="AF339" i="6"/>
  <c r="G270" i="4" l="1"/>
  <c r="J270" i="4" s="1"/>
  <c r="E269" i="9"/>
  <c r="J30" i="10" a="1"/>
  <c r="J30" i="10" s="1"/>
  <c r="AG341" i="3"/>
  <c r="AA342" i="3" s="1"/>
  <c r="AC342" i="3" s="1"/>
  <c r="AG339" i="6"/>
  <c r="AA340" i="6" s="1"/>
  <c r="AC340" i="6" s="1"/>
  <c r="M270" i="4" l="1"/>
  <c r="K270" i="4"/>
  <c r="L270" i="4" s="1"/>
  <c r="C341" i="9"/>
  <c r="D339" i="9"/>
  <c r="AD342" i="3"/>
  <c r="AE342" i="3" s="1"/>
  <c r="AF342" i="3"/>
  <c r="AD340" i="6"/>
  <c r="AE340" i="6" s="1"/>
  <c r="AF340" i="6"/>
  <c r="N270" i="4" l="1"/>
  <c r="G271" i="4" s="1"/>
  <c r="J271" i="4" s="1"/>
  <c r="AG340" i="6"/>
  <c r="AA341" i="6" s="1"/>
  <c r="AC341" i="6" s="1"/>
  <c r="AG342" i="3"/>
  <c r="AA343" i="3" s="1"/>
  <c r="AC343" i="3" s="1"/>
  <c r="E270" i="9" l="1"/>
  <c r="K271" i="4"/>
  <c r="L271" i="4" s="1"/>
  <c r="M271" i="4"/>
  <c r="C342" i="9"/>
  <c r="D340" i="9"/>
  <c r="AD343" i="3"/>
  <c r="AE343" i="3" s="1"/>
  <c r="AF343" i="3"/>
  <c r="AF341" i="6"/>
  <c r="AD341" i="6"/>
  <c r="AE341" i="6" s="1"/>
  <c r="N271" i="4" l="1"/>
  <c r="E271" i="9" s="1"/>
  <c r="AG341" i="6"/>
  <c r="AA342" i="6" s="1"/>
  <c r="AC342" i="6" s="1"/>
  <c r="AG343" i="3"/>
  <c r="AA344" i="3" s="1"/>
  <c r="AC344" i="3" s="1"/>
  <c r="G272" i="4" l="1"/>
  <c r="J272" i="4" s="1"/>
  <c r="C343" i="9"/>
  <c r="D341" i="9"/>
  <c r="AF342" i="6"/>
  <c r="AD342" i="6"/>
  <c r="AE342" i="6" s="1"/>
  <c r="AF344" i="3"/>
  <c r="AD344" i="3"/>
  <c r="AE344" i="3" s="1"/>
  <c r="M272" i="4" l="1"/>
  <c r="K272" i="4"/>
  <c r="L272" i="4" s="1"/>
  <c r="AG344" i="3"/>
  <c r="AA345" i="3" s="1"/>
  <c r="AC345" i="3" s="1"/>
  <c r="AG342" i="6"/>
  <c r="AA343" i="6" s="1"/>
  <c r="AC343" i="6" s="1"/>
  <c r="N272" i="4" l="1"/>
  <c r="G273" i="4" s="1"/>
  <c r="J273" i="4" s="1"/>
  <c r="C344" i="9"/>
  <c r="D342" i="9"/>
  <c r="AF343" i="6"/>
  <c r="AD343" i="6"/>
  <c r="AE343" i="6" s="1"/>
  <c r="AD345" i="3"/>
  <c r="AE345" i="3" s="1"/>
  <c r="AF345" i="3"/>
  <c r="E272" i="9" l="1"/>
  <c r="M273" i="4"/>
  <c r="K273" i="4"/>
  <c r="L273" i="4" s="1"/>
  <c r="AG345" i="3"/>
  <c r="AA346" i="3" s="1"/>
  <c r="AC346" i="3" s="1"/>
  <c r="AG343" i="6"/>
  <c r="AA344" i="6" s="1"/>
  <c r="AC344" i="6" s="1"/>
  <c r="N273" i="4" l="1"/>
  <c r="G274" i="4" s="1"/>
  <c r="J274" i="4" s="1"/>
  <c r="E273" i="9"/>
  <c r="C345" i="9"/>
  <c r="D343" i="9"/>
  <c r="AF346" i="3"/>
  <c r="AD346" i="3"/>
  <c r="AE346" i="3" s="1"/>
  <c r="AD344" i="6"/>
  <c r="AE344" i="6" s="1"/>
  <c r="AF344" i="6"/>
  <c r="M274" i="4" l="1"/>
  <c r="K274" i="4"/>
  <c r="L274" i="4" s="1"/>
  <c r="AG346" i="3"/>
  <c r="AA347" i="3" s="1"/>
  <c r="AC347" i="3" s="1"/>
  <c r="AG344" i="6"/>
  <c r="AA345" i="6" s="1"/>
  <c r="AC345" i="6" s="1"/>
  <c r="N274" i="4" l="1"/>
  <c r="G275" i="4" s="1"/>
  <c r="J275" i="4" s="1"/>
  <c r="C346" i="9"/>
  <c r="D344" i="9"/>
  <c r="AF347" i="3"/>
  <c r="AD347" i="3"/>
  <c r="AE347" i="3" s="1"/>
  <c r="AF345" i="6"/>
  <c r="AD345" i="6"/>
  <c r="AE345" i="6" s="1"/>
  <c r="E274" i="9" l="1"/>
  <c r="K275" i="4"/>
  <c r="L275" i="4" s="1"/>
  <c r="M275" i="4"/>
  <c r="AG345" i="6"/>
  <c r="AA346" i="6" s="1"/>
  <c r="AC346" i="6" s="1"/>
  <c r="AG347" i="3"/>
  <c r="AA348" i="3" s="1"/>
  <c r="AC348" i="3" s="1"/>
  <c r="N275" i="4" l="1"/>
  <c r="E275" i="9" s="1"/>
  <c r="D345" i="9"/>
  <c r="C347" i="9"/>
  <c r="AD348" i="3"/>
  <c r="AE348" i="3" s="1"/>
  <c r="AF348" i="3"/>
  <c r="AD346" i="6"/>
  <c r="AE346" i="6" s="1"/>
  <c r="AF346" i="6"/>
  <c r="G276" i="4" l="1"/>
  <c r="J276" i="4" s="1"/>
  <c r="M276" i="4" s="1"/>
  <c r="AG348" i="3"/>
  <c r="AA349" i="3" s="1"/>
  <c r="AC349" i="3" s="1"/>
  <c r="AG346" i="6"/>
  <c r="AA347" i="6" s="1"/>
  <c r="AC347" i="6" s="1"/>
  <c r="K276" i="4" l="1"/>
  <c r="L276" i="4" s="1"/>
  <c r="N276" i="4" s="1"/>
  <c r="C348" i="9"/>
  <c r="D346" i="9"/>
  <c r="AF347" i="6"/>
  <c r="AD347" i="6"/>
  <c r="AE347" i="6" s="1"/>
  <c r="AD349" i="3"/>
  <c r="AE349" i="3" s="1"/>
  <c r="AF349" i="3"/>
  <c r="G277" i="4" l="1"/>
  <c r="J277" i="4" s="1"/>
  <c r="E276" i="9"/>
  <c r="AG347" i="6"/>
  <c r="AA348" i="6" s="1"/>
  <c r="AC348" i="6" s="1"/>
  <c r="AG349" i="3"/>
  <c r="AA350" i="3" s="1"/>
  <c r="AC350" i="3" s="1"/>
  <c r="M277" i="4" l="1"/>
  <c r="K277" i="4"/>
  <c r="L277" i="4" s="1"/>
  <c r="D347" i="9"/>
  <c r="C349" i="9"/>
  <c r="AF348" i="6"/>
  <c r="AD348" i="6"/>
  <c r="AE348" i="6" s="1"/>
  <c r="AF350" i="3"/>
  <c r="AD350" i="3"/>
  <c r="AE350" i="3" s="1"/>
  <c r="N277" i="4" l="1"/>
  <c r="G278" i="4"/>
  <c r="J278" i="4" s="1"/>
  <c r="E277" i="9"/>
  <c r="AG348" i="6"/>
  <c r="AA349" i="6" s="1"/>
  <c r="AC349" i="6" s="1"/>
  <c r="AG350" i="3"/>
  <c r="AA351" i="3" s="1"/>
  <c r="AC351" i="3" s="1"/>
  <c r="D348" i="9" l="1"/>
  <c r="M278" i="4"/>
  <c r="K278" i="4"/>
  <c r="L278" i="4" s="1"/>
  <c r="C350" i="9"/>
  <c r="C31" i="10" s="1"/>
  <c r="D31" i="10" s="1"/>
  <c r="AF349" i="6"/>
  <c r="AD349" i="6"/>
  <c r="AE349" i="6" s="1"/>
  <c r="AF351" i="3"/>
  <c r="AD351" i="3"/>
  <c r="AE351" i="3" s="1"/>
  <c r="N278" i="4" l="1"/>
  <c r="E278" i="9" s="1"/>
  <c r="M25" i="10" s="1"/>
  <c r="E31" i="10" a="1"/>
  <c r="E31" i="10" s="1"/>
  <c r="AG351" i="3"/>
  <c r="C351" i="9" s="1"/>
  <c r="AG349" i="6"/>
  <c r="AA350" i="6" s="1"/>
  <c r="AC350" i="6" s="1"/>
  <c r="G279" i="4" l="1"/>
  <c r="J279" i="4" s="1"/>
  <c r="M279" i="4" s="1"/>
  <c r="O25" i="10" a="1"/>
  <c r="O25" i="10" s="1"/>
  <c r="N25" i="10"/>
  <c r="AA352" i="3"/>
  <c r="AC352" i="3" s="1"/>
  <c r="AD352" i="3" s="1"/>
  <c r="AE352" i="3" s="1"/>
  <c r="D349" i="9"/>
  <c r="AD350" i="6"/>
  <c r="AE350" i="6" s="1"/>
  <c r="AF350" i="6"/>
  <c r="K279" i="4" l="1"/>
  <c r="L279" i="4" s="1"/>
  <c r="N279" i="4" s="1"/>
  <c r="AF352" i="3"/>
  <c r="AG352" i="3" s="1"/>
  <c r="AA353" i="3" s="1"/>
  <c r="AC353" i="3" s="1"/>
  <c r="AG350" i="6"/>
  <c r="AA351" i="6" s="1"/>
  <c r="AC351" i="6" s="1"/>
  <c r="G280" i="4" l="1"/>
  <c r="J280" i="4" s="1"/>
  <c r="E279" i="9"/>
  <c r="C352" i="9"/>
  <c r="D350" i="9"/>
  <c r="H31" i="10" s="1"/>
  <c r="I31" i="10" s="1"/>
  <c r="AD353" i="3"/>
  <c r="AE353" i="3" s="1"/>
  <c r="AF353" i="3"/>
  <c r="AF351" i="6"/>
  <c r="AD351" i="6"/>
  <c r="AE351" i="6" s="1"/>
  <c r="M280" i="4" l="1"/>
  <c r="K280" i="4"/>
  <c r="L280" i="4" s="1"/>
  <c r="J31" i="10" a="1"/>
  <c r="J31" i="10" s="1"/>
  <c r="AG351" i="6"/>
  <c r="D351" i="9" s="1"/>
  <c r="AG353" i="3"/>
  <c r="C353" i="9" s="1"/>
  <c r="N280" i="4" l="1"/>
  <c r="E280" i="9" s="1"/>
  <c r="AA354" i="3"/>
  <c r="AC354" i="3" s="1"/>
  <c r="AF354" i="3" s="1"/>
  <c r="AA352" i="6"/>
  <c r="AC352" i="6" s="1"/>
  <c r="AF352" i="6" s="1"/>
  <c r="G281" i="4" l="1"/>
  <c r="J281" i="4" s="1"/>
  <c r="K281" i="4" s="1"/>
  <c r="L281" i="4" s="1"/>
  <c r="AD354" i="3"/>
  <c r="AE354" i="3" s="1"/>
  <c r="AG354" i="3" s="1"/>
  <c r="C354" i="9" s="1"/>
  <c r="AD352" i="6"/>
  <c r="AE352" i="6" s="1"/>
  <c r="AG352" i="6" s="1"/>
  <c r="D352" i="9" s="1"/>
  <c r="M281" i="4" l="1"/>
  <c r="N281" i="4" s="1"/>
  <c r="AA353" i="6"/>
  <c r="AC353" i="6" s="1"/>
  <c r="AD353" i="6" s="1"/>
  <c r="AE353" i="6" s="1"/>
  <c r="AA355" i="3"/>
  <c r="AC355" i="3" s="1"/>
  <c r="AD355" i="3" s="1"/>
  <c r="AE355" i="3" s="1"/>
  <c r="E281" i="9" l="1"/>
  <c r="G282" i="4"/>
  <c r="J282" i="4" s="1"/>
  <c r="AF353" i="6"/>
  <c r="AG353" i="6" s="1"/>
  <c r="AA354" i="6" s="1"/>
  <c r="AC354" i="6" s="1"/>
  <c r="AF355" i="3"/>
  <c r="AG355" i="3" s="1"/>
  <c r="K282" i="4" l="1"/>
  <c r="L282" i="4" s="1"/>
  <c r="C355" i="9"/>
  <c r="AA356" i="3"/>
  <c r="AC356" i="3" s="1"/>
  <c r="AD356" i="3" s="1"/>
  <c r="AE356" i="3" s="1"/>
  <c r="D353" i="9"/>
  <c r="AF354" i="6"/>
  <c r="AD354" i="6"/>
  <c r="AE354" i="6" s="1"/>
  <c r="M282" i="4" l="1"/>
  <c r="N282" i="4" s="1"/>
  <c r="AF356" i="3"/>
  <c r="AG356" i="3" s="1"/>
  <c r="AG354" i="6"/>
  <c r="AA355" i="6" s="1"/>
  <c r="AC355" i="6" s="1"/>
  <c r="E282" i="9" l="1"/>
  <c r="G283" i="4"/>
  <c r="J283" i="4" s="1"/>
  <c r="D354" i="9"/>
  <c r="AA357" i="3"/>
  <c r="AC357" i="3" s="1"/>
  <c r="AF357" i="3" s="1"/>
  <c r="C356" i="9"/>
  <c r="AD355" i="6"/>
  <c r="AE355" i="6" s="1"/>
  <c r="AF355" i="6"/>
  <c r="K283" i="4" l="1"/>
  <c r="L283" i="4" s="1"/>
  <c r="AD357" i="3"/>
  <c r="AE357" i="3" s="1"/>
  <c r="AG357" i="3" s="1"/>
  <c r="AG355" i="6"/>
  <c r="AA356" i="6" s="1"/>
  <c r="AC356" i="6" s="1"/>
  <c r="M283" i="4" l="1"/>
  <c r="N283" i="4" s="1"/>
  <c r="AA358" i="3"/>
  <c r="AC358" i="3" s="1"/>
  <c r="C357" i="9"/>
  <c r="D355" i="9"/>
  <c r="AD358" i="3"/>
  <c r="AE358" i="3" s="1"/>
  <c r="AF358" i="3"/>
  <c r="AD356" i="6"/>
  <c r="AE356" i="6" s="1"/>
  <c r="AF356" i="6"/>
  <c r="G284" i="4" l="1"/>
  <c r="J284" i="4" s="1"/>
  <c r="E283" i="9"/>
  <c r="AG358" i="3"/>
  <c r="AA359" i="3" s="1"/>
  <c r="AC359" i="3" s="1"/>
  <c r="AG356" i="6"/>
  <c r="AA357" i="6" s="1"/>
  <c r="AC357" i="6" s="1"/>
  <c r="K284" i="4" l="1"/>
  <c r="L284" i="4" s="1"/>
  <c r="M284" i="4"/>
  <c r="C358" i="9"/>
  <c r="D356" i="9"/>
  <c r="AD359" i="3"/>
  <c r="AE359" i="3" s="1"/>
  <c r="AF359" i="3"/>
  <c r="AD357" i="6"/>
  <c r="AE357" i="6" s="1"/>
  <c r="AF357" i="6"/>
  <c r="N284" i="4" l="1"/>
  <c r="E284" i="9"/>
  <c r="G285" i="4"/>
  <c r="J285" i="4" s="1"/>
  <c r="AG359" i="3"/>
  <c r="AA360" i="3" s="1"/>
  <c r="AC360" i="3" s="1"/>
  <c r="AG357" i="6"/>
  <c r="AA358" i="6" s="1"/>
  <c r="AC358" i="6" s="1"/>
  <c r="C359" i="9" l="1"/>
  <c r="K285" i="4"/>
  <c r="L285" i="4" s="1"/>
  <c r="M285" i="4"/>
  <c r="D357" i="9"/>
  <c r="AD360" i="3"/>
  <c r="AE360" i="3" s="1"/>
  <c r="AF360" i="3"/>
  <c r="AD358" i="6"/>
  <c r="AE358" i="6" s="1"/>
  <c r="AF358" i="6"/>
  <c r="N285" i="4" l="1"/>
  <c r="E285" i="9"/>
  <c r="G286" i="4"/>
  <c r="J286" i="4" s="1"/>
  <c r="AG360" i="3"/>
  <c r="AA361" i="3" s="1"/>
  <c r="AC361" i="3" s="1"/>
  <c r="AG358" i="6"/>
  <c r="AA359" i="6" s="1"/>
  <c r="AC359" i="6" s="1"/>
  <c r="C360" i="9" l="1"/>
  <c r="K286" i="4"/>
  <c r="L286" i="4" s="1"/>
  <c r="M286" i="4"/>
  <c r="D358" i="9"/>
  <c r="AD361" i="3"/>
  <c r="AE361" i="3" s="1"/>
  <c r="AF361" i="3"/>
  <c r="AF359" i="6"/>
  <c r="AD359" i="6"/>
  <c r="AE359" i="6" s="1"/>
  <c r="N286" i="4" l="1"/>
  <c r="G287" i="4" s="1"/>
  <c r="J287" i="4" s="1"/>
  <c r="E286" i="9"/>
  <c r="AG359" i="6"/>
  <c r="AA360" i="6" s="1"/>
  <c r="AC360" i="6" s="1"/>
  <c r="AG361" i="3"/>
  <c r="AA362" i="3" s="1"/>
  <c r="AC362" i="3" s="1"/>
  <c r="C361" i="9" l="1"/>
  <c r="D359" i="9"/>
  <c r="M287" i="4"/>
  <c r="K287" i="4"/>
  <c r="L287" i="4" s="1"/>
  <c r="AF362" i="3"/>
  <c r="AD362" i="3"/>
  <c r="AE362" i="3" s="1"/>
  <c r="AF360" i="6"/>
  <c r="AD360" i="6"/>
  <c r="AE360" i="6" s="1"/>
  <c r="N287" i="4" l="1"/>
  <c r="E287" i="9" s="1"/>
  <c r="G288" i="4"/>
  <c r="J288" i="4" s="1"/>
  <c r="AG362" i="3"/>
  <c r="AA363" i="3" s="1"/>
  <c r="AC363" i="3" s="1"/>
  <c r="AG360" i="6"/>
  <c r="AA361" i="6" s="1"/>
  <c r="AC361" i="6" s="1"/>
  <c r="C362" i="9" l="1"/>
  <c r="C32" i="10" s="1"/>
  <c r="D32" i="10" s="1"/>
  <c r="D360" i="9"/>
  <c r="AF363" i="3"/>
  <c r="AD363" i="3"/>
  <c r="AF361" i="6"/>
  <c r="AD361" i="6"/>
  <c r="AE361" i="6" s="1"/>
  <c r="M288" i="4" l="1"/>
  <c r="K288" i="4"/>
  <c r="L288" i="4" s="1"/>
  <c r="N288" i="4" s="1"/>
  <c r="E32" i="10" a="1"/>
  <c r="E32" i="10" s="1"/>
  <c r="AG361" i="6"/>
  <c r="AA362" i="6" s="1"/>
  <c r="AC362" i="6" s="1"/>
  <c r="AE363" i="3"/>
  <c r="E288" i="9" l="1"/>
  <c r="G289" i="4"/>
  <c r="J289" i="4" s="1"/>
  <c r="D361" i="9"/>
  <c r="AG363" i="3"/>
  <c r="AF362" i="6"/>
  <c r="AD362" i="6"/>
  <c r="AE362" i="6" s="1"/>
  <c r="AG362" i="6" l="1"/>
  <c r="AA363" i="6" s="1"/>
  <c r="AC363" i="6" s="1"/>
  <c r="AA364" i="3"/>
  <c r="AC364" i="3" s="1"/>
  <c r="C363" i="9"/>
  <c r="K289" i="4" l="1"/>
  <c r="L289" i="4" s="1"/>
  <c r="M289" i="4"/>
  <c r="D362" i="9"/>
  <c r="H32" i="10" s="1"/>
  <c r="I32" i="10" s="1"/>
  <c r="AF364" i="3"/>
  <c r="AD364" i="3"/>
  <c r="AD363" i="6"/>
  <c r="AF363" i="6"/>
  <c r="N289" i="4" l="1"/>
  <c r="E289" i="9" s="1"/>
  <c r="G290" i="4"/>
  <c r="J290" i="4" s="1"/>
  <c r="J32" i="10" a="1"/>
  <c r="J32" i="10" s="1"/>
  <c r="AE363" i="6"/>
  <c r="AE364" i="3"/>
  <c r="M290" i="4" l="1"/>
  <c r="AG364" i="3"/>
  <c r="AG363" i="6"/>
  <c r="K290" i="4" l="1"/>
  <c r="L290" i="4" s="1"/>
  <c r="N290" i="4" s="1"/>
  <c r="AA364" i="6"/>
  <c r="AC364" i="6" s="1"/>
  <c r="D363" i="9"/>
  <c r="AA365" i="3"/>
  <c r="AC365" i="3" s="1"/>
  <c r="C364" i="9"/>
  <c r="E290" i="9" l="1"/>
  <c r="M26" i="10" s="1"/>
  <c r="G291" i="4"/>
  <c r="J291" i="4" s="1"/>
  <c r="AD365" i="3"/>
  <c r="AF365" i="3"/>
  <c r="AF364" i="6"/>
  <c r="AD364" i="6"/>
  <c r="K291" i="4" l="1"/>
  <c r="L291" i="4" s="1"/>
  <c r="N26" i="10"/>
  <c r="O26" i="10" a="1"/>
  <c r="O26" i="10" s="1"/>
  <c r="AE364" i="6"/>
  <c r="AE365" i="3"/>
  <c r="M291" i="4" l="1"/>
  <c r="N291" i="4" s="1"/>
  <c r="AG365" i="3"/>
  <c r="AG364" i="6"/>
  <c r="G292" i="4" l="1"/>
  <c r="J292" i="4" s="1"/>
  <c r="E291" i="9"/>
  <c r="AA365" i="6"/>
  <c r="AC365" i="6" s="1"/>
  <c r="D364" i="9"/>
  <c r="AA366" i="3"/>
  <c r="AC366" i="3" s="1"/>
  <c r="C365" i="9"/>
  <c r="M292" i="4" l="1"/>
  <c r="K292" i="4"/>
  <c r="L292" i="4" s="1"/>
  <c r="N292" i="4" s="1"/>
  <c r="AD366" i="3"/>
  <c r="AF366" i="3"/>
  <c r="AF365" i="6"/>
  <c r="AD365" i="6"/>
  <c r="G293" i="4" l="1"/>
  <c r="J293" i="4" s="1"/>
  <c r="E292" i="9"/>
  <c r="AE365" i="6"/>
  <c r="AE366" i="3"/>
  <c r="M293" i="4" l="1"/>
  <c r="K293" i="4"/>
  <c r="L293" i="4" s="1"/>
  <c r="AG366" i="3"/>
  <c r="AG365" i="6"/>
  <c r="N293" i="4" l="1"/>
  <c r="E293" i="9" s="1"/>
  <c r="AA366" i="6"/>
  <c r="AC366" i="6" s="1"/>
  <c r="D365" i="9"/>
  <c r="AA367" i="3"/>
  <c r="AC367" i="3" s="1"/>
  <c r="C366" i="9"/>
  <c r="G294" i="4" l="1"/>
  <c r="J294" i="4" s="1"/>
  <c r="K294" i="4" s="1"/>
  <c r="L294" i="4" s="1"/>
  <c r="AF367" i="3"/>
  <c r="AD367" i="3"/>
  <c r="AD366" i="6"/>
  <c r="AF366" i="6"/>
  <c r="M294" i="4" l="1"/>
  <c r="N294" i="4" s="1"/>
  <c r="AE366" i="6"/>
  <c r="AE367" i="3"/>
  <c r="E294" i="9" l="1"/>
  <c r="G295" i="4"/>
  <c r="J295" i="4" s="1"/>
  <c r="AG367" i="3"/>
  <c r="AG366" i="6"/>
  <c r="M295" i="4" l="1"/>
  <c r="AA367" i="6"/>
  <c r="AC367" i="6" s="1"/>
  <c r="D366" i="9"/>
  <c r="AA368" i="3"/>
  <c r="AC368" i="3" s="1"/>
  <c r="C367" i="9"/>
  <c r="K295" i="4" l="1"/>
  <c r="L295" i="4" s="1"/>
  <c r="N295" i="4" s="1"/>
  <c r="AF368" i="3"/>
  <c r="AD368" i="3"/>
  <c r="AE368" i="3" s="1"/>
  <c r="AF367" i="6"/>
  <c r="AD367" i="6"/>
  <c r="E295" i="9" l="1"/>
  <c r="G296" i="4"/>
  <c r="J296" i="4" s="1"/>
  <c r="AG368" i="3"/>
  <c r="C368" i="9" s="1"/>
  <c r="AE367" i="6"/>
  <c r="M296" i="4" l="1"/>
  <c r="AA369" i="3"/>
  <c r="AC369" i="3" s="1"/>
  <c r="AD369" i="3" s="1"/>
  <c r="AE369" i="3" s="1"/>
  <c r="AG367" i="6"/>
  <c r="K296" i="4" l="1"/>
  <c r="L296" i="4" s="1"/>
  <c r="N296" i="4" s="1"/>
  <c r="AF369" i="3"/>
  <c r="AG369" i="3" s="1"/>
  <c r="AA370" i="3" s="1"/>
  <c r="AC370" i="3" s="1"/>
  <c r="AA368" i="6"/>
  <c r="AC368" i="6" s="1"/>
  <c r="D367" i="9"/>
  <c r="G297" i="4" l="1"/>
  <c r="J297" i="4" s="1"/>
  <c r="E296" i="9"/>
  <c r="C369" i="9"/>
  <c r="AF370" i="3"/>
  <c r="AD370" i="3"/>
  <c r="AE370" i="3" s="1"/>
  <c r="AD368" i="6"/>
  <c r="AE368" i="6" s="1"/>
  <c r="AF368" i="6"/>
  <c r="M297" i="4" l="1"/>
  <c r="AG370" i="3"/>
  <c r="AA371" i="3" s="1"/>
  <c r="AC371" i="3" s="1"/>
  <c r="AG368" i="6"/>
  <c r="AA369" i="6" s="1"/>
  <c r="AC369" i="6" s="1"/>
  <c r="K297" i="4" l="1"/>
  <c r="L297" i="4" s="1"/>
  <c r="N297" i="4" s="1"/>
  <c r="C370" i="9"/>
  <c r="D368" i="9"/>
  <c r="AD371" i="3"/>
  <c r="AE371" i="3" s="1"/>
  <c r="AF371" i="3"/>
  <c r="AD369" i="6"/>
  <c r="AE369" i="6" s="1"/>
  <c r="AF369" i="6"/>
  <c r="E297" i="9" l="1"/>
  <c r="G298" i="4"/>
  <c r="J298" i="4" s="1"/>
  <c r="AG369" i="6"/>
  <c r="AA370" i="6" s="1"/>
  <c r="AC370" i="6" s="1"/>
  <c r="AG371" i="3"/>
  <c r="AA372" i="3" s="1"/>
  <c r="AC372" i="3" s="1"/>
  <c r="C371" i="9" l="1"/>
  <c r="D369" i="9"/>
  <c r="AF372" i="3"/>
  <c r="AD372" i="3"/>
  <c r="AE372" i="3" s="1"/>
  <c r="AF370" i="6"/>
  <c r="AD370" i="6"/>
  <c r="AE370" i="6" s="1"/>
  <c r="K298" i="4" l="1"/>
  <c r="L298" i="4" s="1"/>
  <c r="M298" i="4"/>
  <c r="N298" i="4" s="1"/>
  <c r="AG372" i="3"/>
  <c r="AG370" i="6"/>
  <c r="AA371" i="6" s="1"/>
  <c r="AC371" i="6" s="1"/>
  <c r="AA373" i="3"/>
  <c r="AC373" i="3" s="1"/>
  <c r="C372" i="9"/>
  <c r="G299" i="4" l="1"/>
  <c r="J299" i="4" s="1"/>
  <c r="E298" i="9"/>
  <c r="D370" i="9"/>
  <c r="AF373" i="3"/>
  <c r="AD373" i="3"/>
  <c r="AE373" i="3" s="1"/>
  <c r="AF371" i="6"/>
  <c r="AD371" i="6"/>
  <c r="AE371" i="6" s="1"/>
  <c r="K299" i="4" l="1"/>
  <c r="L299" i="4" s="1"/>
  <c r="M299" i="4"/>
  <c r="N299" i="4" s="1"/>
  <c r="AG373" i="3"/>
  <c r="AA374" i="3" s="1"/>
  <c r="AC374" i="3" s="1"/>
  <c r="AG371" i="6"/>
  <c r="AA372" i="6" s="1"/>
  <c r="AC372" i="6" s="1"/>
  <c r="E299" i="9" l="1"/>
  <c r="G300" i="4"/>
  <c r="J300" i="4" s="1"/>
  <c r="C373" i="9"/>
  <c r="D371" i="9"/>
  <c r="AD374" i="3"/>
  <c r="AE374" i="3" s="1"/>
  <c r="AF374" i="3"/>
  <c r="AF372" i="6"/>
  <c r="AD372" i="6"/>
  <c r="AE372" i="6" s="1"/>
  <c r="M300" i="4" l="1"/>
  <c r="AG374" i="3"/>
  <c r="D8" i="5" s="1"/>
  <c r="AG372" i="6"/>
  <c r="D372" i="9" s="1"/>
  <c r="C374" i="9" l="1"/>
  <c r="F27" i="5" s="1" a="1"/>
  <c r="F27" i="5" s="1"/>
  <c r="K300" i="4"/>
  <c r="L300" i="4" s="1"/>
  <c r="N300" i="4" s="1"/>
  <c r="AA375" i="3"/>
  <c r="AC375" i="3" s="1"/>
  <c r="AD375" i="3" s="1"/>
  <c r="AE375" i="3" s="1"/>
  <c r="F8" i="5"/>
  <c r="AA373" i="6"/>
  <c r="AC373" i="6" s="1"/>
  <c r="AD373" i="6" s="1"/>
  <c r="AE373" i="6" s="1"/>
  <c r="C33" i="10"/>
  <c r="G301" i="4" l="1"/>
  <c r="J301" i="4" s="1"/>
  <c r="E300" i="9"/>
  <c r="AF375" i="3"/>
  <c r="AG375" i="3" s="1"/>
  <c r="AA376" i="3" s="1"/>
  <c r="AC376" i="3" s="1"/>
  <c r="AF373" i="6"/>
  <c r="AG373" i="6" s="1"/>
  <c r="D33" i="10"/>
  <c r="E33" i="10" a="1"/>
  <c r="E33" i="10" s="1"/>
  <c r="M301" i="4" l="1"/>
  <c r="K301" i="4"/>
  <c r="L301" i="4" s="1"/>
  <c r="C375" i="9"/>
  <c r="AA374" i="6"/>
  <c r="AC374" i="6" s="1"/>
  <c r="AF374" i="6" s="1"/>
  <c r="D373" i="9"/>
  <c r="F59" i="5"/>
  <c r="C46" i="5"/>
  <c r="AD376" i="3"/>
  <c r="AE376" i="3" s="1"/>
  <c r="AF376" i="3"/>
  <c r="N301" i="4" l="1"/>
  <c r="E301" i="9" s="1"/>
  <c r="AD374" i="6"/>
  <c r="AE374" i="6" s="1"/>
  <c r="AG374" i="6" s="1"/>
  <c r="AG376" i="3"/>
  <c r="AA377" i="3" s="1"/>
  <c r="AC377" i="3" s="1"/>
  <c r="G302" i="4" l="1"/>
  <c r="J302" i="4" s="1"/>
  <c r="K302" i="4" s="1"/>
  <c r="L302" i="4" s="1"/>
  <c r="D9" i="5"/>
  <c r="F9" i="5" s="1"/>
  <c r="C376" i="9"/>
  <c r="AA375" i="6"/>
  <c r="AC375" i="6" s="1"/>
  <c r="AD375" i="6" s="1"/>
  <c r="AE375" i="6" s="1"/>
  <c r="D374" i="9"/>
  <c r="F28" i="5" s="1" a="1"/>
  <c r="F28" i="5" s="1"/>
  <c r="AD377" i="3"/>
  <c r="AE377" i="3" s="1"/>
  <c r="AF377" i="3"/>
  <c r="H33" i="10"/>
  <c r="M302" i="4" l="1"/>
  <c r="N302" i="4" s="1"/>
  <c r="AF375" i="6"/>
  <c r="AG375" i="6" s="1"/>
  <c r="AA376" i="6" s="1"/>
  <c r="AC376" i="6" s="1"/>
  <c r="AG377" i="3"/>
  <c r="AA378" i="3" s="1"/>
  <c r="AC378" i="3" s="1"/>
  <c r="J33" i="10" a="1"/>
  <c r="J33" i="10" s="1"/>
  <c r="I33" i="10"/>
  <c r="E302" i="9" l="1"/>
  <c r="M27" i="10" s="1"/>
  <c r="G303" i="4"/>
  <c r="J303" i="4" s="1"/>
  <c r="C377" i="9"/>
  <c r="D375" i="9"/>
  <c r="C47" i="5"/>
  <c r="F60" i="5"/>
  <c r="AD376" i="6"/>
  <c r="AE376" i="6" s="1"/>
  <c r="AF376" i="6"/>
  <c r="AD378" i="3"/>
  <c r="AE378" i="3" s="1"/>
  <c r="AF378" i="3"/>
  <c r="M303" i="4" l="1"/>
  <c r="O27" i="10" a="1"/>
  <c r="O27" i="10" s="1"/>
  <c r="N27" i="10"/>
  <c r="AG376" i="6"/>
  <c r="AA377" i="6" s="1"/>
  <c r="AC377" i="6" s="1"/>
  <c r="AG378" i="3"/>
  <c r="AA379" i="3" s="1"/>
  <c r="AC379" i="3" s="1"/>
  <c r="K303" i="4" l="1"/>
  <c r="L303" i="4" s="1"/>
  <c r="N303" i="4" s="1"/>
  <c r="D376" i="9"/>
  <c r="C378" i="9"/>
  <c r="AF377" i="6"/>
  <c r="AD377" i="6"/>
  <c r="AE377" i="6" s="1"/>
  <c r="AD379" i="3"/>
  <c r="AE379" i="3" s="1"/>
  <c r="AF379" i="3"/>
  <c r="E303" i="9" l="1"/>
  <c r="G304" i="4"/>
  <c r="J304" i="4" s="1"/>
  <c r="AG377" i="6"/>
  <c r="AA378" i="6" s="1"/>
  <c r="AC378" i="6" s="1"/>
  <c r="AG379" i="3"/>
  <c r="C379" i="9" s="1"/>
  <c r="M304" i="4" l="1"/>
  <c r="D377" i="9"/>
  <c r="AA380" i="3"/>
  <c r="AC380" i="3" s="1"/>
  <c r="AF380" i="3" s="1"/>
  <c r="AF378" i="6"/>
  <c r="AD378" i="6"/>
  <c r="AE378" i="6" s="1"/>
  <c r="K304" i="4" l="1"/>
  <c r="L304" i="4" s="1"/>
  <c r="N304" i="4" s="1"/>
  <c r="AD380" i="3"/>
  <c r="AE380" i="3" s="1"/>
  <c r="AG380" i="3" s="1"/>
  <c r="AA381" i="3" s="1"/>
  <c r="AC381" i="3" s="1"/>
  <c r="AG378" i="6"/>
  <c r="AA379" i="6" s="1"/>
  <c r="AC379" i="6" s="1"/>
  <c r="E304" i="9" l="1"/>
  <c r="G305" i="4"/>
  <c r="J305" i="4" s="1"/>
  <c r="C380" i="9"/>
  <c r="D378" i="9"/>
  <c r="AF379" i="6"/>
  <c r="AD379" i="6"/>
  <c r="AE379" i="6" s="1"/>
  <c r="AD381" i="3"/>
  <c r="AE381" i="3" s="1"/>
  <c r="AF381" i="3"/>
  <c r="M305" i="4" l="1"/>
  <c r="AG381" i="3"/>
  <c r="AA382" i="3" s="1"/>
  <c r="AC382" i="3" s="1"/>
  <c r="AG379" i="6"/>
  <c r="AA380" i="6" s="1"/>
  <c r="AC380" i="6" s="1"/>
  <c r="K305" i="4" l="1"/>
  <c r="L305" i="4" s="1"/>
  <c r="N305" i="4" s="1"/>
  <c r="D379" i="9"/>
  <c r="C381" i="9"/>
  <c r="AF380" i="6"/>
  <c r="AD380" i="6"/>
  <c r="AE380" i="6" s="1"/>
  <c r="AF382" i="3"/>
  <c r="AD382" i="3"/>
  <c r="AE382" i="3" s="1"/>
  <c r="E305" i="9" l="1"/>
  <c r="G306" i="4"/>
  <c r="J306" i="4" s="1"/>
  <c r="AG382" i="3"/>
  <c r="AA383" i="3" s="1"/>
  <c r="AC383" i="3" s="1"/>
  <c r="AG380" i="6"/>
  <c r="AA381" i="6" s="1"/>
  <c r="AC381" i="6" s="1"/>
  <c r="K306" i="4" l="1"/>
  <c r="L306" i="4" s="1"/>
  <c r="C382" i="9"/>
  <c r="D380" i="9"/>
  <c r="AF383" i="3"/>
  <c r="AD383" i="3"/>
  <c r="AE383" i="3" s="1"/>
  <c r="AD381" i="6"/>
  <c r="AE381" i="6" s="1"/>
  <c r="AF381" i="6"/>
  <c r="M306" i="4" l="1"/>
  <c r="N306" i="4" s="1"/>
  <c r="AG383" i="3"/>
  <c r="AG381" i="6"/>
  <c r="AA382" i="6" s="1"/>
  <c r="AC382" i="6" s="1"/>
  <c r="AA384" i="3"/>
  <c r="AC384" i="3" s="1"/>
  <c r="C383" i="9"/>
  <c r="E306" i="9" l="1"/>
  <c r="G307" i="4"/>
  <c r="J307" i="4" s="1"/>
  <c r="D381" i="9"/>
  <c r="AD384" i="3"/>
  <c r="AE384" i="3" s="1"/>
  <c r="AF384" i="3"/>
  <c r="AF382" i="6"/>
  <c r="AD382" i="6"/>
  <c r="AE382" i="6" s="1"/>
  <c r="M307" i="4" l="1"/>
  <c r="AG382" i="6"/>
  <c r="AA383" i="6" s="1"/>
  <c r="AC383" i="6" s="1"/>
  <c r="AG384" i="3"/>
  <c r="AA385" i="3" s="1"/>
  <c r="AC385" i="3" s="1"/>
  <c r="D382" i="9"/>
  <c r="C384" i="9" l="1"/>
  <c r="K307" i="4"/>
  <c r="L307" i="4" s="1"/>
  <c r="N307" i="4" s="1"/>
  <c r="AF385" i="3"/>
  <c r="AD385" i="3"/>
  <c r="AE385" i="3" s="1"/>
  <c r="AF383" i="6"/>
  <c r="AD383" i="6"/>
  <c r="AE383" i="6" s="1"/>
  <c r="G308" i="4" l="1"/>
  <c r="J308" i="4" s="1"/>
  <c r="E307" i="9"/>
  <c r="AG385" i="3"/>
  <c r="AA386" i="3" s="1"/>
  <c r="AC386" i="3" s="1"/>
  <c r="AG383" i="6"/>
  <c r="AA384" i="6" s="1"/>
  <c r="AC384" i="6" s="1"/>
  <c r="C385" i="9"/>
  <c r="K308" i="4" l="1"/>
  <c r="L308" i="4" s="1"/>
  <c r="D383" i="9"/>
  <c r="AD386" i="3"/>
  <c r="AE386" i="3" s="1"/>
  <c r="AF386" i="3"/>
  <c r="AF384" i="6"/>
  <c r="AD384" i="6"/>
  <c r="AE384" i="6" s="1"/>
  <c r="M308" i="4" l="1"/>
  <c r="N308" i="4" s="1"/>
  <c r="AG384" i="6"/>
  <c r="D384" i="9" s="1"/>
  <c r="AG386" i="3"/>
  <c r="AA387" i="3" s="1"/>
  <c r="AC387" i="3" s="1"/>
  <c r="C386" i="9" l="1"/>
  <c r="C34" i="10" s="1"/>
  <c r="D34" i="10" s="1"/>
  <c r="AA385" i="6"/>
  <c r="AC385" i="6" s="1"/>
  <c r="AD385" i="6" s="1"/>
  <c r="AE385" i="6" s="1"/>
  <c r="E308" i="9"/>
  <c r="G309" i="4"/>
  <c r="J309" i="4" s="1"/>
  <c r="AF387" i="3"/>
  <c r="AD387" i="3"/>
  <c r="AE387" i="3" s="1"/>
  <c r="AF385" i="6" l="1"/>
  <c r="E34" i="10" a="1"/>
  <c r="E34" i="10" s="1"/>
  <c r="M309" i="4"/>
  <c r="AG387" i="3"/>
  <c r="C387" i="9" s="1"/>
  <c r="AG385" i="6"/>
  <c r="AA386" i="6" s="1"/>
  <c r="AC386" i="6" s="1"/>
  <c r="K309" i="4" l="1"/>
  <c r="L309" i="4" s="1"/>
  <c r="N309" i="4" s="1"/>
  <c r="AA388" i="3"/>
  <c r="AC388" i="3" s="1"/>
  <c r="AD388" i="3" s="1"/>
  <c r="AE388" i="3" s="1"/>
  <c r="D385" i="9"/>
  <c r="AD386" i="6"/>
  <c r="AE386" i="6" s="1"/>
  <c r="AF386" i="6"/>
  <c r="E309" i="9" l="1"/>
  <c r="G310" i="4"/>
  <c r="J310" i="4" s="1"/>
  <c r="AF388" i="3"/>
  <c r="AG388" i="3" s="1"/>
  <c r="AG386" i="6"/>
  <c r="D386" i="9" s="1"/>
  <c r="H34" i="10" s="1"/>
  <c r="K310" i="4" l="1"/>
  <c r="L310" i="4" s="1"/>
  <c r="AA389" i="3"/>
  <c r="AC389" i="3" s="1"/>
  <c r="AD389" i="3" s="1"/>
  <c r="AE389" i="3" s="1"/>
  <c r="C388" i="9"/>
  <c r="AA387" i="6"/>
  <c r="AC387" i="6" s="1"/>
  <c r="AF387" i="6" s="1"/>
  <c r="J34" i="10" a="1"/>
  <c r="J34" i="10" s="1"/>
  <c r="I34" i="10"/>
  <c r="M310" i="4" l="1"/>
  <c r="N310" i="4" s="1"/>
  <c r="AF389" i="3"/>
  <c r="AG389" i="3" s="1"/>
  <c r="AA390" i="3" s="1"/>
  <c r="AC390" i="3" s="1"/>
  <c r="AD387" i="6"/>
  <c r="AE387" i="6" s="1"/>
  <c r="AG387" i="6" s="1"/>
  <c r="AA388" i="6" s="1"/>
  <c r="AC388" i="6" s="1"/>
  <c r="E310" i="9" l="1"/>
  <c r="G311" i="4"/>
  <c r="J311" i="4" s="1"/>
  <c r="D387" i="9"/>
  <c r="C389" i="9"/>
  <c r="AF390" i="3"/>
  <c r="AD390" i="3"/>
  <c r="AE390" i="3" s="1"/>
  <c r="AF388" i="6"/>
  <c r="AD388" i="6"/>
  <c r="AE388" i="6" s="1"/>
  <c r="M311" i="4" l="1"/>
  <c r="AG388" i="6"/>
  <c r="AA389" i="6" s="1"/>
  <c r="AC389" i="6" s="1"/>
  <c r="AG390" i="3"/>
  <c r="AA391" i="3" s="1"/>
  <c r="AC391" i="3" s="1"/>
  <c r="K311" i="4" l="1"/>
  <c r="L311" i="4" s="1"/>
  <c r="N311" i="4" s="1"/>
  <c r="D388" i="9"/>
  <c r="C390" i="9"/>
  <c r="AF391" i="3"/>
  <c r="AD391" i="3"/>
  <c r="AE391" i="3" s="1"/>
  <c r="AD389" i="6"/>
  <c r="AE389" i="6" s="1"/>
  <c r="AF389" i="6"/>
  <c r="E311" i="9" l="1"/>
  <c r="G312" i="4"/>
  <c r="J312" i="4" s="1"/>
  <c r="AG391" i="3"/>
  <c r="C391" i="9" s="1"/>
  <c r="AG389" i="6"/>
  <c r="D389" i="9" s="1"/>
  <c r="K312" i="4" l="1"/>
  <c r="L312" i="4" s="1"/>
  <c r="AA392" i="3"/>
  <c r="AC392" i="3" s="1"/>
  <c r="AD392" i="3" s="1"/>
  <c r="AE392" i="3" s="1"/>
  <c r="AA390" i="6"/>
  <c r="AC390" i="6" s="1"/>
  <c r="AD390" i="6" s="1"/>
  <c r="AE390" i="6" s="1"/>
  <c r="M312" i="4" l="1"/>
  <c r="N312" i="4" s="1"/>
  <c r="AF390" i="6"/>
  <c r="AG390" i="6" s="1"/>
  <c r="AA391" i="6" s="1"/>
  <c r="AC391" i="6" s="1"/>
  <c r="AF392" i="3"/>
  <c r="AG392" i="3" s="1"/>
  <c r="E312" i="9" l="1"/>
  <c r="G313" i="4"/>
  <c r="J313" i="4" s="1"/>
  <c r="AA393" i="3"/>
  <c r="AC393" i="3" s="1"/>
  <c r="AF393" i="3" s="1"/>
  <c r="C392" i="9"/>
  <c r="D390" i="9"/>
  <c r="AD391" i="6"/>
  <c r="AE391" i="6" s="1"/>
  <c r="AF391" i="6"/>
  <c r="M313" i="4" l="1"/>
  <c r="AD393" i="3"/>
  <c r="AE393" i="3" s="1"/>
  <c r="AG393" i="3" s="1"/>
  <c r="AA394" i="3" s="1"/>
  <c r="AC394" i="3" s="1"/>
  <c r="AG391" i="6"/>
  <c r="AA392" i="6" s="1"/>
  <c r="AC392" i="6" s="1"/>
  <c r="K313" i="4" l="1"/>
  <c r="L313" i="4" s="1"/>
  <c r="N313" i="4" s="1"/>
  <c r="C393" i="9"/>
  <c r="D391" i="9"/>
  <c r="AD394" i="3"/>
  <c r="AE394" i="3" s="1"/>
  <c r="AF394" i="3"/>
  <c r="AF392" i="6"/>
  <c r="AD392" i="6"/>
  <c r="AE392" i="6" s="1"/>
  <c r="E313" i="9" l="1"/>
  <c r="G314" i="4"/>
  <c r="J314" i="4" s="1"/>
  <c r="AG392" i="6"/>
  <c r="AG394" i="3"/>
  <c r="AA395" i="3" s="1"/>
  <c r="AC395" i="3" s="1"/>
  <c r="AA393" i="6"/>
  <c r="AC393" i="6" s="1"/>
  <c r="D392" i="9"/>
  <c r="M314" i="4" l="1"/>
  <c r="C394" i="9"/>
  <c r="AF395" i="3"/>
  <c r="AD395" i="3"/>
  <c r="AE395" i="3" s="1"/>
  <c r="AD393" i="6"/>
  <c r="AE393" i="6" s="1"/>
  <c r="AF393" i="6"/>
  <c r="K314" i="4" l="1"/>
  <c r="L314" i="4" s="1"/>
  <c r="N314" i="4" s="1"/>
  <c r="AG395" i="3"/>
  <c r="AA396" i="3" s="1"/>
  <c r="AC396" i="3" s="1"/>
  <c r="AG393" i="6"/>
  <c r="AA394" i="6" s="1"/>
  <c r="AC394" i="6" s="1"/>
  <c r="E314" i="9" l="1"/>
  <c r="M28" i="10" s="1"/>
  <c r="G315" i="4"/>
  <c r="J315" i="4" s="1"/>
  <c r="C395" i="9"/>
  <c r="D393" i="9"/>
  <c r="AD396" i="3"/>
  <c r="AE396" i="3" s="1"/>
  <c r="AF396" i="3"/>
  <c r="AD394" i="6"/>
  <c r="AE394" i="6" s="1"/>
  <c r="AF394" i="6"/>
  <c r="K315" i="4" l="1"/>
  <c r="L315" i="4" s="1"/>
  <c r="N28" i="10"/>
  <c r="O28" i="10" a="1"/>
  <c r="O28" i="10" s="1"/>
  <c r="AG396" i="3"/>
  <c r="AA397" i="3" s="1"/>
  <c r="AC397" i="3" s="1"/>
  <c r="AG394" i="6"/>
  <c r="AA395" i="6" s="1"/>
  <c r="AC395" i="6" s="1"/>
  <c r="M315" i="4" l="1"/>
  <c r="N315" i="4" s="1"/>
  <c r="C396" i="9"/>
  <c r="D394" i="9"/>
  <c r="AF397" i="3"/>
  <c r="AD397" i="3"/>
  <c r="AE397" i="3" s="1"/>
  <c r="AF395" i="6"/>
  <c r="AD395" i="6"/>
  <c r="AE395" i="6" s="1"/>
  <c r="E315" i="9" l="1"/>
  <c r="G316" i="4"/>
  <c r="J316" i="4" s="1"/>
  <c r="AG395" i="6"/>
  <c r="AA396" i="6" s="1"/>
  <c r="AC396" i="6" s="1"/>
  <c r="AG397" i="3"/>
  <c r="AA398" i="3" s="1"/>
  <c r="AC398" i="3" s="1"/>
  <c r="D395" i="9" l="1"/>
  <c r="K316" i="4"/>
  <c r="L316" i="4" s="1"/>
  <c r="C397" i="9"/>
  <c r="AD398" i="3"/>
  <c r="AE398" i="3" s="1"/>
  <c r="AF398" i="3"/>
  <c r="AD396" i="6"/>
  <c r="AE396" i="6" s="1"/>
  <c r="AF396" i="6"/>
  <c r="M316" i="4" l="1"/>
  <c r="N316" i="4" s="1"/>
  <c r="AG398" i="3"/>
  <c r="C398" i="9" s="1"/>
  <c r="C35" i="10" s="1"/>
  <c r="AG396" i="6"/>
  <c r="AA397" i="6" s="1"/>
  <c r="AC397" i="6" s="1"/>
  <c r="E316" i="9" l="1"/>
  <c r="G317" i="4"/>
  <c r="J317" i="4" s="1"/>
  <c r="AA399" i="3"/>
  <c r="AC399" i="3" s="1"/>
  <c r="AD399" i="3" s="1"/>
  <c r="AE399" i="3" s="1"/>
  <c r="D396" i="9"/>
  <c r="AF399" i="3"/>
  <c r="D35" i="10"/>
  <c r="E35" i="10" a="1"/>
  <c r="E35" i="10" s="1"/>
  <c r="AD397" i="6"/>
  <c r="AE397" i="6" s="1"/>
  <c r="AF397" i="6"/>
  <c r="M317" i="4" l="1"/>
  <c r="AG399" i="3"/>
  <c r="C399" i="9" s="1"/>
  <c r="AG397" i="6"/>
  <c r="D397" i="9" s="1"/>
  <c r="K317" i="4" l="1"/>
  <c r="L317" i="4" s="1"/>
  <c r="N317" i="4" s="1"/>
  <c r="AA400" i="3"/>
  <c r="AC400" i="3" s="1"/>
  <c r="AF400" i="3" s="1"/>
  <c r="AA398" i="6"/>
  <c r="AC398" i="6" s="1"/>
  <c r="AD398" i="6" s="1"/>
  <c r="AE398" i="6" s="1"/>
  <c r="E317" i="9" l="1"/>
  <c r="G318" i="4"/>
  <c r="J318" i="4" s="1"/>
  <c r="AD400" i="3"/>
  <c r="AE400" i="3" s="1"/>
  <c r="AG400" i="3" s="1"/>
  <c r="AA401" i="3" s="1"/>
  <c r="AC401" i="3" s="1"/>
  <c r="AF398" i="6"/>
  <c r="AG398" i="6" s="1"/>
  <c r="D398" i="9" s="1"/>
  <c r="H35" i="10" s="1"/>
  <c r="M318" i="4" l="1"/>
  <c r="C400" i="9"/>
  <c r="AA399" i="6"/>
  <c r="AC399" i="6" s="1"/>
  <c r="AF399" i="6" s="1"/>
  <c r="I35" i="10"/>
  <c r="J35" i="10" a="1"/>
  <c r="J35" i="10" s="1"/>
  <c r="AD401" i="3"/>
  <c r="AE401" i="3" s="1"/>
  <c r="AF401" i="3"/>
  <c r="K318" i="4" l="1"/>
  <c r="L318" i="4" s="1"/>
  <c r="N318" i="4" s="1"/>
  <c r="AD399" i="6"/>
  <c r="AE399" i="6" s="1"/>
  <c r="AG399" i="6" s="1"/>
  <c r="D399" i="9" s="1"/>
  <c r="AG401" i="3"/>
  <c r="AA402" i="3" s="1"/>
  <c r="AC402" i="3" s="1"/>
  <c r="E318" i="9" l="1"/>
  <c r="G319" i="4"/>
  <c r="J319" i="4" s="1"/>
  <c r="AA400" i="6"/>
  <c r="AC400" i="6" s="1"/>
  <c r="AF400" i="6" s="1"/>
  <c r="C401" i="9"/>
  <c r="AD402" i="3"/>
  <c r="AE402" i="3" s="1"/>
  <c r="AF402" i="3"/>
  <c r="K319" i="4" l="1"/>
  <c r="L319" i="4" s="1"/>
  <c r="AD400" i="6"/>
  <c r="AE400" i="6" s="1"/>
  <c r="AG400" i="6" s="1"/>
  <c r="AG402" i="3"/>
  <c r="C402" i="9" s="1"/>
  <c r="M319" i="4" l="1"/>
  <c r="N319" i="4" s="1"/>
  <c r="AA403" i="3"/>
  <c r="AC403" i="3" s="1"/>
  <c r="AF403" i="3" s="1"/>
  <c r="AA401" i="6"/>
  <c r="AC401" i="6" s="1"/>
  <c r="AF401" i="6" s="1"/>
  <c r="D400" i="9"/>
  <c r="G320" i="4" l="1"/>
  <c r="J320" i="4" s="1"/>
  <c r="E319" i="9"/>
  <c r="AD401" i="6"/>
  <c r="AE401" i="6" s="1"/>
  <c r="AG401" i="6" s="1"/>
  <c r="AA402" i="6" s="1"/>
  <c r="AC402" i="6" s="1"/>
  <c r="AD403" i="3"/>
  <c r="AE403" i="3" s="1"/>
  <c r="AG403" i="3" s="1"/>
  <c r="AA404" i="3" s="1"/>
  <c r="AC404" i="3" s="1"/>
  <c r="M320" i="4" l="1"/>
  <c r="D401" i="9"/>
  <c r="C403" i="9"/>
  <c r="AF402" i="6"/>
  <c r="AD402" i="6"/>
  <c r="AE402" i="6" s="1"/>
  <c r="AD404" i="3"/>
  <c r="AE404" i="3" s="1"/>
  <c r="AF404" i="3"/>
  <c r="K320" i="4" l="1"/>
  <c r="L320" i="4" s="1"/>
  <c r="N320" i="4" s="1"/>
  <c r="AG404" i="3"/>
  <c r="AA405" i="3" s="1"/>
  <c r="AC405" i="3" s="1"/>
  <c r="AG402" i="6"/>
  <c r="AA403" i="6" s="1"/>
  <c r="AC403" i="6" s="1"/>
  <c r="G321" i="4" l="1"/>
  <c r="J321" i="4" s="1"/>
  <c r="E320" i="9"/>
  <c r="C404" i="9"/>
  <c r="D402" i="9"/>
  <c r="AF403" i="6"/>
  <c r="AD403" i="6"/>
  <c r="AE403" i="6" s="1"/>
  <c r="AD405" i="3"/>
  <c r="AE405" i="3" s="1"/>
  <c r="AF405" i="3"/>
  <c r="M321" i="4" l="1"/>
  <c r="K321" i="4"/>
  <c r="L321" i="4" s="1"/>
  <c r="N321" i="4" s="1"/>
  <c r="AG403" i="6"/>
  <c r="AA404" i="6" s="1"/>
  <c r="AC404" i="6" s="1"/>
  <c r="AG405" i="3"/>
  <c r="AA406" i="3" s="1"/>
  <c r="AC406" i="3" s="1"/>
  <c r="D403" i="9"/>
  <c r="E321" i="9" l="1"/>
  <c r="G322" i="4"/>
  <c r="J322" i="4" s="1"/>
  <c r="C405" i="9"/>
  <c r="AF404" i="6"/>
  <c r="AD404" i="6"/>
  <c r="AE404" i="6" s="1"/>
  <c r="AD406" i="3"/>
  <c r="AE406" i="3" s="1"/>
  <c r="AF406" i="3"/>
  <c r="M322" i="4" l="1"/>
  <c r="AG404" i="6"/>
  <c r="AA405" i="6" s="1"/>
  <c r="AC405" i="6" s="1"/>
  <c r="AG406" i="3"/>
  <c r="AA407" i="3" s="1"/>
  <c r="AC407" i="3" s="1"/>
  <c r="K322" i="4" l="1"/>
  <c r="L322" i="4" s="1"/>
  <c r="N322" i="4" s="1"/>
  <c r="D404" i="9"/>
  <c r="C406" i="9"/>
  <c r="AF405" i="6"/>
  <c r="AD405" i="6"/>
  <c r="AE405" i="6" s="1"/>
  <c r="AD407" i="3"/>
  <c r="AE407" i="3" s="1"/>
  <c r="AF407" i="3"/>
  <c r="E322" i="9" l="1"/>
  <c r="G323" i="4"/>
  <c r="J323" i="4" s="1"/>
  <c r="AG405" i="6"/>
  <c r="AA406" i="6" s="1"/>
  <c r="AC406" i="6" s="1"/>
  <c r="AG407" i="3"/>
  <c r="AA408" i="3" s="1"/>
  <c r="AC408" i="3" s="1"/>
  <c r="D405" i="9"/>
  <c r="K323" i="4" l="1"/>
  <c r="L323" i="4" s="1"/>
  <c r="C407" i="9"/>
  <c r="AD406" i="6"/>
  <c r="AE406" i="6" s="1"/>
  <c r="AF406" i="6"/>
  <c r="AF408" i="3"/>
  <c r="AD408" i="3"/>
  <c r="AE408" i="3" s="1"/>
  <c r="M323" i="4" l="1"/>
  <c r="N323" i="4" s="1"/>
  <c r="AG408" i="3"/>
  <c r="AA409" i="3" s="1"/>
  <c r="AC409" i="3" s="1"/>
  <c r="AG406" i="6"/>
  <c r="D406" i="9" s="1"/>
  <c r="C408" i="9"/>
  <c r="E323" i="9" l="1"/>
  <c r="G324" i="4"/>
  <c r="J324" i="4" s="1"/>
  <c r="AA407" i="6"/>
  <c r="AC407" i="6" s="1"/>
  <c r="AD407" i="6" s="1"/>
  <c r="AE407" i="6" s="1"/>
  <c r="AD409" i="3"/>
  <c r="AE409" i="3" s="1"/>
  <c r="AF409" i="3"/>
  <c r="AF407" i="6" l="1"/>
  <c r="M324" i="4"/>
  <c r="AG409" i="3"/>
  <c r="AA410" i="3" s="1"/>
  <c r="AC410" i="3" s="1"/>
  <c r="AG407" i="6"/>
  <c r="AA408" i="6" s="1"/>
  <c r="AC408" i="6" s="1"/>
  <c r="K324" i="4" l="1"/>
  <c r="L324" i="4" s="1"/>
  <c r="N324" i="4" s="1"/>
  <c r="D407" i="9"/>
  <c r="C409" i="9"/>
  <c r="AD408" i="6"/>
  <c r="AE408" i="6" s="1"/>
  <c r="AF408" i="6"/>
  <c r="AF410" i="3"/>
  <c r="AD410" i="3"/>
  <c r="AE410" i="3" s="1"/>
  <c r="E324" i="9" l="1"/>
  <c r="G325" i="4"/>
  <c r="J325" i="4" s="1"/>
  <c r="AG410" i="3"/>
  <c r="AA411" i="3" s="1"/>
  <c r="AC411" i="3" s="1"/>
  <c r="AG408" i="6"/>
  <c r="AA409" i="6" s="1"/>
  <c r="AC409" i="6" s="1"/>
  <c r="D408" i="9" l="1"/>
  <c r="C410" i="9"/>
  <c r="C36" i="10" s="1"/>
  <c r="D36" i="10" s="1"/>
  <c r="AD409" i="6"/>
  <c r="AE409" i="6" s="1"/>
  <c r="AF409" i="6"/>
  <c r="AF411" i="3"/>
  <c r="AD411" i="3"/>
  <c r="AE411" i="3" s="1"/>
  <c r="K325" i="4" l="1"/>
  <c r="L325" i="4" s="1"/>
  <c r="M325" i="4"/>
  <c r="E36" i="10" a="1"/>
  <c r="E36" i="10" s="1"/>
  <c r="AG409" i="6"/>
  <c r="AA410" i="6" s="1"/>
  <c r="AC410" i="6" s="1"/>
  <c r="AG411" i="3"/>
  <c r="AA412" i="3" s="1"/>
  <c r="AC412" i="3" s="1"/>
  <c r="N325" i="4" l="1"/>
  <c r="G326" i="4" s="1"/>
  <c r="J326" i="4" s="1"/>
  <c r="D409" i="9"/>
  <c r="C411" i="9"/>
  <c r="AD410" i="6"/>
  <c r="AE410" i="6" s="1"/>
  <c r="AF410" i="6"/>
  <c r="AF412" i="3"/>
  <c r="AD412" i="3"/>
  <c r="AE412" i="3" s="1"/>
  <c r="E325" i="9" l="1"/>
  <c r="K326" i="4"/>
  <c r="L326" i="4" s="1"/>
  <c r="M326" i="4"/>
  <c r="AG410" i="6"/>
  <c r="AA411" i="6" s="1"/>
  <c r="AC411" i="6" s="1"/>
  <c r="AG412" i="3"/>
  <c r="AA413" i="3" s="1"/>
  <c r="AC413" i="3" s="1"/>
  <c r="N326" i="4" l="1"/>
  <c r="E326" i="9"/>
  <c r="M29" i="10" s="1"/>
  <c r="G327" i="4"/>
  <c r="J327" i="4" s="1"/>
  <c r="D410" i="9"/>
  <c r="H36" i="10" s="1"/>
  <c r="I36" i="10" s="1"/>
  <c r="C412" i="9"/>
  <c r="AD411" i="6"/>
  <c r="AE411" i="6" s="1"/>
  <c r="AF411" i="6"/>
  <c r="AF413" i="3"/>
  <c r="AD413" i="3"/>
  <c r="AE413" i="3" s="1"/>
  <c r="K327" i="4" l="1"/>
  <c r="L327" i="4" s="1"/>
  <c r="N29" i="10"/>
  <c r="O29" i="10" a="1"/>
  <c r="O29" i="10" s="1"/>
  <c r="J36" i="10" a="1"/>
  <c r="J36" i="10" s="1"/>
  <c r="AG411" i="6"/>
  <c r="D411" i="9" s="1"/>
  <c r="AG413" i="3"/>
  <c r="AA414" i="3" s="1"/>
  <c r="AC414" i="3" s="1"/>
  <c r="M327" i="4" l="1"/>
  <c r="N327" i="4" s="1"/>
  <c r="AA412" i="6"/>
  <c r="AC412" i="6" s="1"/>
  <c r="AF412" i="6" s="1"/>
  <c r="C413" i="9"/>
  <c r="AD414" i="3"/>
  <c r="AE414" i="3" s="1"/>
  <c r="AF414" i="3"/>
  <c r="G328" i="4" l="1"/>
  <c r="J328" i="4" s="1"/>
  <c r="E327" i="9"/>
  <c r="AD412" i="6"/>
  <c r="AE412" i="6" s="1"/>
  <c r="AG412" i="6" s="1"/>
  <c r="AA413" i="6" s="1"/>
  <c r="AC413" i="6" s="1"/>
  <c r="AG414" i="3"/>
  <c r="AA415" i="3" s="1"/>
  <c r="AC415" i="3" s="1"/>
  <c r="K328" i="4" l="1"/>
  <c r="L328" i="4" s="1"/>
  <c r="D412" i="9"/>
  <c r="C414" i="9"/>
  <c r="AD413" i="6"/>
  <c r="AE413" i="6" s="1"/>
  <c r="AF413" i="6"/>
  <c r="AF415" i="3"/>
  <c r="AD415" i="3"/>
  <c r="AE415" i="3" s="1"/>
  <c r="M328" i="4" l="1"/>
  <c r="N328" i="4" s="1"/>
  <c r="AG413" i="6"/>
  <c r="AA414" i="6" s="1"/>
  <c r="AC414" i="6" s="1"/>
  <c r="AG415" i="3"/>
  <c r="AA416" i="3" s="1"/>
  <c r="AC416" i="3" s="1"/>
  <c r="G329" i="4" l="1"/>
  <c r="J329" i="4" s="1"/>
  <c r="E328" i="9"/>
  <c r="D413" i="9"/>
  <c r="C415" i="9"/>
  <c r="AF414" i="6"/>
  <c r="AD414" i="6"/>
  <c r="AE414" i="6" s="1"/>
  <c r="AD416" i="3"/>
  <c r="AE416" i="3" s="1"/>
  <c r="AF416" i="3"/>
  <c r="M329" i="4" l="1"/>
  <c r="K329" i="4"/>
  <c r="L329" i="4" s="1"/>
  <c r="AG414" i="6"/>
  <c r="AA415" i="6" s="1"/>
  <c r="AC415" i="6" s="1"/>
  <c r="AG416" i="3"/>
  <c r="AA417" i="3" s="1"/>
  <c r="AC417" i="3" s="1"/>
  <c r="N329" i="4" l="1"/>
  <c r="G330" i="4" s="1"/>
  <c r="J330" i="4" s="1"/>
  <c r="D414" i="9"/>
  <c r="C416" i="9"/>
  <c r="AF415" i="6"/>
  <c r="AD415" i="6"/>
  <c r="AE415" i="6" s="1"/>
  <c r="AD417" i="3"/>
  <c r="AE417" i="3" s="1"/>
  <c r="AF417" i="3"/>
  <c r="E329" i="9" l="1"/>
  <c r="M330" i="4"/>
  <c r="K330" i="4"/>
  <c r="L330" i="4" s="1"/>
  <c r="AG415" i="6"/>
  <c r="AA416" i="6" s="1"/>
  <c r="AC416" i="6" s="1"/>
  <c r="AG417" i="3"/>
  <c r="C417" i="9" s="1"/>
  <c r="N330" i="4" l="1"/>
  <c r="G331" i="4" s="1"/>
  <c r="J331" i="4" s="1"/>
  <c r="D415" i="9"/>
  <c r="AA418" i="3"/>
  <c r="AC418" i="3" s="1"/>
  <c r="AD418" i="3" s="1"/>
  <c r="AE418" i="3" s="1"/>
  <c r="AD416" i="6"/>
  <c r="AE416" i="6" s="1"/>
  <c r="AF416" i="6"/>
  <c r="E330" i="9" l="1"/>
  <c r="M331" i="4"/>
  <c r="K331" i="4"/>
  <c r="L331" i="4" s="1"/>
  <c r="AF418" i="3"/>
  <c r="AG418" i="3" s="1"/>
  <c r="AA419" i="3" s="1"/>
  <c r="AC419" i="3" s="1"/>
  <c r="AG416" i="6"/>
  <c r="AA417" i="6" s="1"/>
  <c r="AC417" i="6" s="1"/>
  <c r="N331" i="4" l="1"/>
  <c r="G332" i="4" s="1"/>
  <c r="J332" i="4" s="1"/>
  <c r="D416" i="9"/>
  <c r="C418" i="9"/>
  <c r="AF419" i="3"/>
  <c r="AD419" i="3"/>
  <c r="AE419" i="3" s="1"/>
  <c r="AD417" i="6"/>
  <c r="AE417" i="6" s="1"/>
  <c r="AF417" i="6"/>
  <c r="E331" i="9" l="1"/>
  <c r="M332" i="4"/>
  <c r="K332" i="4"/>
  <c r="L332" i="4" s="1"/>
  <c r="AG419" i="3"/>
  <c r="AA420" i="3" s="1"/>
  <c r="AC420" i="3" s="1"/>
  <c r="AG417" i="6"/>
  <c r="AA418" i="6" s="1"/>
  <c r="AC418" i="6" s="1"/>
  <c r="N332" i="4" l="1"/>
  <c r="E332" i="9"/>
  <c r="G333" i="4"/>
  <c r="J333" i="4" s="1"/>
  <c r="D417" i="9"/>
  <c r="C419" i="9"/>
  <c r="AF420" i="3"/>
  <c r="AD420" i="3"/>
  <c r="AE420" i="3" s="1"/>
  <c r="AF418" i="6"/>
  <c r="AD418" i="6"/>
  <c r="AE418" i="6" s="1"/>
  <c r="M333" i="4" l="1"/>
  <c r="AG420" i="3"/>
  <c r="AA421" i="3" s="1"/>
  <c r="AC421" i="3" s="1"/>
  <c r="AG418" i="6"/>
  <c r="AA419" i="6" s="1"/>
  <c r="AC419" i="6" s="1"/>
  <c r="K333" i="4" l="1"/>
  <c r="L333" i="4" s="1"/>
  <c r="N333" i="4" s="1"/>
  <c r="C420" i="9"/>
  <c r="D418" i="9"/>
  <c r="AF421" i="3"/>
  <c r="AD421" i="3"/>
  <c r="AE421" i="3" s="1"/>
  <c r="AF419" i="6"/>
  <c r="AD419" i="6"/>
  <c r="AE419" i="6" s="1"/>
  <c r="E333" i="9" l="1"/>
  <c r="G334" i="4"/>
  <c r="J334" i="4" s="1"/>
  <c r="AG421" i="3"/>
  <c r="AA422" i="3" s="1"/>
  <c r="AC422" i="3" s="1"/>
  <c r="AG419" i="6"/>
  <c r="AA420" i="6" s="1"/>
  <c r="AC420" i="6" s="1"/>
  <c r="K334" i="4" l="1"/>
  <c r="L334" i="4" s="1"/>
  <c r="M334" i="4"/>
  <c r="D419" i="9"/>
  <c r="C421" i="9"/>
  <c r="AD422" i="3"/>
  <c r="AE422" i="3" s="1"/>
  <c r="AF422" i="3"/>
  <c r="AF420" i="6"/>
  <c r="AD420" i="6"/>
  <c r="AE420" i="6" s="1"/>
  <c r="N334" i="4" l="1"/>
  <c r="E334" i="9" s="1"/>
  <c r="AG422" i="3"/>
  <c r="AA423" i="3" s="1"/>
  <c r="AC423" i="3" s="1"/>
  <c r="AG420" i="6"/>
  <c r="AA421" i="6" s="1"/>
  <c r="AC421" i="6" s="1"/>
  <c r="G335" i="4" l="1"/>
  <c r="J335" i="4" s="1"/>
  <c r="K335" i="4" s="1"/>
  <c r="L335" i="4" s="1"/>
  <c r="C422" i="9"/>
  <c r="C37" i="10" s="1"/>
  <c r="D37" i="10" s="1"/>
  <c r="D420" i="9"/>
  <c r="AF423" i="3"/>
  <c r="AD423" i="3"/>
  <c r="AE423" i="3" s="1"/>
  <c r="AD421" i="6"/>
  <c r="AE421" i="6" s="1"/>
  <c r="AF421" i="6"/>
  <c r="M335" i="4" l="1"/>
  <c r="N335" i="4"/>
  <c r="G336" i="4" s="1"/>
  <c r="J336" i="4" s="1"/>
  <c r="E37" i="10" a="1"/>
  <c r="E37" i="10" s="1"/>
  <c r="AG423" i="3"/>
  <c r="C423" i="9" s="1"/>
  <c r="AG421" i="6"/>
  <c r="AA422" i="6" s="1"/>
  <c r="AC422" i="6" s="1"/>
  <c r="E335" i="9" l="1"/>
  <c r="K336" i="4"/>
  <c r="L336" i="4" s="1"/>
  <c r="M336" i="4"/>
  <c r="AA424" i="3"/>
  <c r="AC424" i="3" s="1"/>
  <c r="AF424" i="3" s="1"/>
  <c r="D421" i="9"/>
  <c r="AD422" i="6"/>
  <c r="AE422" i="6" s="1"/>
  <c r="AF422" i="6"/>
  <c r="N336" i="4" l="1"/>
  <c r="E336" i="9" s="1"/>
  <c r="AD424" i="3"/>
  <c r="AE424" i="3" s="1"/>
  <c r="AG424" i="3" s="1"/>
  <c r="AG422" i="6"/>
  <c r="AA423" i="6" s="1"/>
  <c r="AC423" i="6" s="1"/>
  <c r="G337" i="4" l="1"/>
  <c r="J337" i="4" s="1"/>
  <c r="AA425" i="3"/>
  <c r="AC425" i="3" s="1"/>
  <c r="AD425" i="3" s="1"/>
  <c r="AE425" i="3" s="1"/>
  <c r="C424" i="9"/>
  <c r="D422" i="9"/>
  <c r="H37" i="10" s="1"/>
  <c r="I37" i="10" s="1"/>
  <c r="AD423" i="6"/>
  <c r="AE423" i="6" s="1"/>
  <c r="AF423" i="6"/>
  <c r="M337" i="4" l="1"/>
  <c r="K337" i="4"/>
  <c r="L337" i="4" s="1"/>
  <c r="AF425" i="3"/>
  <c r="AG425" i="3" s="1"/>
  <c r="AA426" i="3" s="1"/>
  <c r="AC426" i="3" s="1"/>
  <c r="J37" i="10" a="1"/>
  <c r="J37" i="10" s="1"/>
  <c r="AG423" i="6"/>
  <c r="D423" i="9" s="1"/>
  <c r="N337" i="4" l="1"/>
  <c r="E337" i="9" s="1"/>
  <c r="AA424" i="6"/>
  <c r="AC424" i="6" s="1"/>
  <c r="AD424" i="6" s="1"/>
  <c r="AE424" i="6" s="1"/>
  <c r="C425" i="9"/>
  <c r="AF426" i="3"/>
  <c r="AD426" i="3"/>
  <c r="AE426" i="3" s="1"/>
  <c r="G338" i="4" l="1"/>
  <c r="J338" i="4" s="1"/>
  <c r="K338" i="4" s="1"/>
  <c r="L338" i="4" s="1"/>
  <c r="AF424" i="6"/>
  <c r="AG424" i="6" s="1"/>
  <c r="D424" i="9" s="1"/>
  <c r="AG426" i="3"/>
  <c r="AA427" i="3" s="1"/>
  <c r="AC427" i="3" s="1"/>
  <c r="M338" i="4" l="1"/>
  <c r="N338" i="4" s="1"/>
  <c r="AA425" i="6"/>
  <c r="AC425" i="6" s="1"/>
  <c r="AD425" i="6" s="1"/>
  <c r="AE425" i="6" s="1"/>
  <c r="C426" i="9"/>
  <c r="AD427" i="3"/>
  <c r="AE427" i="3" s="1"/>
  <c r="AF427" i="3"/>
  <c r="E338" i="9" l="1"/>
  <c r="M30" i="10" s="1"/>
  <c r="G339" i="4"/>
  <c r="J339" i="4" s="1"/>
  <c r="AF425" i="6"/>
  <c r="AG425" i="6" s="1"/>
  <c r="AA426" i="6" s="1"/>
  <c r="AC426" i="6" s="1"/>
  <c r="AG427" i="3"/>
  <c r="AA428" i="3" s="1"/>
  <c r="AC428" i="3" s="1"/>
  <c r="M339" i="4" l="1"/>
  <c r="N30" i="10"/>
  <c r="O30" i="10" a="1"/>
  <c r="O30" i="10" s="1"/>
  <c r="C427" i="9"/>
  <c r="D425" i="9"/>
  <c r="AF426" i="6"/>
  <c r="AD426" i="6"/>
  <c r="AE426" i="6" s="1"/>
  <c r="AF428" i="3"/>
  <c r="AD428" i="3"/>
  <c r="AE428" i="3" s="1"/>
  <c r="K339" i="4" l="1"/>
  <c r="L339" i="4" s="1"/>
  <c r="N339" i="4" s="1"/>
  <c r="AG426" i="6"/>
  <c r="AA427" i="6" s="1"/>
  <c r="AC427" i="6" s="1"/>
  <c r="AG428" i="3"/>
  <c r="AA429" i="3" s="1"/>
  <c r="AC429" i="3" s="1"/>
  <c r="G340" i="4" l="1"/>
  <c r="J340" i="4" s="1"/>
  <c r="E339" i="9"/>
  <c r="D426" i="9"/>
  <c r="C428" i="9"/>
  <c r="AF427" i="6"/>
  <c r="AD427" i="6"/>
  <c r="AE427" i="6" s="1"/>
  <c r="AD429" i="3"/>
  <c r="AE429" i="3" s="1"/>
  <c r="AF429" i="3"/>
  <c r="M340" i="4" l="1"/>
  <c r="K340" i="4"/>
  <c r="L340" i="4" s="1"/>
  <c r="AG427" i="6"/>
  <c r="AA428" i="6" s="1"/>
  <c r="AC428" i="6" s="1"/>
  <c r="AG429" i="3"/>
  <c r="AA430" i="3" s="1"/>
  <c r="AC430" i="3" s="1"/>
  <c r="N340" i="4" l="1"/>
  <c r="E340" i="9" s="1"/>
  <c r="D427" i="9"/>
  <c r="C429" i="9"/>
  <c r="AD428" i="6"/>
  <c r="AE428" i="6" s="1"/>
  <c r="AF428" i="6"/>
  <c r="AD430" i="3"/>
  <c r="AE430" i="3" s="1"/>
  <c r="AF430" i="3"/>
  <c r="G341" i="4" l="1"/>
  <c r="J341" i="4" s="1"/>
  <c r="K341" i="4" s="1"/>
  <c r="L341" i="4" s="1"/>
  <c r="AG430" i="3"/>
  <c r="AA431" i="3" s="1"/>
  <c r="AC431" i="3" s="1"/>
  <c r="AG428" i="6"/>
  <c r="AA429" i="6" s="1"/>
  <c r="AC429" i="6" s="1"/>
  <c r="M341" i="4" l="1"/>
  <c r="N341" i="4" s="1"/>
  <c r="C430" i="9"/>
  <c r="D428" i="9"/>
  <c r="AD431" i="3"/>
  <c r="AE431" i="3" s="1"/>
  <c r="AF431" i="3"/>
  <c r="AD429" i="6"/>
  <c r="AE429" i="6" s="1"/>
  <c r="AF429" i="6"/>
  <c r="G342" i="4" l="1"/>
  <c r="J342" i="4" s="1"/>
  <c r="E341" i="9"/>
  <c r="AG431" i="3"/>
  <c r="AA432" i="3" s="1"/>
  <c r="AC432" i="3" s="1"/>
  <c r="AG429" i="6"/>
  <c r="AA430" i="6" s="1"/>
  <c r="AC430" i="6" s="1"/>
  <c r="K342" i="4" l="1"/>
  <c r="L342" i="4" s="1"/>
  <c r="M342" i="4"/>
  <c r="C431" i="9"/>
  <c r="D429" i="9"/>
  <c r="AD432" i="3"/>
  <c r="AE432" i="3" s="1"/>
  <c r="AF432" i="3"/>
  <c r="AD430" i="6"/>
  <c r="AE430" i="6" s="1"/>
  <c r="AF430" i="6"/>
  <c r="N342" i="4" l="1"/>
  <c r="E342" i="9" s="1"/>
  <c r="AG430" i="6"/>
  <c r="AA431" i="6" s="1"/>
  <c r="AC431" i="6" s="1"/>
  <c r="AG432" i="3"/>
  <c r="AA433" i="3" s="1"/>
  <c r="AC433" i="3" s="1"/>
  <c r="G343" i="4" l="1"/>
  <c r="J343" i="4" s="1"/>
  <c r="C432" i="9"/>
  <c r="D430" i="9"/>
  <c r="AD433" i="3"/>
  <c r="AE433" i="3" s="1"/>
  <c r="AF433" i="3"/>
  <c r="AD431" i="6"/>
  <c r="AE431" i="6" s="1"/>
  <c r="AF431" i="6"/>
  <c r="K343" i="4" l="1"/>
  <c r="L343" i="4" s="1"/>
  <c r="M343" i="4"/>
  <c r="AG431" i="6"/>
  <c r="AA432" i="6" s="1"/>
  <c r="AC432" i="6" s="1"/>
  <c r="AG433" i="3"/>
  <c r="AA434" i="3" s="1"/>
  <c r="AC434" i="3" s="1"/>
  <c r="N343" i="4" l="1"/>
  <c r="E343" i="9" s="1"/>
  <c r="C433" i="9"/>
  <c r="D431" i="9"/>
  <c r="AF434" i="3"/>
  <c r="AD434" i="3"/>
  <c r="AE434" i="3" s="1"/>
  <c r="AD432" i="6"/>
  <c r="AE432" i="6" s="1"/>
  <c r="AF432" i="6"/>
  <c r="G344" i="4" l="1"/>
  <c r="J344" i="4" s="1"/>
  <c r="AG434" i="3"/>
  <c r="AA435" i="3" s="1"/>
  <c r="AC435" i="3" s="1"/>
  <c r="AG432" i="6"/>
  <c r="AA433" i="6" s="1"/>
  <c r="AC433" i="6" s="1"/>
  <c r="C434" i="9"/>
  <c r="C38" i="10" s="1"/>
  <c r="K344" i="4" l="1"/>
  <c r="L344" i="4" s="1"/>
  <c r="M344" i="4"/>
  <c r="D432" i="9"/>
  <c r="AF435" i="3"/>
  <c r="AD435" i="3"/>
  <c r="AE435" i="3" s="1"/>
  <c r="D38" i="10"/>
  <c r="E38" i="10" a="1"/>
  <c r="E38" i="10" s="1"/>
  <c r="AD433" i="6"/>
  <c r="AE433" i="6" s="1"/>
  <c r="AF433" i="6"/>
  <c r="N344" i="4" l="1"/>
  <c r="G345" i="4" s="1"/>
  <c r="J345" i="4" s="1"/>
  <c r="AG435" i="3"/>
  <c r="AA436" i="3" s="1"/>
  <c r="AC436" i="3" s="1"/>
  <c r="AG433" i="6"/>
  <c r="AA434" i="6" s="1"/>
  <c r="AC434" i="6" s="1"/>
  <c r="E344" i="9" l="1"/>
  <c r="M345" i="4"/>
  <c r="K345" i="4"/>
  <c r="L345" i="4" s="1"/>
  <c r="C435" i="9"/>
  <c r="D433" i="9"/>
  <c r="AD436" i="3"/>
  <c r="AE436" i="3" s="1"/>
  <c r="AF436" i="3"/>
  <c r="AD434" i="6"/>
  <c r="AE434" i="6" s="1"/>
  <c r="AF434" i="6"/>
  <c r="N345" i="4" l="1"/>
  <c r="G346" i="4" s="1"/>
  <c r="J346" i="4" s="1"/>
  <c r="AG434" i="6"/>
  <c r="D434" i="9" s="1"/>
  <c r="H38" i="10" s="1"/>
  <c r="AG436" i="3"/>
  <c r="AA437" i="3" s="1"/>
  <c r="AC437" i="3" s="1"/>
  <c r="E345" i="9" l="1"/>
  <c r="K346" i="4"/>
  <c r="L346" i="4" s="1"/>
  <c r="M346" i="4"/>
  <c r="C436" i="9"/>
  <c r="AA435" i="6"/>
  <c r="AC435" i="6" s="1"/>
  <c r="AF435" i="6" s="1"/>
  <c r="AD437" i="3"/>
  <c r="AE437" i="3" s="1"/>
  <c r="AF437" i="3"/>
  <c r="I38" i="10"/>
  <c r="J38" i="10" a="1"/>
  <c r="J38" i="10" s="1"/>
  <c r="N346" i="4" l="1"/>
  <c r="E346" i="9" s="1"/>
  <c r="AD435" i="6"/>
  <c r="AE435" i="6" s="1"/>
  <c r="AG435" i="6" s="1"/>
  <c r="AA436" i="6" s="1"/>
  <c r="AC436" i="6" s="1"/>
  <c r="AG437" i="3"/>
  <c r="AA438" i="3" s="1"/>
  <c r="AC438" i="3" s="1"/>
  <c r="G347" i="4" l="1"/>
  <c r="J347" i="4" s="1"/>
  <c r="M347" i="4" s="1"/>
  <c r="D435" i="9"/>
  <c r="C437" i="9"/>
  <c r="AD436" i="6"/>
  <c r="AE436" i="6" s="1"/>
  <c r="AF436" i="6"/>
  <c r="AF438" i="3"/>
  <c r="AD438" i="3"/>
  <c r="AE438" i="3" s="1"/>
  <c r="K347" i="4" l="1"/>
  <c r="L347" i="4" s="1"/>
  <c r="N347" i="4" s="1"/>
  <c r="AG438" i="3"/>
  <c r="C438" i="9" s="1"/>
  <c r="AG436" i="6"/>
  <c r="AA437" i="6" s="1"/>
  <c r="AC437" i="6" s="1"/>
  <c r="E347" i="9" l="1"/>
  <c r="G348" i="4"/>
  <c r="J348" i="4" s="1"/>
  <c r="D436" i="9"/>
  <c r="AA439" i="3"/>
  <c r="AC439" i="3" s="1"/>
  <c r="AD439" i="3" s="1"/>
  <c r="AE439" i="3" s="1"/>
  <c r="AF437" i="6"/>
  <c r="AD437" i="6"/>
  <c r="AE437" i="6" s="1"/>
  <c r="AG437" i="6" l="1"/>
  <c r="AA438" i="6" s="1"/>
  <c r="AC438" i="6" s="1"/>
  <c r="AF439" i="3"/>
  <c r="AG439" i="3" s="1"/>
  <c r="M348" i="4" l="1"/>
  <c r="K348" i="4"/>
  <c r="L348" i="4" s="1"/>
  <c r="D437" i="9"/>
  <c r="AA440" i="3"/>
  <c r="AC440" i="3" s="1"/>
  <c r="AF440" i="3" s="1"/>
  <c r="C439" i="9"/>
  <c r="AF438" i="6"/>
  <c r="AD438" i="6"/>
  <c r="AE438" i="6" s="1"/>
  <c r="N348" i="4" l="1"/>
  <c r="E348" i="9"/>
  <c r="G349" i="4"/>
  <c r="J349" i="4" s="1"/>
  <c r="AD440" i="3"/>
  <c r="AE440" i="3" s="1"/>
  <c r="AG440" i="3" s="1"/>
  <c r="AA441" i="3" s="1"/>
  <c r="AC441" i="3" s="1"/>
  <c r="AG438" i="6"/>
  <c r="AA439" i="6" s="1"/>
  <c r="AC439" i="6" s="1"/>
  <c r="D438" i="9" l="1"/>
  <c r="C440" i="9"/>
  <c r="AD439" i="6"/>
  <c r="AE439" i="6" s="1"/>
  <c r="AF439" i="6"/>
  <c r="AD441" i="3"/>
  <c r="AE441" i="3" s="1"/>
  <c r="AF441" i="3"/>
  <c r="M349" i="4" l="1"/>
  <c r="K349" i="4"/>
  <c r="L349" i="4" s="1"/>
  <c r="N349" i="4" s="1"/>
  <c r="AG441" i="3"/>
  <c r="AA442" i="3" s="1"/>
  <c r="AC442" i="3" s="1"/>
  <c r="AG439" i="6"/>
  <c r="AA440" i="6" s="1"/>
  <c r="AC440" i="6" s="1"/>
  <c r="E349" i="9" l="1"/>
  <c r="G350" i="4"/>
  <c r="J350" i="4" s="1"/>
  <c r="D439" i="9"/>
  <c r="C441" i="9"/>
  <c r="AF440" i="6"/>
  <c r="AD440" i="6"/>
  <c r="AE440" i="6" s="1"/>
  <c r="AD442" i="3"/>
  <c r="AE442" i="3" s="1"/>
  <c r="AF442" i="3"/>
  <c r="K350" i="4" l="1"/>
  <c r="L350" i="4" s="1"/>
  <c r="AG442" i="3"/>
  <c r="AA443" i="3" s="1"/>
  <c r="AC443" i="3" s="1"/>
  <c r="AG440" i="6"/>
  <c r="AA441" i="6" s="1"/>
  <c r="AC441" i="6" s="1"/>
  <c r="D440" i="9" l="1"/>
  <c r="M350" i="4"/>
  <c r="N350" i="4" s="1"/>
  <c r="C442" i="9"/>
  <c r="AF441" i="6"/>
  <c r="AD441" i="6"/>
  <c r="AE441" i="6" s="1"/>
  <c r="AD443" i="3"/>
  <c r="AE443" i="3" s="1"/>
  <c r="AF443" i="3"/>
  <c r="G351" i="4" l="1"/>
  <c r="J351" i="4" s="1"/>
  <c r="E350" i="9"/>
  <c r="M31" i="10" s="1"/>
  <c r="AG443" i="3"/>
  <c r="AA444" i="3" s="1"/>
  <c r="AC444" i="3" s="1"/>
  <c r="AG441" i="6"/>
  <c r="AA442" i="6" s="1"/>
  <c r="AC442" i="6" s="1"/>
  <c r="N31" i="10" l="1"/>
  <c r="O31" i="10" a="1"/>
  <c r="O31" i="10" s="1"/>
  <c r="M351" i="4"/>
  <c r="K351" i="4"/>
  <c r="L351" i="4" s="1"/>
  <c r="D441" i="9"/>
  <c r="C443" i="9"/>
  <c r="AD442" i="6"/>
  <c r="AE442" i="6" s="1"/>
  <c r="AF442" i="6"/>
  <c r="AF444" i="3"/>
  <c r="AD444" i="3"/>
  <c r="AE444" i="3" s="1"/>
  <c r="N351" i="4" l="1"/>
  <c r="E351" i="9" s="1"/>
  <c r="AG444" i="3"/>
  <c r="AA445" i="3" s="1"/>
  <c r="AC445" i="3" s="1"/>
  <c r="AG442" i="6"/>
  <c r="AA443" i="6" s="1"/>
  <c r="AC443" i="6" s="1"/>
  <c r="C444" i="9" l="1"/>
  <c r="G352" i="4"/>
  <c r="J352" i="4" s="1"/>
  <c r="M352" i="4" s="1"/>
  <c r="D442" i="9"/>
  <c r="AF445" i="3"/>
  <c r="AD445" i="3"/>
  <c r="AE445" i="3" s="1"/>
  <c r="AD443" i="6"/>
  <c r="AE443" i="6" s="1"/>
  <c r="AF443" i="6"/>
  <c r="K352" i="4" l="1"/>
  <c r="L352" i="4" s="1"/>
  <c r="N352" i="4" s="1"/>
  <c r="AG443" i="6"/>
  <c r="AA444" i="6" s="1"/>
  <c r="AC444" i="6" s="1"/>
  <c r="AG445" i="3"/>
  <c r="AA446" i="3" s="1"/>
  <c r="AC446" i="3" s="1"/>
  <c r="C445" i="9" l="1"/>
  <c r="E352" i="9"/>
  <c r="G353" i="4"/>
  <c r="J353" i="4" s="1"/>
  <c r="D443" i="9"/>
  <c r="AD446" i="3"/>
  <c r="AE446" i="3" s="1"/>
  <c r="AF446" i="3"/>
  <c r="AF444" i="6"/>
  <c r="AD444" i="6"/>
  <c r="AE444" i="6" s="1"/>
  <c r="K353" i="4" l="1"/>
  <c r="L353" i="4" s="1"/>
  <c r="AG444" i="6"/>
  <c r="AA445" i="6" s="1"/>
  <c r="AC445" i="6" s="1"/>
  <c r="AG446" i="3"/>
  <c r="AA447" i="3" s="1"/>
  <c r="AC447" i="3" s="1"/>
  <c r="M353" i="4" l="1"/>
  <c r="N353" i="4" s="1"/>
  <c r="D444" i="9"/>
  <c r="C446" i="9"/>
  <c r="C39" i="10" s="1"/>
  <c r="D39" i="10" s="1"/>
  <c r="AD447" i="3"/>
  <c r="AE447" i="3" s="1"/>
  <c r="AF447" i="3"/>
  <c r="AF445" i="6"/>
  <c r="AD445" i="6"/>
  <c r="AE445" i="6" s="1"/>
  <c r="E353" i="9" l="1"/>
  <c r="G354" i="4"/>
  <c r="J354" i="4" s="1"/>
  <c r="E39" i="10" a="1"/>
  <c r="E39" i="10" s="1"/>
  <c r="AG447" i="3"/>
  <c r="AA448" i="3" s="1"/>
  <c r="AC448" i="3" s="1"/>
  <c r="AG445" i="6"/>
  <c r="AA446" i="6" s="1"/>
  <c r="AC446" i="6" s="1"/>
  <c r="M354" i="4" l="1"/>
  <c r="C447" i="9"/>
  <c r="D445" i="9"/>
  <c r="AD448" i="3"/>
  <c r="AE448" i="3" s="1"/>
  <c r="AF448" i="3"/>
  <c r="AF446" i="6"/>
  <c r="AD446" i="6"/>
  <c r="AE446" i="6" s="1"/>
  <c r="K354" i="4" l="1"/>
  <c r="L354" i="4" s="1"/>
  <c r="N354" i="4" s="1"/>
  <c r="AG446" i="6"/>
  <c r="AA447" i="6" s="1"/>
  <c r="AC447" i="6" s="1"/>
  <c r="AG448" i="3"/>
  <c r="AA449" i="3" s="1"/>
  <c r="AC449" i="3" s="1"/>
  <c r="D446" i="9" l="1"/>
  <c r="H39" i="10" s="1"/>
  <c r="I39" i="10" s="1"/>
  <c r="E354" i="9"/>
  <c r="G355" i="4"/>
  <c r="J355" i="4" s="1"/>
  <c r="C448" i="9"/>
  <c r="AF447" i="6"/>
  <c r="AD447" i="6"/>
  <c r="AE447" i="6" s="1"/>
  <c r="AF449" i="3"/>
  <c r="AD449" i="3"/>
  <c r="AE449" i="3" s="1"/>
  <c r="J39" i="10" l="1" a="1"/>
  <c r="J39" i="10" s="1"/>
  <c r="K355" i="4"/>
  <c r="L355" i="4" s="1"/>
  <c r="AG449" i="3"/>
  <c r="AA450" i="3" s="1"/>
  <c r="AC450" i="3" s="1"/>
  <c r="AG447" i="6"/>
  <c r="D447" i="9" s="1"/>
  <c r="M355" i="4" l="1"/>
  <c r="N355" i="4" s="1"/>
  <c r="AA448" i="6"/>
  <c r="AC448" i="6" s="1"/>
  <c r="AD448" i="6" s="1"/>
  <c r="AE448" i="6" s="1"/>
  <c r="C449" i="9"/>
  <c r="AF450" i="3"/>
  <c r="AD450" i="3"/>
  <c r="AE450" i="3" s="1"/>
  <c r="E355" i="9" l="1"/>
  <c r="G356" i="4"/>
  <c r="J356" i="4" s="1"/>
  <c r="AF448" i="6"/>
  <c r="AG448" i="6" s="1"/>
  <c r="AG450" i="3"/>
  <c r="AA451" i="3" s="1"/>
  <c r="AC451" i="3" s="1"/>
  <c r="M356" i="4" l="1"/>
  <c r="C450" i="9"/>
  <c r="D448" i="9"/>
  <c r="AA449" i="6"/>
  <c r="AC449" i="6" s="1"/>
  <c r="AD449" i="6" s="1"/>
  <c r="AE449" i="6" s="1"/>
  <c r="AD451" i="3"/>
  <c r="AE451" i="3" s="1"/>
  <c r="AF451" i="3"/>
  <c r="K356" i="4" l="1"/>
  <c r="L356" i="4" s="1"/>
  <c r="N356" i="4" s="1"/>
  <c r="AF449" i="6"/>
  <c r="AG449" i="6" s="1"/>
  <c r="AA450" i="6" s="1"/>
  <c r="AC450" i="6" s="1"/>
  <c r="AG451" i="3"/>
  <c r="AA452" i="3" s="1"/>
  <c r="AC452" i="3" s="1"/>
  <c r="G357" i="4" l="1"/>
  <c r="J357" i="4" s="1"/>
  <c r="E356" i="9"/>
  <c r="C451" i="9"/>
  <c r="D449" i="9"/>
  <c r="AD450" i="6"/>
  <c r="AE450" i="6" s="1"/>
  <c r="AF450" i="6"/>
  <c r="AD452" i="3"/>
  <c r="AE452" i="3" s="1"/>
  <c r="AF452" i="3"/>
  <c r="M357" i="4" l="1"/>
  <c r="AG452" i="3"/>
  <c r="AA453" i="3" s="1"/>
  <c r="AC453" i="3" s="1"/>
  <c r="AG450" i="6"/>
  <c r="AA451" i="6" s="1"/>
  <c r="AC451" i="6" s="1"/>
  <c r="K357" i="4" l="1"/>
  <c r="L357" i="4" s="1"/>
  <c r="N357" i="4" s="1"/>
  <c r="C452" i="9"/>
  <c r="D450" i="9"/>
  <c r="AD453" i="3"/>
  <c r="AE453" i="3" s="1"/>
  <c r="AF453" i="3"/>
  <c r="AF451" i="6"/>
  <c r="AD451" i="6"/>
  <c r="AE451" i="6" s="1"/>
  <c r="E357" i="9" l="1"/>
  <c r="G358" i="4"/>
  <c r="J358" i="4" s="1"/>
  <c r="AG451" i="6"/>
  <c r="AA452" i="6" s="1"/>
  <c r="AC452" i="6" s="1"/>
  <c r="AG453" i="3"/>
  <c r="C453" i="9" s="1"/>
  <c r="M358" i="4" l="1"/>
  <c r="D451" i="9"/>
  <c r="AA454" i="3"/>
  <c r="AC454" i="3" s="1"/>
  <c r="AF454" i="3" s="1"/>
  <c r="AD452" i="6"/>
  <c r="AE452" i="6" s="1"/>
  <c r="AF452" i="6"/>
  <c r="K358" i="4" l="1"/>
  <c r="L358" i="4" s="1"/>
  <c r="N358" i="4" s="1"/>
  <c r="AD454" i="3"/>
  <c r="AE454" i="3" s="1"/>
  <c r="AG454" i="3" s="1"/>
  <c r="AG452" i="6"/>
  <c r="AA453" i="6" s="1"/>
  <c r="AC453" i="6" s="1"/>
  <c r="E358" i="9" l="1"/>
  <c r="G359" i="4"/>
  <c r="J359" i="4" s="1"/>
  <c r="AA455" i="3"/>
  <c r="AC455" i="3" s="1"/>
  <c r="AD455" i="3" s="1"/>
  <c r="AE455" i="3" s="1"/>
  <c r="C454" i="9"/>
  <c r="D452" i="9"/>
  <c r="AD453" i="6"/>
  <c r="AE453" i="6" s="1"/>
  <c r="AF453" i="6"/>
  <c r="K359" i="4" l="1"/>
  <c r="L359" i="4" s="1"/>
  <c r="AF455" i="3"/>
  <c r="AG455" i="3" s="1"/>
  <c r="AA456" i="3" s="1"/>
  <c r="AC456" i="3" s="1"/>
  <c r="AG453" i="6"/>
  <c r="D453" i="9" s="1"/>
  <c r="M359" i="4" l="1"/>
  <c r="N359" i="4" s="1"/>
  <c r="AA454" i="6"/>
  <c r="AC454" i="6" s="1"/>
  <c r="AF454" i="6" s="1"/>
  <c r="C455" i="9"/>
  <c r="AF456" i="3"/>
  <c r="AD456" i="3"/>
  <c r="AE456" i="3" s="1"/>
  <c r="G360" i="4" l="1"/>
  <c r="J360" i="4" s="1"/>
  <c r="E359" i="9"/>
  <c r="AD454" i="6"/>
  <c r="AE454" i="6" s="1"/>
  <c r="AG454" i="6" s="1"/>
  <c r="AA455" i="6" s="1"/>
  <c r="AC455" i="6" s="1"/>
  <c r="AG456" i="3"/>
  <c r="AA457" i="3" s="1"/>
  <c r="AC457" i="3" s="1"/>
  <c r="D454" i="9" l="1"/>
  <c r="C456" i="9"/>
  <c r="AD455" i="6"/>
  <c r="AE455" i="6" s="1"/>
  <c r="AF455" i="6"/>
  <c r="AD457" i="3"/>
  <c r="AE457" i="3" s="1"/>
  <c r="AF457" i="3"/>
  <c r="K360" i="4" l="1"/>
  <c r="L360" i="4" s="1"/>
  <c r="M360" i="4"/>
  <c r="N360" i="4" s="1"/>
  <c r="AG455" i="6"/>
  <c r="AA456" i="6" s="1"/>
  <c r="AC456" i="6" s="1"/>
  <c r="AG457" i="3"/>
  <c r="AA458" i="3" s="1"/>
  <c r="AC458" i="3" s="1"/>
  <c r="E360" i="9" l="1"/>
  <c r="G361" i="4"/>
  <c r="J361" i="4" s="1"/>
  <c r="D455" i="9"/>
  <c r="C457" i="9"/>
  <c r="AF456" i="6"/>
  <c r="AD456" i="6"/>
  <c r="AE456" i="6" s="1"/>
  <c r="AD458" i="3"/>
  <c r="AE458" i="3" s="1"/>
  <c r="AF458" i="3"/>
  <c r="K361" i="4" l="1"/>
  <c r="L361" i="4" s="1"/>
  <c r="M361" i="4"/>
  <c r="AG456" i="6"/>
  <c r="AA457" i="6" s="1"/>
  <c r="AC457" i="6" s="1"/>
  <c r="AG458" i="3"/>
  <c r="AA459" i="3" s="1"/>
  <c r="AC459" i="3" s="1"/>
  <c r="N361" i="4" l="1"/>
  <c r="E361" i="9"/>
  <c r="G362" i="4"/>
  <c r="J362" i="4" s="1"/>
  <c r="D456" i="9"/>
  <c r="C458" i="9"/>
  <c r="C40" i="10" s="1"/>
  <c r="D40" i="10" s="1"/>
  <c r="AF457" i="6"/>
  <c r="AD457" i="6"/>
  <c r="AE457" i="6" s="1"/>
  <c r="AD459" i="3"/>
  <c r="AE459" i="3" s="1"/>
  <c r="AF459" i="3"/>
  <c r="M362" i="4" l="1"/>
  <c r="E40" i="10" a="1"/>
  <c r="E40" i="10" s="1"/>
  <c r="AG457" i="6"/>
  <c r="AA458" i="6" s="1"/>
  <c r="AC458" i="6" s="1"/>
  <c r="AG459" i="3"/>
  <c r="AA460" i="3" s="1"/>
  <c r="AC460" i="3" s="1"/>
  <c r="K362" i="4" l="1"/>
  <c r="L362" i="4" s="1"/>
  <c r="N362" i="4" s="1"/>
  <c r="D457" i="9"/>
  <c r="C459" i="9"/>
  <c r="AD460" i="3"/>
  <c r="AE460" i="3" s="1"/>
  <c r="AF460" i="3"/>
  <c r="AD458" i="6"/>
  <c r="AE458" i="6" s="1"/>
  <c r="AF458" i="6"/>
  <c r="E362" i="9" l="1"/>
  <c r="M32" i="10" s="1"/>
  <c r="G363" i="4"/>
  <c r="J363" i="4" s="1"/>
  <c r="AG458" i="6"/>
  <c r="AA459" i="6" s="1"/>
  <c r="AC459" i="6" s="1"/>
  <c r="AG460" i="3"/>
  <c r="AA461" i="3" s="1"/>
  <c r="AC461" i="3" s="1"/>
  <c r="O32" i="10" l="1" a="1"/>
  <c r="O32" i="10" s="1"/>
  <c r="N32" i="10"/>
  <c r="D458" i="9"/>
  <c r="H40" i="10" s="1"/>
  <c r="I40" i="10" s="1"/>
  <c r="C460" i="9"/>
  <c r="AD459" i="6"/>
  <c r="AE459" i="6" s="1"/>
  <c r="AF459" i="6"/>
  <c r="AF461" i="3"/>
  <c r="AD461" i="3"/>
  <c r="AE461" i="3" s="1"/>
  <c r="M363" i="4" l="1"/>
  <c r="K363" i="4"/>
  <c r="L363" i="4" s="1"/>
  <c r="N363" i="4" s="1"/>
  <c r="J40" i="10" a="1"/>
  <c r="J40" i="10" s="1"/>
  <c r="AG461" i="3"/>
  <c r="AA462" i="3" s="1"/>
  <c r="AC462" i="3" s="1"/>
  <c r="AG459" i="6"/>
  <c r="AA460" i="6" s="1"/>
  <c r="AC460" i="6" s="1"/>
  <c r="E363" i="9" l="1"/>
  <c r="G364" i="4"/>
  <c r="J364" i="4" s="1"/>
  <c r="C461" i="9"/>
  <c r="D459" i="9"/>
  <c r="AF460" i="6"/>
  <c r="AD460" i="6"/>
  <c r="AE460" i="6" s="1"/>
  <c r="AF462" i="3"/>
  <c r="AD462" i="3"/>
  <c r="AE462" i="3" s="1"/>
  <c r="M364" i="4" l="1"/>
  <c r="K364" i="4"/>
  <c r="L364" i="4" s="1"/>
  <c r="AG462" i="3"/>
  <c r="AA463" i="3" s="1"/>
  <c r="AC463" i="3" s="1"/>
  <c r="AG460" i="6"/>
  <c r="AA461" i="6" s="1"/>
  <c r="AC461" i="6" s="1"/>
  <c r="N364" i="4" l="1"/>
  <c r="E364" i="9" s="1"/>
  <c r="C462" i="9"/>
  <c r="D460" i="9"/>
  <c r="AD461" i="6"/>
  <c r="AE461" i="6" s="1"/>
  <c r="AF461" i="6"/>
  <c r="AF463" i="3"/>
  <c r="AD463" i="3"/>
  <c r="AE463" i="3" s="1"/>
  <c r="G365" i="4" l="1"/>
  <c r="J365" i="4" s="1"/>
  <c r="K365" i="4" s="1"/>
  <c r="L365" i="4" s="1"/>
  <c r="AG461" i="6"/>
  <c r="AA462" i="6" s="1"/>
  <c r="AC462" i="6" s="1"/>
  <c r="AG463" i="3"/>
  <c r="AA464" i="3" s="1"/>
  <c r="AC464" i="3" s="1"/>
  <c r="M365" i="4" l="1"/>
  <c r="N365" i="4" s="1"/>
  <c r="E365" i="9"/>
  <c r="G366" i="4"/>
  <c r="J366" i="4" s="1"/>
  <c r="D461" i="9"/>
  <c r="C463" i="9"/>
  <c r="AD462" i="6"/>
  <c r="AE462" i="6" s="1"/>
  <c r="AF462" i="6"/>
  <c r="AD464" i="3"/>
  <c r="AE464" i="3" s="1"/>
  <c r="AF464" i="3"/>
  <c r="M366" i="4" l="1"/>
  <c r="K366" i="4"/>
  <c r="L366" i="4" s="1"/>
  <c r="N366" i="4" s="1"/>
  <c r="AG462" i="6"/>
  <c r="AA463" i="6" s="1"/>
  <c r="AC463" i="6" s="1"/>
  <c r="AG464" i="3"/>
  <c r="AA465" i="3" s="1"/>
  <c r="AC465" i="3" s="1"/>
  <c r="E366" i="9" l="1"/>
  <c r="G367" i="4"/>
  <c r="J367" i="4" s="1"/>
  <c r="D462" i="9"/>
  <c r="C464" i="9"/>
  <c r="AD463" i="6"/>
  <c r="AE463" i="6" s="1"/>
  <c r="AF463" i="6"/>
  <c r="AD465" i="3"/>
  <c r="AE465" i="3" s="1"/>
  <c r="AF465" i="3"/>
  <c r="K367" i="4" l="1"/>
  <c r="L367" i="4" s="1"/>
  <c r="M367" i="4"/>
  <c r="N367" i="4" s="1"/>
  <c r="AG463" i="6"/>
  <c r="AA464" i="6" s="1"/>
  <c r="AC464" i="6" s="1"/>
  <c r="AG465" i="3"/>
  <c r="AA466" i="3" s="1"/>
  <c r="AC466" i="3" s="1"/>
  <c r="E367" i="9" l="1"/>
  <c r="G368" i="4"/>
  <c r="J368" i="4" s="1"/>
  <c r="D463" i="9"/>
  <c r="C465" i="9"/>
  <c r="AD464" i="6"/>
  <c r="AE464" i="6" s="1"/>
  <c r="AF464" i="6"/>
  <c r="AD466" i="3"/>
  <c r="AE466" i="3" s="1"/>
  <c r="AF466" i="3"/>
  <c r="K368" i="4" l="1"/>
  <c r="L368" i="4" s="1"/>
  <c r="M368" i="4"/>
  <c r="N368" i="4" s="1"/>
  <c r="AG464" i="6"/>
  <c r="AG466" i="3"/>
  <c r="AA467" i="3" s="1"/>
  <c r="AC467" i="3" s="1"/>
  <c r="AA465" i="6"/>
  <c r="AC465" i="6" s="1"/>
  <c r="D464" i="9"/>
  <c r="E368" i="9" l="1"/>
  <c r="G369" i="4"/>
  <c r="J369" i="4" s="1"/>
  <c r="C466" i="9"/>
  <c r="AF465" i="6"/>
  <c r="AD465" i="6"/>
  <c r="AE465" i="6" s="1"/>
  <c r="AF467" i="3"/>
  <c r="AD467" i="3"/>
  <c r="AE467" i="3" s="1"/>
  <c r="AG467" i="3" l="1"/>
  <c r="C467" i="9" s="1"/>
  <c r="AG465" i="6"/>
  <c r="AA466" i="6" s="1"/>
  <c r="AC466" i="6" s="1"/>
  <c r="M369" i="4" l="1"/>
  <c r="K369" i="4"/>
  <c r="L369" i="4" s="1"/>
  <c r="D465" i="9"/>
  <c r="AA468" i="3"/>
  <c r="AC468" i="3" s="1"/>
  <c r="AD468" i="3" s="1"/>
  <c r="AE468" i="3" s="1"/>
  <c r="AF466" i="6"/>
  <c r="AD466" i="6"/>
  <c r="AE466" i="6" s="1"/>
  <c r="N369" i="4" l="1"/>
  <c r="G370" i="4" s="1"/>
  <c r="J370" i="4" s="1"/>
  <c r="AF468" i="3"/>
  <c r="AG466" i="6"/>
  <c r="AA467" i="6" s="1"/>
  <c r="AC467" i="6" s="1"/>
  <c r="AG468" i="3"/>
  <c r="AA469" i="3" s="1"/>
  <c r="AC469" i="3" s="1"/>
  <c r="E369" i="9" l="1"/>
  <c r="D466" i="9"/>
  <c r="C468" i="9"/>
  <c r="AD467" i="6"/>
  <c r="AE467" i="6" s="1"/>
  <c r="AF467" i="6"/>
  <c r="AD469" i="3"/>
  <c r="AE469" i="3" s="1"/>
  <c r="AF469" i="3"/>
  <c r="K370" i="4" l="1"/>
  <c r="L370" i="4" s="1"/>
  <c r="M370" i="4"/>
  <c r="N370" i="4" s="1"/>
  <c r="AG469" i="3"/>
  <c r="AA470" i="3" s="1"/>
  <c r="AC470" i="3" s="1"/>
  <c r="AG467" i="6"/>
  <c r="AA468" i="6" s="1"/>
  <c r="AC468" i="6" s="1"/>
  <c r="C469" i="9"/>
  <c r="D467" i="9"/>
  <c r="E370" i="9" l="1"/>
  <c r="G371" i="4"/>
  <c r="J371" i="4" s="1"/>
  <c r="AD468" i="6"/>
  <c r="AE468" i="6" s="1"/>
  <c r="AF468" i="6"/>
  <c r="AD470" i="3"/>
  <c r="AE470" i="3" s="1"/>
  <c r="AF470" i="3"/>
  <c r="M371" i="4" l="1"/>
  <c r="AG468" i="6"/>
  <c r="AA469" i="6" s="1"/>
  <c r="AC469" i="6" s="1"/>
  <c r="AG470" i="3"/>
  <c r="AA471" i="3" s="1"/>
  <c r="AC471" i="3" s="1"/>
  <c r="D468" i="9" l="1"/>
  <c r="K371" i="4"/>
  <c r="L371" i="4" s="1"/>
  <c r="N371" i="4" s="1"/>
  <c r="C470" i="9"/>
  <c r="C41" i="10" s="1"/>
  <c r="D41" i="10" s="1"/>
  <c r="AD469" i="6"/>
  <c r="AE469" i="6" s="1"/>
  <c r="AF469" i="6"/>
  <c r="AD471" i="3"/>
  <c r="AE471" i="3" s="1"/>
  <c r="AF471" i="3"/>
  <c r="E371" i="9" l="1"/>
  <c r="G372" i="4"/>
  <c r="J372" i="4" s="1"/>
  <c r="E41" i="10" a="1"/>
  <c r="E41" i="10" s="1"/>
  <c r="AG469" i="6"/>
  <c r="AA470" i="6" s="1"/>
  <c r="AC470" i="6" s="1"/>
  <c r="AG471" i="3"/>
  <c r="AA472" i="3" s="1"/>
  <c r="AC472" i="3" s="1"/>
  <c r="D469" i="9" l="1"/>
  <c r="M372" i="4"/>
  <c r="K372" i="4"/>
  <c r="L372" i="4" s="1"/>
  <c r="C471" i="9"/>
  <c r="AF470" i="6"/>
  <c r="AD470" i="6"/>
  <c r="AE470" i="6" s="1"/>
  <c r="AF472" i="3"/>
  <c r="AD472" i="3"/>
  <c r="AE472" i="3" s="1"/>
  <c r="N372" i="4" l="1"/>
  <c r="E372" i="9" s="1"/>
  <c r="AG472" i="3"/>
  <c r="AA473" i="3" s="1"/>
  <c r="AC473" i="3" s="1"/>
  <c r="AG470" i="6"/>
  <c r="AA471" i="6" s="1"/>
  <c r="AC471" i="6" s="1"/>
  <c r="G373" i="4" l="1"/>
  <c r="J373" i="4" s="1"/>
  <c r="C472" i="9"/>
  <c r="D470" i="9"/>
  <c r="H41" i="10" s="1"/>
  <c r="I41" i="10" s="1"/>
  <c r="AD473" i="3"/>
  <c r="AE473" i="3" s="1"/>
  <c r="AF473" i="3"/>
  <c r="AD471" i="6"/>
  <c r="AE471" i="6" s="1"/>
  <c r="AF471" i="6"/>
  <c r="M373" i="4" l="1"/>
  <c r="K373" i="4"/>
  <c r="L373" i="4" s="1"/>
  <c r="N373" i="4" s="1"/>
  <c r="J41" i="10" a="1"/>
  <c r="J41" i="10" s="1"/>
  <c r="AG473" i="3"/>
  <c r="AA474" i="3" s="1"/>
  <c r="AC474" i="3" s="1"/>
  <c r="AG471" i="6"/>
  <c r="AA472" i="6" s="1"/>
  <c r="AC472" i="6" s="1"/>
  <c r="E373" i="9" l="1"/>
  <c r="G374" i="4"/>
  <c r="J374" i="4" s="1"/>
  <c r="C473" i="9"/>
  <c r="D471" i="9"/>
  <c r="AD474" i="3"/>
  <c r="AE474" i="3" s="1"/>
  <c r="AF474" i="3"/>
  <c r="AF472" i="6"/>
  <c r="AD472" i="6"/>
  <c r="AE472" i="6" s="1"/>
  <c r="K374" i="4" l="1"/>
  <c r="L374" i="4" s="1"/>
  <c r="AG472" i="6"/>
  <c r="AA473" i="6" s="1"/>
  <c r="AC473" i="6" s="1"/>
  <c r="AG474" i="3"/>
  <c r="AA475" i="3" s="1"/>
  <c r="AC475" i="3" s="1"/>
  <c r="M374" i="4" l="1"/>
  <c r="N374" i="4" s="1"/>
  <c r="C474" i="9"/>
  <c r="D472" i="9"/>
  <c r="AD475" i="3"/>
  <c r="AE475" i="3" s="1"/>
  <c r="AF475" i="3"/>
  <c r="AF473" i="6"/>
  <c r="AD473" i="6"/>
  <c r="AE473" i="6" s="1"/>
  <c r="D10" i="5" l="1"/>
  <c r="F10" i="5" s="1"/>
  <c r="E374" i="9"/>
  <c r="G375" i="4"/>
  <c r="J375" i="4" s="1"/>
  <c r="AG475" i="3"/>
  <c r="AA476" i="3" s="1"/>
  <c r="AC476" i="3" s="1"/>
  <c r="AG473" i="6"/>
  <c r="AA474" i="6" s="1"/>
  <c r="AC474" i="6" s="1"/>
  <c r="C475" i="9" l="1"/>
  <c r="M375" i="4"/>
  <c r="K375" i="4"/>
  <c r="L375" i="4" s="1"/>
  <c r="F29" i="5" a="1"/>
  <c r="F29" i="5" s="1"/>
  <c r="M33" i="10"/>
  <c r="D473" i="9"/>
  <c r="AF476" i="3"/>
  <c r="AD476" i="3"/>
  <c r="AE476" i="3" s="1"/>
  <c r="AD474" i="6"/>
  <c r="AE474" i="6" s="1"/>
  <c r="AF474" i="6"/>
  <c r="N33" i="10" l="1"/>
  <c r="O33" i="10" a="1"/>
  <c r="O33" i="10" s="1"/>
  <c r="N375" i="4"/>
  <c r="AG476" i="3"/>
  <c r="AA477" i="3" s="1"/>
  <c r="AC477" i="3" s="1"/>
  <c r="AG474" i="6"/>
  <c r="AA475" i="6" s="1"/>
  <c r="AC475" i="6" s="1"/>
  <c r="G376" i="4" l="1"/>
  <c r="J376" i="4" s="1"/>
  <c r="E375" i="9"/>
  <c r="C48" i="5"/>
  <c r="F61" i="5"/>
  <c r="C476" i="9"/>
  <c r="D474" i="9"/>
  <c r="AF477" i="3"/>
  <c r="AD477" i="3"/>
  <c r="AE477" i="3" s="1"/>
  <c r="AD475" i="6"/>
  <c r="AE475" i="6" s="1"/>
  <c r="AF475" i="6"/>
  <c r="M376" i="4" l="1"/>
  <c r="K376" i="4"/>
  <c r="L376" i="4" s="1"/>
  <c r="AG477" i="3"/>
  <c r="AA478" i="3" s="1"/>
  <c r="AC478" i="3" s="1"/>
  <c r="AG475" i="6"/>
  <c r="AA476" i="6" s="1"/>
  <c r="AC476" i="6" s="1"/>
  <c r="C477" i="9" l="1"/>
  <c r="N376" i="4"/>
  <c r="E376" i="9" s="1"/>
  <c r="D475" i="9"/>
  <c r="AD478" i="3"/>
  <c r="AE478" i="3" s="1"/>
  <c r="AF478" i="3"/>
  <c r="AD476" i="6"/>
  <c r="AE476" i="6" s="1"/>
  <c r="AF476" i="6"/>
  <c r="G377" i="4" l="1"/>
  <c r="J377" i="4" s="1"/>
  <c r="M377" i="4" s="1"/>
  <c r="AG478" i="3"/>
  <c r="AA479" i="3" s="1"/>
  <c r="AC479" i="3" s="1"/>
  <c r="AG476" i="6"/>
  <c r="AA477" i="6" s="1"/>
  <c r="AC477" i="6" s="1"/>
  <c r="C478" i="9" l="1"/>
  <c r="K377" i="4"/>
  <c r="L377" i="4" s="1"/>
  <c r="N377" i="4" s="1"/>
  <c r="D476" i="9"/>
  <c r="AF479" i="3"/>
  <c r="AD479" i="3"/>
  <c r="AE479" i="3" s="1"/>
  <c r="AD477" i="6"/>
  <c r="AE477" i="6" s="1"/>
  <c r="AF477" i="6"/>
  <c r="E377" i="9" l="1"/>
  <c r="G378" i="4"/>
  <c r="J378" i="4" s="1"/>
  <c r="AG477" i="6"/>
  <c r="AA478" i="6" s="1"/>
  <c r="AC478" i="6" s="1"/>
  <c r="AG479" i="3"/>
  <c r="AA480" i="3" s="1"/>
  <c r="AC480" i="3" s="1"/>
  <c r="M378" i="4" l="1"/>
  <c r="D477" i="9"/>
  <c r="C479" i="9"/>
  <c r="AD480" i="3"/>
  <c r="AE480" i="3" s="1"/>
  <c r="AF480" i="3"/>
  <c r="AF478" i="6"/>
  <c r="AD478" i="6"/>
  <c r="AE478" i="6" s="1"/>
  <c r="K378" i="4" l="1"/>
  <c r="L378" i="4" s="1"/>
  <c r="N378" i="4" s="1"/>
  <c r="AG478" i="6"/>
  <c r="D478" i="9" s="1"/>
  <c r="AG480" i="3"/>
  <c r="C480" i="9" s="1"/>
  <c r="E378" i="9" l="1"/>
  <c r="G379" i="4"/>
  <c r="J379" i="4" s="1"/>
  <c r="AA481" i="3"/>
  <c r="AC481" i="3" s="1"/>
  <c r="AF481" i="3" s="1"/>
  <c r="AA479" i="6"/>
  <c r="AC479" i="6" s="1"/>
  <c r="AD479" i="6" s="1"/>
  <c r="AE479" i="6" s="1"/>
  <c r="AF479" i="6" l="1"/>
  <c r="AD481" i="3"/>
  <c r="AE481" i="3" s="1"/>
  <c r="AG481" i="3" s="1"/>
  <c r="AA482" i="3" s="1"/>
  <c r="AC482" i="3" s="1"/>
  <c r="K379" i="4"/>
  <c r="L379" i="4" s="1"/>
  <c r="AG479" i="6"/>
  <c r="AA480" i="6" s="1"/>
  <c r="AC480" i="6" s="1"/>
  <c r="M379" i="4" l="1"/>
  <c r="N379" i="4" s="1"/>
  <c r="C481" i="9"/>
  <c r="D479" i="9"/>
  <c r="AF482" i="3"/>
  <c r="AD482" i="3"/>
  <c r="AE482" i="3" s="1"/>
  <c r="AD480" i="6"/>
  <c r="AE480" i="6" s="1"/>
  <c r="AF480" i="6"/>
  <c r="E379" i="9" l="1"/>
  <c r="G380" i="4"/>
  <c r="J380" i="4" s="1"/>
  <c r="AG480" i="6"/>
  <c r="AA481" i="6" s="1"/>
  <c r="AC481" i="6" s="1"/>
  <c r="AG482" i="3"/>
  <c r="AA483" i="3" s="1"/>
  <c r="AC483" i="3" s="1"/>
  <c r="K380" i="4" l="1"/>
  <c r="L380" i="4" s="1"/>
  <c r="C482" i="9"/>
  <c r="C42" i="10" s="1"/>
  <c r="D42" i="10" s="1"/>
  <c r="D480" i="9"/>
  <c r="AD483" i="3"/>
  <c r="AE483" i="3" s="1"/>
  <c r="AF483" i="3"/>
  <c r="AD481" i="6"/>
  <c r="AE481" i="6" s="1"/>
  <c r="AF481" i="6"/>
  <c r="M380" i="4" l="1"/>
  <c r="N380" i="4" s="1"/>
  <c r="E42" i="10" a="1"/>
  <c r="E42" i="10" s="1"/>
  <c r="AG483" i="3"/>
  <c r="C483" i="9" s="1"/>
  <c r="AG481" i="6"/>
  <c r="AA482" i="6" s="1"/>
  <c r="AC482" i="6" s="1"/>
  <c r="E380" i="9" l="1"/>
  <c r="G381" i="4"/>
  <c r="J381" i="4" s="1"/>
  <c r="D481" i="9"/>
  <c r="AA484" i="3"/>
  <c r="AC484" i="3" s="1"/>
  <c r="AD484" i="3" s="1"/>
  <c r="AE484" i="3" s="1"/>
  <c r="AD482" i="6"/>
  <c r="AE482" i="6" s="1"/>
  <c r="AF482" i="6"/>
  <c r="AF484" i="3" l="1"/>
  <c r="AG484" i="3" s="1"/>
  <c r="C484" i="9" s="1"/>
  <c r="AG482" i="6"/>
  <c r="AA483" i="6" s="1"/>
  <c r="AC483" i="6" s="1"/>
  <c r="M381" i="4" l="1"/>
  <c r="K381" i="4"/>
  <c r="L381" i="4" s="1"/>
  <c r="D482" i="9"/>
  <c r="H42" i="10" s="1"/>
  <c r="I42" i="10" s="1"/>
  <c r="AA485" i="3"/>
  <c r="AC485" i="3" s="1"/>
  <c r="AF485" i="3" s="1"/>
  <c r="AD483" i="6"/>
  <c r="AE483" i="6" s="1"/>
  <c r="AF483" i="6"/>
  <c r="N381" i="4" l="1"/>
  <c r="E381" i="9" s="1"/>
  <c r="J42" i="10" a="1"/>
  <c r="J42" i="10" s="1"/>
  <c r="AD485" i="3"/>
  <c r="AE485" i="3" s="1"/>
  <c r="AG485" i="3" s="1"/>
  <c r="AG483" i="6"/>
  <c r="AA484" i="6" s="1"/>
  <c r="AC484" i="6" s="1"/>
  <c r="G382" i="4" l="1"/>
  <c r="J382" i="4" s="1"/>
  <c r="D483" i="9"/>
  <c r="AA486" i="3"/>
  <c r="AC486" i="3" s="1"/>
  <c r="AD486" i="3" s="1"/>
  <c r="AE486" i="3" s="1"/>
  <c r="C485" i="9"/>
  <c r="AD484" i="6"/>
  <c r="AE484" i="6" s="1"/>
  <c r="AF484" i="6"/>
  <c r="K382" i="4" l="1"/>
  <c r="L382" i="4" s="1"/>
  <c r="M382" i="4"/>
  <c r="AF486" i="3"/>
  <c r="AG486" i="3" s="1"/>
  <c r="AA487" i="3" s="1"/>
  <c r="AC487" i="3" s="1"/>
  <c r="AG484" i="6"/>
  <c r="D484" i="9" s="1"/>
  <c r="N382" i="4" l="1"/>
  <c r="G383" i="4" s="1"/>
  <c r="J383" i="4" s="1"/>
  <c r="AA485" i="6"/>
  <c r="AC485" i="6" s="1"/>
  <c r="AF485" i="6" s="1"/>
  <c r="C486" i="9"/>
  <c r="AD487" i="3"/>
  <c r="AE487" i="3" s="1"/>
  <c r="AF487" i="3"/>
  <c r="E382" i="9" l="1"/>
  <c r="K383" i="4"/>
  <c r="L383" i="4" s="1"/>
  <c r="M383" i="4"/>
  <c r="AD485" i="6"/>
  <c r="AE485" i="6" s="1"/>
  <c r="AG485" i="6" s="1"/>
  <c r="D485" i="9" s="1"/>
  <c r="AG487" i="3"/>
  <c r="AA488" i="3" s="1"/>
  <c r="AC488" i="3" s="1"/>
  <c r="N383" i="4" l="1"/>
  <c r="E383" i="9" s="1"/>
  <c r="AA486" i="6"/>
  <c r="AC486" i="6" s="1"/>
  <c r="AF486" i="6" s="1"/>
  <c r="C487" i="9"/>
  <c r="AD488" i="3"/>
  <c r="AE488" i="3" s="1"/>
  <c r="AF488" i="3"/>
  <c r="G384" i="4" l="1"/>
  <c r="J384" i="4" s="1"/>
  <c r="M384" i="4" s="1"/>
  <c r="AD486" i="6"/>
  <c r="AE486" i="6" s="1"/>
  <c r="AG486" i="6" s="1"/>
  <c r="AG488" i="3"/>
  <c r="AA489" i="3" s="1"/>
  <c r="AC489" i="3" s="1"/>
  <c r="K384" i="4" l="1"/>
  <c r="L384" i="4" s="1"/>
  <c r="N384" i="4" s="1"/>
  <c r="AA487" i="6"/>
  <c r="AC487" i="6" s="1"/>
  <c r="AF487" i="6" s="1"/>
  <c r="D486" i="9"/>
  <c r="C488" i="9"/>
  <c r="AD487" i="6"/>
  <c r="AE487" i="6" s="1"/>
  <c r="AD489" i="3"/>
  <c r="AE489" i="3" s="1"/>
  <c r="AF489" i="3"/>
  <c r="E384" i="9" l="1"/>
  <c r="G385" i="4"/>
  <c r="J385" i="4" s="1"/>
  <c r="AG487" i="6"/>
  <c r="AA488" i="6" s="1"/>
  <c r="AC488" i="6" s="1"/>
  <c r="AG489" i="3"/>
  <c r="AA490" i="3" s="1"/>
  <c r="AC490" i="3" s="1"/>
  <c r="K385" i="4" l="1"/>
  <c r="L385" i="4" s="1"/>
  <c r="D487" i="9"/>
  <c r="C489" i="9"/>
  <c r="AD488" i="6"/>
  <c r="AE488" i="6" s="1"/>
  <c r="AF488" i="6"/>
  <c r="AF490" i="3"/>
  <c r="AD490" i="3"/>
  <c r="AE490" i="3" s="1"/>
  <c r="M385" i="4" l="1"/>
  <c r="N385" i="4" s="1"/>
  <c r="AG490" i="3"/>
  <c r="AA491" i="3" s="1"/>
  <c r="AC491" i="3" s="1"/>
  <c r="AG488" i="6"/>
  <c r="AA489" i="6" s="1"/>
  <c r="AC489" i="6" s="1"/>
  <c r="E385" i="9" l="1"/>
  <c r="G386" i="4"/>
  <c r="J386" i="4" s="1"/>
  <c r="D488" i="9"/>
  <c r="C490" i="9"/>
  <c r="AD489" i="6"/>
  <c r="AE489" i="6" s="1"/>
  <c r="AF489" i="6"/>
  <c r="AF491" i="3"/>
  <c r="AD491" i="3"/>
  <c r="AE491" i="3" s="1"/>
  <c r="K386" i="4" l="1"/>
  <c r="L386" i="4" s="1"/>
  <c r="AG491" i="3"/>
  <c r="AA492" i="3" s="1"/>
  <c r="AC492" i="3" s="1"/>
  <c r="AG489" i="6"/>
  <c r="AA490" i="6" s="1"/>
  <c r="AC490" i="6" s="1"/>
  <c r="D489" i="9" l="1"/>
  <c r="C491" i="9"/>
  <c r="M386" i="4"/>
  <c r="N386" i="4" s="1"/>
  <c r="AF490" i="6"/>
  <c r="AD490" i="6"/>
  <c r="AE490" i="6" s="1"/>
  <c r="AD492" i="3"/>
  <c r="AE492" i="3" s="1"/>
  <c r="AF492" i="3"/>
  <c r="E386" i="9" l="1"/>
  <c r="M34" i="10" s="1"/>
  <c r="G387" i="4"/>
  <c r="J387" i="4" s="1"/>
  <c r="AG492" i="3"/>
  <c r="AA493" i="3" s="1"/>
  <c r="AC493" i="3" s="1"/>
  <c r="AG490" i="6"/>
  <c r="AA491" i="6" s="1"/>
  <c r="AC491" i="6" s="1"/>
  <c r="C492" i="9"/>
  <c r="D490" i="9" l="1"/>
  <c r="K387" i="4"/>
  <c r="L387" i="4" s="1"/>
  <c r="O34" i="10" a="1"/>
  <c r="O34" i="10" s="1"/>
  <c r="N34" i="10"/>
  <c r="AD491" i="6"/>
  <c r="AE491" i="6" s="1"/>
  <c r="AF491" i="6"/>
  <c r="AF493" i="3"/>
  <c r="AD493" i="3"/>
  <c r="AE493" i="3" s="1"/>
  <c r="M387" i="4" l="1"/>
  <c r="N387" i="4" s="1"/>
  <c r="AG491" i="6"/>
  <c r="AA492" i="6" s="1"/>
  <c r="AC492" i="6" s="1"/>
  <c r="AG493" i="3"/>
  <c r="AA494" i="3" s="1"/>
  <c r="AC494" i="3" s="1"/>
  <c r="D491" i="9" l="1"/>
  <c r="G388" i="4"/>
  <c r="J388" i="4" s="1"/>
  <c r="E387" i="9"/>
  <c r="C493" i="9"/>
  <c r="AF492" i="6"/>
  <c r="AD492" i="6"/>
  <c r="AE492" i="6" s="1"/>
  <c r="AF494" i="3"/>
  <c r="AD494" i="3"/>
  <c r="AE494" i="3" s="1"/>
  <c r="K388" i="4" l="1"/>
  <c r="L388" i="4" s="1"/>
  <c r="M388" i="4"/>
  <c r="AG492" i="6"/>
  <c r="AA493" i="6" s="1"/>
  <c r="AC493" i="6" s="1"/>
  <c r="AG494" i="3"/>
  <c r="AA495" i="3" s="1"/>
  <c r="AC495" i="3" s="1"/>
  <c r="D492" i="9" l="1"/>
  <c r="N388" i="4"/>
  <c r="E388" i="9" s="1"/>
  <c r="C494" i="9"/>
  <c r="C43" i="10" s="1"/>
  <c r="D43" i="10" s="1"/>
  <c r="AF493" i="6"/>
  <c r="AD493" i="6"/>
  <c r="AE493" i="6" s="1"/>
  <c r="AD495" i="3"/>
  <c r="AE495" i="3" s="1"/>
  <c r="AF495" i="3"/>
  <c r="G389" i="4" l="1"/>
  <c r="J389" i="4" s="1"/>
  <c r="M389" i="4"/>
  <c r="E43" i="10" a="1"/>
  <c r="E43" i="10" s="1"/>
  <c r="AG495" i="3"/>
  <c r="AA496" i="3" s="1"/>
  <c r="AC496" i="3" s="1"/>
  <c r="AG493" i="6"/>
  <c r="D493" i="9" s="1"/>
  <c r="K389" i="4" l="1"/>
  <c r="L389" i="4" s="1"/>
  <c r="N389" i="4" s="1"/>
  <c r="C495" i="9"/>
  <c r="AA494" i="6"/>
  <c r="AC494" i="6" s="1"/>
  <c r="AD494" i="6" s="1"/>
  <c r="AE494" i="6" s="1"/>
  <c r="AD496" i="3"/>
  <c r="AE496" i="3" s="1"/>
  <c r="AF496" i="3"/>
  <c r="AF494" i="6" l="1"/>
  <c r="AG494" i="6" s="1"/>
  <c r="AA495" i="6" s="1"/>
  <c r="AC495" i="6" s="1"/>
  <c r="G390" i="4"/>
  <c r="J390" i="4" s="1"/>
  <c r="E389" i="9"/>
  <c r="AG496" i="3"/>
  <c r="AA497" i="3" s="1"/>
  <c r="AC497" i="3" s="1"/>
  <c r="C496" i="9" l="1"/>
  <c r="M390" i="4"/>
  <c r="D494" i="9"/>
  <c r="H43" i="10" s="1"/>
  <c r="I43" i="10" s="1"/>
  <c r="AF497" i="3"/>
  <c r="AD497" i="3"/>
  <c r="AE497" i="3" s="1"/>
  <c r="AD495" i="6"/>
  <c r="AE495" i="6" s="1"/>
  <c r="AF495" i="6"/>
  <c r="K390" i="4" l="1"/>
  <c r="L390" i="4" s="1"/>
  <c r="N390" i="4" s="1"/>
  <c r="J43" i="10" a="1"/>
  <c r="J43" i="10" s="1"/>
  <c r="AG497" i="3"/>
  <c r="C497" i="9" s="1"/>
  <c r="AG495" i="6"/>
  <c r="AA496" i="6" s="1"/>
  <c r="AC496" i="6" s="1"/>
  <c r="E390" i="9" l="1"/>
  <c r="G391" i="4"/>
  <c r="J391" i="4" s="1"/>
  <c r="AA498" i="3"/>
  <c r="AC498" i="3" s="1"/>
  <c r="AD498" i="3" s="1"/>
  <c r="AE498" i="3" s="1"/>
  <c r="D495" i="9"/>
  <c r="AD496" i="6"/>
  <c r="AE496" i="6" s="1"/>
  <c r="AF496" i="6"/>
  <c r="K391" i="4" l="1"/>
  <c r="L391" i="4" s="1"/>
  <c r="AF498" i="3"/>
  <c r="AG498" i="3" s="1"/>
  <c r="AA499" i="3" s="1"/>
  <c r="AC499" i="3" s="1"/>
  <c r="AG496" i="6"/>
  <c r="AA497" i="6" s="1"/>
  <c r="AC497" i="6" s="1"/>
  <c r="M391" i="4" l="1"/>
  <c r="N391" i="4" s="1"/>
  <c r="C498" i="9"/>
  <c r="D496" i="9"/>
  <c r="AF497" i="6"/>
  <c r="AD497" i="6"/>
  <c r="AE497" i="6" s="1"/>
  <c r="AD499" i="3"/>
  <c r="AE499" i="3" s="1"/>
  <c r="AF499" i="3"/>
  <c r="E391" i="9" l="1"/>
  <c r="G392" i="4"/>
  <c r="J392" i="4" s="1"/>
  <c r="AG497" i="6"/>
  <c r="AA498" i="6" s="1"/>
  <c r="AC498" i="6" s="1"/>
  <c r="AG499" i="3"/>
  <c r="AA500" i="3" s="1"/>
  <c r="AC500" i="3" s="1"/>
  <c r="K392" i="4" l="1"/>
  <c r="L392" i="4" s="1"/>
  <c r="D497" i="9"/>
  <c r="C499" i="9"/>
  <c r="AF498" i="6"/>
  <c r="AD498" i="6"/>
  <c r="AE498" i="6" s="1"/>
  <c r="AF500" i="3"/>
  <c r="AD500" i="3"/>
  <c r="AE500" i="3" s="1"/>
  <c r="M392" i="4" l="1"/>
  <c r="N392" i="4" s="1"/>
  <c r="AG498" i="6"/>
  <c r="AA499" i="6" s="1"/>
  <c r="AC499" i="6" s="1"/>
  <c r="AG500" i="3"/>
  <c r="AA501" i="3" s="1"/>
  <c r="AC501" i="3" s="1"/>
  <c r="E392" i="9" l="1"/>
  <c r="G393" i="4"/>
  <c r="J393" i="4" s="1"/>
  <c r="D498" i="9"/>
  <c r="C500" i="9"/>
  <c r="AF499" i="6"/>
  <c r="AD499" i="6"/>
  <c r="AE499" i="6" s="1"/>
  <c r="AD501" i="3"/>
  <c r="AE501" i="3" s="1"/>
  <c r="AF501" i="3"/>
  <c r="K393" i="4" l="1"/>
  <c r="L393" i="4" s="1"/>
  <c r="M393" i="4"/>
  <c r="AG501" i="3"/>
  <c r="AA502" i="3" s="1"/>
  <c r="AC502" i="3" s="1"/>
  <c r="AG499" i="6"/>
  <c r="AA500" i="6" s="1"/>
  <c r="AC500" i="6" s="1"/>
  <c r="N393" i="4" l="1"/>
  <c r="E393" i="9" s="1"/>
  <c r="G394" i="4"/>
  <c r="J394" i="4" s="1"/>
  <c r="D499" i="9"/>
  <c r="C501" i="9"/>
  <c r="AD500" i="6"/>
  <c r="AE500" i="6" s="1"/>
  <c r="AF500" i="6"/>
  <c r="AD502" i="3"/>
  <c r="AE502" i="3" s="1"/>
  <c r="AF502" i="3"/>
  <c r="AG500" i="6" l="1"/>
  <c r="AA501" i="6" s="1"/>
  <c r="AC501" i="6" s="1"/>
  <c r="AG502" i="3"/>
  <c r="AA503" i="3" s="1"/>
  <c r="AC503" i="3" s="1"/>
  <c r="M394" i="4" l="1"/>
  <c r="K394" i="4"/>
  <c r="L394" i="4" s="1"/>
  <c r="D500" i="9"/>
  <c r="C502" i="9"/>
  <c r="AD501" i="6"/>
  <c r="AE501" i="6" s="1"/>
  <c r="AF501" i="6"/>
  <c r="AD503" i="3"/>
  <c r="AE503" i="3" s="1"/>
  <c r="AF503" i="3"/>
  <c r="N394" i="4" l="1"/>
  <c r="E394" i="9" s="1"/>
  <c r="AG501" i="6"/>
  <c r="AA502" i="6" s="1"/>
  <c r="AC502" i="6" s="1"/>
  <c r="AG503" i="3"/>
  <c r="AA504" i="3" s="1"/>
  <c r="AC504" i="3" s="1"/>
  <c r="G395" i="4" l="1"/>
  <c r="J395" i="4" s="1"/>
  <c r="M395" i="4" s="1"/>
  <c r="D501" i="9"/>
  <c r="C503" i="9"/>
  <c r="AD502" i="6"/>
  <c r="AE502" i="6" s="1"/>
  <c r="AF502" i="6"/>
  <c r="AD504" i="3"/>
  <c r="AE504" i="3" s="1"/>
  <c r="AF504" i="3"/>
  <c r="K395" i="4" l="1"/>
  <c r="L395" i="4" s="1"/>
  <c r="N395" i="4" s="1"/>
  <c r="AG504" i="3"/>
  <c r="C504" i="9" s="1"/>
  <c r="AG502" i="6"/>
  <c r="AA503" i="6" s="1"/>
  <c r="AC503" i="6" s="1"/>
  <c r="E395" i="9" l="1"/>
  <c r="G396" i="4"/>
  <c r="J396" i="4" s="1"/>
  <c r="D502" i="9"/>
  <c r="AA505" i="3"/>
  <c r="AC505" i="3" s="1"/>
  <c r="AF505" i="3" s="1"/>
  <c r="AF503" i="6"/>
  <c r="AD503" i="6"/>
  <c r="AE503" i="6" s="1"/>
  <c r="AG503" i="6" l="1"/>
  <c r="AA504" i="6" s="1"/>
  <c r="AC504" i="6" s="1"/>
  <c r="AD505" i="3"/>
  <c r="AE505" i="3" s="1"/>
  <c r="AG505" i="3" s="1"/>
  <c r="AA506" i="3" s="1"/>
  <c r="AC506" i="3" s="1"/>
  <c r="D503" i="9" l="1"/>
  <c r="K396" i="4"/>
  <c r="L396" i="4" s="1"/>
  <c r="M396" i="4"/>
  <c r="C505" i="9"/>
  <c r="AD504" i="6"/>
  <c r="AE504" i="6" s="1"/>
  <c r="AF504" i="6"/>
  <c r="AD506" i="3"/>
  <c r="AE506" i="3" s="1"/>
  <c r="AF506" i="3"/>
  <c r="N396" i="4" l="1"/>
  <c r="E396" i="9" s="1"/>
  <c r="AG506" i="3"/>
  <c r="AA507" i="3" s="1"/>
  <c r="AC507" i="3" s="1"/>
  <c r="AG504" i="6"/>
  <c r="AA505" i="6" s="1"/>
  <c r="AC505" i="6" s="1"/>
  <c r="G397" i="4" l="1"/>
  <c r="J397" i="4" s="1"/>
  <c r="M397" i="4" s="1"/>
  <c r="C506" i="9"/>
  <c r="C44" i="10" s="1"/>
  <c r="D44" i="10" s="1"/>
  <c r="D504" i="9"/>
  <c r="AD505" i="6"/>
  <c r="AE505" i="6" s="1"/>
  <c r="AF505" i="6"/>
  <c r="AF507" i="3"/>
  <c r="AD507" i="3"/>
  <c r="AE507" i="3" s="1"/>
  <c r="K397" i="4" l="1"/>
  <c r="L397" i="4" s="1"/>
  <c r="N397" i="4" s="1"/>
  <c r="E44" i="10" a="1"/>
  <c r="E44" i="10" s="1"/>
  <c r="AG505" i="6"/>
  <c r="D505" i="9" s="1"/>
  <c r="AG507" i="3"/>
  <c r="AA508" i="3" s="1"/>
  <c r="AC508" i="3" s="1"/>
  <c r="G398" i="4" l="1"/>
  <c r="J398" i="4" s="1"/>
  <c r="E397" i="9"/>
  <c r="AA506" i="6"/>
  <c r="AC506" i="6" s="1"/>
  <c r="AF506" i="6" s="1"/>
  <c r="C507" i="9"/>
  <c r="AF508" i="3"/>
  <c r="AD508" i="3"/>
  <c r="AE508" i="3" s="1"/>
  <c r="K398" i="4" l="1"/>
  <c r="L398" i="4" s="1"/>
  <c r="M398" i="4"/>
  <c r="AD506" i="6"/>
  <c r="AE506" i="6" s="1"/>
  <c r="AG506" i="6" s="1"/>
  <c r="AA507" i="6" s="1"/>
  <c r="AC507" i="6" s="1"/>
  <c r="AG508" i="3"/>
  <c r="AA509" i="3" s="1"/>
  <c r="AC509" i="3" s="1"/>
  <c r="N398" i="4" l="1"/>
  <c r="D506" i="9"/>
  <c r="H44" i="10" s="1"/>
  <c r="I44" i="10" s="1"/>
  <c r="G399" i="4"/>
  <c r="J399" i="4" s="1"/>
  <c r="E398" i="9"/>
  <c r="M35" i="10" s="1"/>
  <c r="C508" i="9"/>
  <c r="AF507" i="6"/>
  <c r="AD507" i="6"/>
  <c r="AE507" i="6" s="1"/>
  <c r="AF509" i="3"/>
  <c r="AD509" i="3"/>
  <c r="AE509" i="3" s="1"/>
  <c r="J44" i="10" l="1" a="1"/>
  <c r="J44" i="10" s="1"/>
  <c r="N35" i="10"/>
  <c r="O35" i="10" a="1"/>
  <c r="O35" i="10" s="1"/>
  <c r="M399" i="4"/>
  <c r="K399" i="4"/>
  <c r="L399" i="4" s="1"/>
  <c r="N399" i="4" s="1"/>
  <c r="AG507" i="6"/>
  <c r="AA508" i="6" s="1"/>
  <c r="AC508" i="6" s="1"/>
  <c r="AG509" i="3"/>
  <c r="AA510" i="3" s="1"/>
  <c r="AC510" i="3" s="1"/>
  <c r="G400" i="4" l="1"/>
  <c r="J400" i="4" s="1"/>
  <c r="E399" i="9"/>
  <c r="D507" i="9"/>
  <c r="C509" i="9"/>
  <c r="AF508" i="6"/>
  <c r="AD508" i="6"/>
  <c r="AE508" i="6" s="1"/>
  <c r="AD510" i="3"/>
  <c r="AE510" i="3" s="1"/>
  <c r="AF510" i="3"/>
  <c r="M400" i="4" l="1"/>
  <c r="K400" i="4"/>
  <c r="L400" i="4" s="1"/>
  <c r="AG508" i="6"/>
  <c r="AA509" i="6" s="1"/>
  <c r="AC509" i="6" s="1"/>
  <c r="AG510" i="3"/>
  <c r="AA511" i="3" s="1"/>
  <c r="AC511" i="3" s="1"/>
  <c r="N400" i="4" l="1"/>
  <c r="E400" i="9" s="1"/>
  <c r="D508" i="9"/>
  <c r="C510" i="9"/>
  <c r="AD509" i="6"/>
  <c r="AE509" i="6" s="1"/>
  <c r="AF509" i="6"/>
  <c r="AF511" i="3"/>
  <c r="AD511" i="3"/>
  <c r="AE511" i="3" s="1"/>
  <c r="G401" i="4" l="1"/>
  <c r="J401" i="4" s="1"/>
  <c r="K401" i="4"/>
  <c r="L401" i="4" s="1"/>
  <c r="AG509" i="6"/>
  <c r="AA510" i="6" s="1"/>
  <c r="AC510" i="6" s="1"/>
  <c r="AG511" i="3"/>
  <c r="AA512" i="3" s="1"/>
  <c r="AC512" i="3" s="1"/>
  <c r="D509" i="9"/>
  <c r="M401" i="4" l="1"/>
  <c r="N401" i="4" s="1"/>
  <c r="C511" i="9"/>
  <c r="AD510" i="6"/>
  <c r="AE510" i="6" s="1"/>
  <c r="AF510" i="6"/>
  <c r="AD512" i="3"/>
  <c r="AE512" i="3" s="1"/>
  <c r="AF512" i="3"/>
  <c r="G402" i="4" l="1"/>
  <c r="J402" i="4" s="1"/>
  <c r="E401" i="9"/>
  <c r="AG510" i="6"/>
  <c r="D510" i="9" s="1"/>
  <c r="AG512" i="3"/>
  <c r="AA513" i="3" s="1"/>
  <c r="AC513" i="3" s="1"/>
  <c r="M402" i="4" l="1"/>
  <c r="K402" i="4"/>
  <c r="L402" i="4" s="1"/>
  <c r="N402" i="4" s="1"/>
  <c r="AA511" i="6"/>
  <c r="AC511" i="6" s="1"/>
  <c r="AD511" i="6" s="1"/>
  <c r="AE511" i="6" s="1"/>
  <c r="C512" i="9"/>
  <c r="AD513" i="3"/>
  <c r="AE513" i="3" s="1"/>
  <c r="AF513" i="3"/>
  <c r="AF511" i="6" l="1"/>
  <c r="G403" i="4"/>
  <c r="J403" i="4" s="1"/>
  <c r="E402" i="9"/>
  <c r="AG511" i="6"/>
  <c r="AG513" i="3"/>
  <c r="AA514" i="3" s="1"/>
  <c r="AC514" i="3" s="1"/>
  <c r="AA512" i="6"/>
  <c r="AC512" i="6" s="1"/>
  <c r="D511" i="9"/>
  <c r="K403" i="4" l="1"/>
  <c r="L403" i="4" s="1"/>
  <c r="M403" i="4"/>
  <c r="N403" i="4" s="1"/>
  <c r="C513" i="9"/>
  <c r="AF514" i="3"/>
  <c r="AD514" i="3"/>
  <c r="AE514" i="3" s="1"/>
  <c r="AD512" i="6"/>
  <c r="AE512" i="6" s="1"/>
  <c r="AF512" i="6"/>
  <c r="E403" i="9" l="1"/>
  <c r="G404" i="4"/>
  <c r="J404" i="4" s="1"/>
  <c r="AG514" i="3"/>
  <c r="AA515" i="3" s="1"/>
  <c r="AC515" i="3" s="1"/>
  <c r="AG512" i="6"/>
  <c r="AA513" i="6" s="1"/>
  <c r="AC513" i="6" s="1"/>
  <c r="K404" i="4" l="1"/>
  <c r="L404" i="4" s="1"/>
  <c r="C514" i="9"/>
  <c r="D512" i="9"/>
  <c r="AF515" i="3"/>
  <c r="AD515" i="3"/>
  <c r="AE515" i="3" s="1"/>
  <c r="AF513" i="6"/>
  <c r="AD513" i="6"/>
  <c r="AE513" i="6" s="1"/>
  <c r="M404" i="4" l="1"/>
  <c r="N404" i="4" s="1"/>
  <c r="AG513" i="6"/>
  <c r="AA514" i="6" s="1"/>
  <c r="AC514" i="6" s="1"/>
  <c r="AG515" i="3"/>
  <c r="AA516" i="3" s="1"/>
  <c r="AC516" i="3" s="1"/>
  <c r="G405" i="4" l="1"/>
  <c r="J405" i="4" s="1"/>
  <c r="E404" i="9"/>
  <c r="C515" i="9"/>
  <c r="D513" i="9"/>
  <c r="AF516" i="3"/>
  <c r="AD516" i="3"/>
  <c r="AE516" i="3" s="1"/>
  <c r="AD514" i="6"/>
  <c r="AE514" i="6" s="1"/>
  <c r="AF514" i="6"/>
  <c r="K405" i="4" l="1"/>
  <c r="L405" i="4" s="1"/>
  <c r="M405" i="4"/>
  <c r="N405" i="4" s="1"/>
  <c r="AG516" i="3"/>
  <c r="AA517" i="3" s="1"/>
  <c r="AC517" i="3" s="1"/>
  <c r="AG514" i="6"/>
  <c r="AA515" i="6" s="1"/>
  <c r="AC515" i="6" s="1"/>
  <c r="C516" i="9" l="1"/>
  <c r="E405" i="9"/>
  <c r="G406" i="4"/>
  <c r="J406" i="4" s="1"/>
  <c r="D514" i="9"/>
  <c r="AD517" i="3"/>
  <c r="AE517" i="3" s="1"/>
  <c r="AF517" i="3"/>
  <c r="AD515" i="6"/>
  <c r="AE515" i="6" s="1"/>
  <c r="AF515" i="6"/>
  <c r="AG517" i="3" l="1"/>
  <c r="C517" i="9" s="1"/>
  <c r="AG515" i="6"/>
  <c r="AA516" i="6" s="1"/>
  <c r="AC516" i="6" s="1"/>
  <c r="M406" i="4" l="1"/>
  <c r="K406" i="4"/>
  <c r="L406" i="4" s="1"/>
  <c r="D515" i="9"/>
  <c r="AA518" i="3"/>
  <c r="AC518" i="3" s="1"/>
  <c r="AF518" i="3" s="1"/>
  <c r="AD516" i="6"/>
  <c r="AE516" i="6" s="1"/>
  <c r="AF516" i="6"/>
  <c r="N406" i="4" l="1"/>
  <c r="E406" i="9"/>
  <c r="G407" i="4"/>
  <c r="J407" i="4" s="1"/>
  <c r="AD518" i="3"/>
  <c r="AE518" i="3" s="1"/>
  <c r="AG518" i="3" s="1"/>
  <c r="AA519" i="3" s="1"/>
  <c r="AC519" i="3" s="1"/>
  <c r="AG516" i="6"/>
  <c r="AA517" i="6" s="1"/>
  <c r="AC517" i="6" s="1"/>
  <c r="K407" i="4" l="1"/>
  <c r="L407" i="4" s="1"/>
  <c r="C518" i="9"/>
  <c r="C45" i="10" s="1"/>
  <c r="D45" i="10" s="1"/>
  <c r="D516" i="9"/>
  <c r="AD519" i="3"/>
  <c r="AE519" i="3" s="1"/>
  <c r="AF519" i="3"/>
  <c r="AD517" i="6"/>
  <c r="AE517" i="6" s="1"/>
  <c r="AF517" i="6"/>
  <c r="M407" i="4" l="1"/>
  <c r="N407" i="4" s="1"/>
  <c r="E45" i="10" a="1"/>
  <c r="E45" i="10" s="1"/>
  <c r="AG519" i="3"/>
  <c r="AA520" i="3" s="1"/>
  <c r="AC520" i="3" s="1"/>
  <c r="AG517" i="6"/>
  <c r="AA518" i="6" s="1"/>
  <c r="AC518" i="6" s="1"/>
  <c r="E407" i="9" l="1"/>
  <c r="G408" i="4"/>
  <c r="J408" i="4" s="1"/>
  <c r="C519" i="9"/>
  <c r="D517" i="9"/>
  <c r="AD520" i="3"/>
  <c r="AE520" i="3" s="1"/>
  <c r="AF520" i="3"/>
  <c r="AF518" i="6"/>
  <c r="AD518" i="6"/>
  <c r="AE518" i="6" s="1"/>
  <c r="M408" i="4" l="1"/>
  <c r="AG520" i="3"/>
  <c r="AA521" i="3" s="1"/>
  <c r="AC521" i="3" s="1"/>
  <c r="AG518" i="6"/>
  <c r="AA519" i="6" s="1"/>
  <c r="AC519" i="6" s="1"/>
  <c r="K408" i="4" l="1"/>
  <c r="L408" i="4" s="1"/>
  <c r="N408" i="4" s="1"/>
  <c r="C520" i="9"/>
  <c r="D518" i="9"/>
  <c r="H45" i="10" s="1"/>
  <c r="I45" i="10" s="1"/>
  <c r="AD521" i="3"/>
  <c r="AE521" i="3" s="1"/>
  <c r="AF521" i="3"/>
  <c r="AD519" i="6"/>
  <c r="AE519" i="6" s="1"/>
  <c r="AF519" i="6"/>
  <c r="E408" i="9" l="1"/>
  <c r="G409" i="4"/>
  <c r="J409" i="4" s="1"/>
  <c r="J45" i="10" a="1"/>
  <c r="J45" i="10" s="1"/>
  <c r="AG519" i="6"/>
  <c r="AA520" i="6" s="1"/>
  <c r="AC520" i="6" s="1"/>
  <c r="AG521" i="3"/>
  <c r="AA522" i="3" s="1"/>
  <c r="AC522" i="3" s="1"/>
  <c r="K409" i="4" l="1"/>
  <c r="L409" i="4" s="1"/>
  <c r="D519" i="9"/>
  <c r="C521" i="9"/>
  <c r="AD522" i="3"/>
  <c r="AE522" i="3" s="1"/>
  <c r="AF522" i="3"/>
  <c r="AD520" i="6"/>
  <c r="AE520" i="6" s="1"/>
  <c r="AF520" i="6"/>
  <c r="M409" i="4" l="1"/>
  <c r="N409" i="4" s="1"/>
  <c r="AG520" i="6"/>
  <c r="AA521" i="6" s="1"/>
  <c r="AC521" i="6" s="1"/>
  <c r="AG522" i="3"/>
  <c r="AA523" i="3" s="1"/>
  <c r="AC523" i="3" s="1"/>
  <c r="E409" i="9" l="1"/>
  <c r="G410" i="4"/>
  <c r="J410" i="4" s="1"/>
  <c r="C522" i="9"/>
  <c r="D520" i="9"/>
  <c r="AF523" i="3"/>
  <c r="AD523" i="3"/>
  <c r="AE523" i="3" s="1"/>
  <c r="AD521" i="6"/>
  <c r="AE521" i="6" s="1"/>
  <c r="AF521" i="6"/>
  <c r="K410" i="4" l="1"/>
  <c r="L410" i="4" s="1"/>
  <c r="AG523" i="3"/>
  <c r="AA524" i="3" s="1"/>
  <c r="AC524" i="3" s="1"/>
  <c r="AG521" i="6"/>
  <c r="AA522" i="6" s="1"/>
  <c r="AC522" i="6" s="1"/>
  <c r="M410" i="4" l="1"/>
  <c r="N410" i="4" s="1"/>
  <c r="C523" i="9"/>
  <c r="D521" i="9"/>
  <c r="AF524" i="3"/>
  <c r="AD524" i="3"/>
  <c r="AE524" i="3" s="1"/>
  <c r="AD522" i="6"/>
  <c r="AE522" i="6" s="1"/>
  <c r="AF522" i="6"/>
  <c r="G411" i="4" l="1"/>
  <c r="J411" i="4" s="1"/>
  <c r="E410" i="9"/>
  <c r="M36" i="10" s="1"/>
  <c r="AG522" i="6"/>
  <c r="AA523" i="6" s="1"/>
  <c r="AC523" i="6" s="1"/>
  <c r="AG524" i="3"/>
  <c r="AA525" i="3" s="1"/>
  <c r="AC525" i="3" s="1"/>
  <c r="N36" i="10" l="1"/>
  <c r="O36" i="10" a="1"/>
  <c r="O36" i="10" s="1"/>
  <c r="M411" i="4"/>
  <c r="D522" i="9"/>
  <c r="C524" i="9"/>
  <c r="AD525" i="3"/>
  <c r="AE525" i="3" s="1"/>
  <c r="AF525" i="3"/>
  <c r="AD523" i="6"/>
  <c r="AE523" i="6" s="1"/>
  <c r="AF523" i="6"/>
  <c r="K411" i="4" l="1"/>
  <c r="L411" i="4" s="1"/>
  <c r="N411" i="4" s="1"/>
  <c r="AG525" i="3"/>
  <c r="AA526" i="3" s="1"/>
  <c r="AC526" i="3" s="1"/>
  <c r="AG523" i="6"/>
  <c r="AA524" i="6" s="1"/>
  <c r="AC524" i="6" s="1"/>
  <c r="D523" i="9" l="1"/>
  <c r="E411" i="9"/>
  <c r="G412" i="4"/>
  <c r="J412" i="4" s="1"/>
  <c r="C525" i="9"/>
  <c r="AF526" i="3"/>
  <c r="AD526" i="3"/>
  <c r="AE526" i="3" s="1"/>
  <c r="AD524" i="6"/>
  <c r="AE524" i="6" s="1"/>
  <c r="AF524" i="6"/>
  <c r="K412" i="4" l="1"/>
  <c r="L412" i="4" s="1"/>
  <c r="AG526" i="3"/>
  <c r="AA527" i="3" s="1"/>
  <c r="AC527" i="3" s="1"/>
  <c r="AG524" i="6"/>
  <c r="AA525" i="6" s="1"/>
  <c r="AC525" i="6" s="1"/>
  <c r="C526" i="9" l="1"/>
  <c r="M412" i="4"/>
  <c r="N412" i="4" s="1"/>
  <c r="D524" i="9"/>
  <c r="AD527" i="3"/>
  <c r="AE527" i="3" s="1"/>
  <c r="AF527" i="3"/>
  <c r="AD525" i="6"/>
  <c r="AE525" i="6" s="1"/>
  <c r="AF525" i="6"/>
  <c r="E412" i="9" l="1"/>
  <c r="G413" i="4"/>
  <c r="J413" i="4" s="1"/>
  <c r="AG527" i="3"/>
  <c r="C527" i="9" s="1"/>
  <c r="AG525" i="6"/>
  <c r="AA526" i="6" s="1"/>
  <c r="AC526" i="6" s="1"/>
  <c r="AA528" i="3" l="1"/>
  <c r="AC528" i="3" s="1"/>
  <c r="M413" i="4"/>
  <c r="D525" i="9"/>
  <c r="AD528" i="3"/>
  <c r="AE528" i="3" s="1"/>
  <c r="AF528" i="3"/>
  <c r="AD526" i="6"/>
  <c r="AE526" i="6" s="1"/>
  <c r="AF526" i="6"/>
  <c r="K413" i="4" l="1"/>
  <c r="L413" i="4" s="1"/>
  <c r="N413" i="4" s="1"/>
  <c r="AG528" i="3"/>
  <c r="C528" i="9" s="1"/>
  <c r="AG526" i="6"/>
  <c r="AA527" i="6" s="1"/>
  <c r="AC527" i="6" s="1"/>
  <c r="E413" i="9" l="1"/>
  <c r="G414" i="4"/>
  <c r="J414" i="4" s="1"/>
  <c r="AA529" i="3"/>
  <c r="AC529" i="3" s="1"/>
  <c r="AF529" i="3" s="1"/>
  <c r="D526" i="9"/>
  <c r="AF527" i="6"/>
  <c r="AD527" i="6"/>
  <c r="AE527" i="6" s="1"/>
  <c r="AD529" i="3" l="1"/>
  <c r="AE529" i="3" s="1"/>
  <c r="AG529" i="3"/>
  <c r="AA530" i="3" s="1"/>
  <c r="AC530" i="3" s="1"/>
  <c r="AG527" i="6"/>
  <c r="AA528" i="6" s="1"/>
  <c r="AC528" i="6" s="1"/>
  <c r="M414" i="4" l="1"/>
  <c r="K414" i="4"/>
  <c r="L414" i="4" s="1"/>
  <c r="D527" i="9"/>
  <c r="C529" i="9"/>
  <c r="AD528" i="6"/>
  <c r="AE528" i="6" s="1"/>
  <c r="AF528" i="6"/>
  <c r="AD530" i="3"/>
  <c r="AE530" i="3" s="1"/>
  <c r="AF530" i="3"/>
  <c r="N414" i="4" l="1"/>
  <c r="E414" i="9"/>
  <c r="G415" i="4"/>
  <c r="J415" i="4" s="1"/>
  <c r="AG528" i="6"/>
  <c r="AA529" i="6" s="1"/>
  <c r="AC529" i="6" s="1"/>
  <c r="AG530" i="3"/>
  <c r="AA531" i="3" s="1"/>
  <c r="AC531" i="3" s="1"/>
  <c r="D528" i="9" l="1"/>
  <c r="K415" i="4"/>
  <c r="L415" i="4" s="1"/>
  <c r="C530" i="9"/>
  <c r="C46" i="10" s="1"/>
  <c r="D46" i="10" s="1"/>
  <c r="AF529" i="6"/>
  <c r="AD529" i="6"/>
  <c r="AE529" i="6" s="1"/>
  <c r="AD531" i="3"/>
  <c r="AE531" i="3" s="1"/>
  <c r="AF531" i="3"/>
  <c r="M415" i="4" l="1"/>
  <c r="N415" i="4" s="1"/>
  <c r="AG529" i="6"/>
  <c r="E46" i="10" a="1"/>
  <c r="E46" i="10" s="1"/>
  <c r="AG531" i="3"/>
  <c r="C531" i="9" s="1"/>
  <c r="AA530" i="6"/>
  <c r="AC530" i="6" s="1"/>
  <c r="D529" i="9"/>
  <c r="E415" i="9" l="1"/>
  <c r="G416" i="4"/>
  <c r="J416" i="4" s="1"/>
  <c r="AA532" i="3"/>
  <c r="AC532" i="3" s="1"/>
  <c r="AD532" i="3" s="1"/>
  <c r="AE532" i="3" s="1"/>
  <c r="AF530" i="6"/>
  <c r="AD530" i="6"/>
  <c r="AE530" i="6" s="1"/>
  <c r="M416" i="4" l="1"/>
  <c r="AF532" i="3"/>
  <c r="AG532" i="3" s="1"/>
  <c r="AA533" i="3" s="1"/>
  <c r="AC533" i="3" s="1"/>
  <c r="AG530" i="6"/>
  <c r="AA531" i="6" s="1"/>
  <c r="AC531" i="6" s="1"/>
  <c r="K416" i="4" l="1"/>
  <c r="L416" i="4" s="1"/>
  <c r="N416" i="4" s="1"/>
  <c r="D530" i="9"/>
  <c r="H46" i="10" s="1"/>
  <c r="I46" i="10" s="1"/>
  <c r="C532" i="9"/>
  <c r="AF533" i="3"/>
  <c r="AD533" i="3"/>
  <c r="AE533" i="3" s="1"/>
  <c r="AD531" i="6"/>
  <c r="AE531" i="6" s="1"/>
  <c r="AF531" i="6"/>
  <c r="E416" i="9" l="1"/>
  <c r="G417" i="4"/>
  <c r="J417" i="4" s="1"/>
  <c r="J46" i="10" a="1"/>
  <c r="J46" i="10" s="1"/>
  <c r="AG533" i="3"/>
  <c r="AA534" i="3" s="1"/>
  <c r="AC534" i="3" s="1"/>
  <c r="AG531" i="6"/>
  <c r="AA532" i="6" s="1"/>
  <c r="AC532" i="6" s="1"/>
  <c r="K417" i="4" l="1"/>
  <c r="L417" i="4" s="1"/>
  <c r="C533" i="9"/>
  <c r="D531" i="9"/>
  <c r="AD532" i="6"/>
  <c r="AE532" i="6" s="1"/>
  <c r="AF532" i="6"/>
  <c r="AF534" i="3"/>
  <c r="AD534" i="3"/>
  <c r="AE534" i="3" s="1"/>
  <c r="M417" i="4" l="1"/>
  <c r="N417" i="4" s="1"/>
  <c r="AG534" i="3"/>
  <c r="C534" i="9" s="1"/>
  <c r="AG532" i="6"/>
  <c r="AA533" i="6" s="1"/>
  <c r="AC533" i="6" s="1"/>
  <c r="E417" i="9" l="1"/>
  <c r="G418" i="4"/>
  <c r="J418" i="4" s="1"/>
  <c r="AA535" i="3"/>
  <c r="AC535" i="3" s="1"/>
  <c r="AD535" i="3" s="1"/>
  <c r="AE535" i="3" s="1"/>
  <c r="D532" i="9"/>
  <c r="AD533" i="6"/>
  <c r="AE533" i="6" s="1"/>
  <c r="AF533" i="6"/>
  <c r="AF535" i="3" l="1"/>
  <c r="AG535" i="3" s="1"/>
  <c r="AA536" i="3" s="1"/>
  <c r="AC536" i="3" s="1"/>
  <c r="AG533" i="6"/>
  <c r="AA534" i="6" s="1"/>
  <c r="AC534" i="6" s="1"/>
  <c r="M418" i="4" l="1"/>
  <c r="K418" i="4"/>
  <c r="L418" i="4" s="1"/>
  <c r="D533" i="9"/>
  <c r="C535" i="9"/>
  <c r="AF534" i="6"/>
  <c r="AD534" i="6"/>
  <c r="AE534" i="6" s="1"/>
  <c r="AF536" i="3"/>
  <c r="AD536" i="3"/>
  <c r="AE536" i="3" s="1"/>
  <c r="N418" i="4" l="1"/>
  <c r="E418" i="9" s="1"/>
  <c r="G419" i="4"/>
  <c r="J419" i="4" s="1"/>
  <c r="AG534" i="6"/>
  <c r="D534" i="9" s="1"/>
  <c r="AG536" i="3"/>
  <c r="AA537" i="3" s="1"/>
  <c r="AC537" i="3" s="1"/>
  <c r="AA535" i="6" l="1"/>
  <c r="AC535" i="6" s="1"/>
  <c r="AF535" i="6" s="1"/>
  <c r="C536" i="9"/>
  <c r="AD535" i="6"/>
  <c r="AE535" i="6" s="1"/>
  <c r="AF537" i="3"/>
  <c r="AD537" i="3"/>
  <c r="AE537" i="3" s="1"/>
  <c r="M419" i="4" l="1"/>
  <c r="K419" i="4"/>
  <c r="L419" i="4" s="1"/>
  <c r="N419" i="4" s="1"/>
  <c r="AG537" i="3"/>
  <c r="AA538" i="3" s="1"/>
  <c r="AC538" i="3" s="1"/>
  <c r="AG535" i="6"/>
  <c r="AA536" i="6" s="1"/>
  <c r="AC536" i="6" s="1"/>
  <c r="E419" i="9" l="1"/>
  <c r="G420" i="4"/>
  <c r="J420" i="4" s="1"/>
  <c r="D535" i="9"/>
  <c r="C537" i="9"/>
  <c r="AD536" i="6"/>
  <c r="AE536" i="6" s="1"/>
  <c r="AF536" i="6"/>
  <c r="AD538" i="3"/>
  <c r="AE538" i="3" s="1"/>
  <c r="AF538" i="3"/>
  <c r="AG536" i="6" l="1"/>
  <c r="AA537" i="6" s="1"/>
  <c r="AC537" i="6" s="1"/>
  <c r="AG538" i="3"/>
  <c r="AA539" i="3" s="1"/>
  <c r="AC539" i="3" s="1"/>
  <c r="M420" i="4" l="1"/>
  <c r="K420" i="4"/>
  <c r="L420" i="4" s="1"/>
  <c r="D536" i="9"/>
  <c r="C538" i="9"/>
  <c r="AD537" i="6"/>
  <c r="AE537" i="6" s="1"/>
  <c r="AF537" i="6"/>
  <c r="AD539" i="3"/>
  <c r="AE539" i="3" s="1"/>
  <c r="AF539" i="3"/>
  <c r="N420" i="4" l="1"/>
  <c r="E420" i="9"/>
  <c r="G421" i="4"/>
  <c r="J421" i="4" s="1"/>
  <c r="AG539" i="3"/>
  <c r="AA540" i="3" s="1"/>
  <c r="AC540" i="3" s="1"/>
  <c r="AG537" i="6"/>
  <c r="D537" i="9" s="1"/>
  <c r="C539" i="9"/>
  <c r="K421" i="4" l="1"/>
  <c r="L421" i="4" s="1"/>
  <c r="M421" i="4"/>
  <c r="N421" i="4" s="1"/>
  <c r="AA538" i="6"/>
  <c r="AC538" i="6" s="1"/>
  <c r="AF538" i="6" s="1"/>
  <c r="AD540" i="3"/>
  <c r="AE540" i="3" s="1"/>
  <c r="AF540" i="3"/>
  <c r="AD538" i="6" l="1"/>
  <c r="AE538" i="6" s="1"/>
  <c r="E421" i="9"/>
  <c r="G422" i="4"/>
  <c r="J422" i="4" s="1"/>
  <c r="AG540" i="3"/>
  <c r="AA541" i="3" s="1"/>
  <c r="AC541" i="3" s="1"/>
  <c r="AG538" i="6"/>
  <c r="AA539" i="6" s="1"/>
  <c r="AC539" i="6" s="1"/>
  <c r="C540" i="9" l="1"/>
  <c r="M422" i="4"/>
  <c r="D538" i="9"/>
  <c r="AF541" i="3"/>
  <c r="AD541" i="3"/>
  <c r="AE541" i="3" s="1"/>
  <c r="AD539" i="6"/>
  <c r="AE539" i="6" s="1"/>
  <c r="AF539" i="6"/>
  <c r="K422" i="4" l="1"/>
  <c r="L422" i="4" s="1"/>
  <c r="N422" i="4" s="1"/>
  <c r="AG541" i="3"/>
  <c r="AG539" i="6"/>
  <c r="AA540" i="6" s="1"/>
  <c r="AC540" i="6" s="1"/>
  <c r="AA542" i="3"/>
  <c r="AC542" i="3" s="1"/>
  <c r="C541" i="9"/>
  <c r="E422" i="9" l="1"/>
  <c r="M37" i="10" s="1"/>
  <c r="G423" i="4"/>
  <c r="J423" i="4" s="1"/>
  <c r="D539" i="9"/>
  <c r="AD542" i="3"/>
  <c r="D114" i="5" s="1"/>
  <c r="AF542" i="3"/>
  <c r="D101" i="5" s="1"/>
  <c r="AD540" i="6"/>
  <c r="AE540" i="6" s="1"/>
  <c r="AF540" i="6"/>
  <c r="K423" i="4" l="1"/>
  <c r="L423" i="4" s="1"/>
  <c r="O37" i="10" a="1"/>
  <c r="O37" i="10" s="1"/>
  <c r="N37" i="10"/>
  <c r="AG540" i="6"/>
  <c r="AA541" i="6" s="1"/>
  <c r="AC541" i="6" s="1"/>
  <c r="AE542" i="3"/>
  <c r="D115" i="5" s="1"/>
  <c r="D122" i="5" s="1"/>
  <c r="M423" i="4" l="1"/>
  <c r="N423" i="4" s="1"/>
  <c r="D119" i="5"/>
  <c r="D120" i="5" s="1"/>
  <c r="D540" i="9"/>
  <c r="D102" i="5"/>
  <c r="D103" i="5" s="1"/>
  <c r="AG542" i="3"/>
  <c r="AD541" i="6"/>
  <c r="AE541" i="6" s="1"/>
  <c r="AF541" i="6"/>
  <c r="G424" i="4" l="1"/>
  <c r="J424" i="4" s="1"/>
  <c r="E423" i="9"/>
  <c r="AG541" i="6"/>
  <c r="AA542" i="6" s="1"/>
  <c r="AC542" i="6" s="1"/>
  <c r="C542" i="9"/>
  <c r="D80" i="5"/>
  <c r="D82" i="5" s="1"/>
  <c r="D105" i="5" s="1"/>
  <c r="D106" i="5" s="1"/>
  <c r="K424" i="4" l="1"/>
  <c r="L424" i="4" s="1"/>
  <c r="M424" i="4"/>
  <c r="D541" i="9"/>
  <c r="C47" i="10"/>
  <c r="M20" i="1"/>
  <c r="AD542" i="6"/>
  <c r="E114" i="5" s="1"/>
  <c r="AF542" i="6"/>
  <c r="E101" i="5" s="1"/>
  <c r="N424" i="4" l="1"/>
  <c r="E424" i="9" s="1"/>
  <c r="AE542" i="6"/>
  <c r="E115" i="5" s="1"/>
  <c r="E122" i="5" s="1"/>
  <c r="E47" i="10" a="1"/>
  <c r="E47" i="10" s="1"/>
  <c r="D47" i="10"/>
  <c r="F102" i="5"/>
  <c r="G425" i="4" l="1"/>
  <c r="J425" i="4" s="1"/>
  <c r="M425" i="4" s="1"/>
  <c r="E119" i="5"/>
  <c r="E120" i="5" s="1"/>
  <c r="F80" i="5"/>
  <c r="F82" i="5" s="1"/>
  <c r="E102" i="5"/>
  <c r="E103" i="5" s="1"/>
  <c r="AG542" i="6"/>
  <c r="K425" i="4" l="1"/>
  <c r="L425" i="4" s="1"/>
  <c r="N425" i="4" s="1"/>
  <c r="D542" i="9"/>
  <c r="E80" i="5"/>
  <c r="E82" i="5" s="1"/>
  <c r="E105" i="5" s="1"/>
  <c r="E106" i="5" s="1"/>
  <c r="E425" i="9" l="1"/>
  <c r="G426" i="4"/>
  <c r="J426" i="4" s="1"/>
  <c r="H47" i="10"/>
  <c r="N20" i="1"/>
  <c r="M426" i="4" l="1"/>
  <c r="J47" i="10" a="1"/>
  <c r="J47" i="10" s="1"/>
  <c r="I47" i="10"/>
  <c r="K426" i="4" l="1"/>
  <c r="L426" i="4" s="1"/>
  <c r="N426" i="4" s="1"/>
  <c r="E426" i="9" l="1"/>
  <c r="G427" i="4"/>
  <c r="J427" i="4" s="1"/>
  <c r="M427" i="4" l="1"/>
  <c r="K427" i="4"/>
  <c r="L427" i="4" s="1"/>
  <c r="N427" i="4" l="1"/>
  <c r="E427" i="9"/>
  <c r="G428" i="4"/>
  <c r="J428" i="4" s="1"/>
  <c r="M428" i="4" l="1"/>
  <c r="K428" i="4" l="1"/>
  <c r="L428" i="4" s="1"/>
  <c r="N428" i="4" s="1"/>
  <c r="E428" i="9" l="1"/>
  <c r="G429" i="4"/>
  <c r="J429" i="4" s="1"/>
  <c r="K429" i="4" l="1"/>
  <c r="L429" i="4" s="1"/>
  <c r="M429" i="4"/>
  <c r="N429" i="4" s="1"/>
  <c r="E429" i="9" l="1"/>
  <c r="G430" i="4"/>
  <c r="J430" i="4" s="1"/>
  <c r="K430" i="4" l="1"/>
  <c r="L430" i="4" s="1"/>
  <c r="M430" i="4"/>
  <c r="N430" i="4" l="1"/>
  <c r="E430" i="9"/>
  <c r="G431" i="4"/>
  <c r="J431" i="4" s="1"/>
  <c r="K431" i="4" l="1"/>
  <c r="L431" i="4" s="1"/>
  <c r="M431" i="4" l="1"/>
  <c r="N431" i="4" s="1"/>
  <c r="G432" i="4" l="1"/>
  <c r="J432" i="4" s="1"/>
  <c r="E431" i="9"/>
  <c r="K432" i="4" l="1"/>
  <c r="L432" i="4" s="1"/>
  <c r="M432" i="4"/>
  <c r="N432" i="4" l="1"/>
  <c r="G433" i="4"/>
  <c r="J433" i="4" s="1"/>
  <c r="E432" i="9"/>
  <c r="M433" i="4" l="1"/>
  <c r="K433" i="4"/>
  <c r="L433" i="4" s="1"/>
  <c r="N433" i="4" s="1"/>
  <c r="E433" i="9" l="1"/>
  <c r="G434" i="4"/>
  <c r="J434" i="4" s="1"/>
  <c r="K434" i="4" l="1"/>
  <c r="L434" i="4" s="1"/>
  <c r="M434" i="4" l="1"/>
  <c r="N434" i="4" s="1"/>
  <c r="G435" i="4" l="1"/>
  <c r="J435" i="4" s="1"/>
  <c r="E434" i="9"/>
  <c r="M38" i="10" s="1"/>
  <c r="N38" i="10" l="1"/>
  <c r="O38" i="10" a="1"/>
  <c r="O38" i="10" s="1"/>
  <c r="M435" i="4"/>
  <c r="K435" i="4"/>
  <c r="L435" i="4" s="1"/>
  <c r="N435" i="4" s="1"/>
  <c r="G436" i="4" l="1"/>
  <c r="J436" i="4" s="1"/>
  <c r="E435" i="9"/>
  <c r="K436" i="4" l="1"/>
  <c r="L436" i="4" s="1"/>
  <c r="M436" i="4"/>
  <c r="N436" i="4" s="1"/>
  <c r="G437" i="4" l="1"/>
  <c r="J437" i="4" s="1"/>
  <c r="E436" i="9"/>
  <c r="M437" i="4" l="1"/>
  <c r="K437" i="4"/>
  <c r="L437" i="4" s="1"/>
  <c r="N437" i="4" s="1"/>
  <c r="E437" i="9" l="1"/>
  <c r="G438" i="4"/>
  <c r="J438" i="4" s="1"/>
  <c r="M438" i="4" l="1"/>
  <c r="K438" i="4" l="1"/>
  <c r="L438" i="4" s="1"/>
  <c r="N438" i="4" s="1"/>
  <c r="G439" i="4" l="1"/>
  <c r="J439" i="4" s="1"/>
  <c r="E438" i="9"/>
  <c r="K439" i="4" l="1"/>
  <c r="L439" i="4" s="1"/>
  <c r="M439" i="4" l="1"/>
  <c r="N439" i="4" s="1"/>
  <c r="E439" i="9" l="1"/>
  <c r="G440" i="4"/>
  <c r="J440" i="4" s="1"/>
  <c r="M440" i="4" l="1"/>
  <c r="K440" i="4"/>
  <c r="L440" i="4" s="1"/>
  <c r="N440" i="4" s="1"/>
  <c r="E440" i="9" l="1"/>
  <c r="G441" i="4"/>
  <c r="J441" i="4" s="1"/>
  <c r="K441" i="4" l="1"/>
  <c r="L441" i="4" s="1"/>
  <c r="M441" i="4" l="1"/>
  <c r="N441" i="4" s="1"/>
  <c r="E441" i="9" l="1"/>
  <c r="G442" i="4"/>
  <c r="J442" i="4" s="1"/>
  <c r="K442" i="4" l="1"/>
  <c r="L442" i="4" s="1"/>
  <c r="M442" i="4" l="1"/>
  <c r="N442" i="4" s="1"/>
  <c r="E442" i="9" l="1"/>
  <c r="G443" i="4"/>
  <c r="J443" i="4" s="1"/>
  <c r="M443" i="4" l="1"/>
  <c r="K443" i="4" l="1"/>
  <c r="L443" i="4" s="1"/>
  <c r="N443" i="4" s="1"/>
  <c r="E443" i="9" l="1"/>
  <c r="G444" i="4"/>
  <c r="J444" i="4" s="1"/>
  <c r="M444" i="4" l="1"/>
  <c r="K444" i="4"/>
  <c r="L444" i="4" s="1"/>
  <c r="N444" i="4" l="1"/>
  <c r="G445" i="4"/>
  <c r="J445" i="4" s="1"/>
  <c r="E444" i="9"/>
  <c r="K445" i="4" l="1"/>
  <c r="L445" i="4" s="1"/>
  <c r="M445" i="4"/>
  <c r="N445" i="4" s="1"/>
  <c r="E445" i="9" l="1"/>
  <c r="G446" i="4"/>
  <c r="J446" i="4" s="1"/>
  <c r="K446" i="4" l="1"/>
  <c r="L446" i="4" s="1"/>
  <c r="M446" i="4"/>
  <c r="N446" i="4" s="1"/>
  <c r="E446" i="9" l="1"/>
  <c r="M39" i="10" s="1"/>
  <c r="G447" i="4"/>
  <c r="J447" i="4" s="1"/>
  <c r="K447" i="4" l="1"/>
  <c r="L447" i="4" s="1"/>
  <c r="O39" i="10" a="1"/>
  <c r="O39" i="10" s="1"/>
  <c r="N39" i="10"/>
  <c r="M447" i="4" l="1"/>
  <c r="N447" i="4" s="1"/>
  <c r="E447" i="9" l="1"/>
  <c r="G448" i="4"/>
  <c r="J448" i="4" s="1"/>
  <c r="M448" i="4" l="1"/>
  <c r="K448" i="4" l="1"/>
  <c r="L448" i="4" s="1"/>
  <c r="N448" i="4" s="1"/>
  <c r="E448" i="9" l="1"/>
  <c r="G449" i="4"/>
  <c r="J449" i="4" s="1"/>
  <c r="M449" i="4" l="1"/>
  <c r="K449" i="4" l="1"/>
  <c r="L449" i="4" s="1"/>
  <c r="N449" i="4" s="1"/>
  <c r="E449" i="9" l="1"/>
  <c r="G450" i="4"/>
  <c r="J450" i="4" s="1"/>
  <c r="M450" i="4" l="1"/>
  <c r="K450" i="4" l="1"/>
  <c r="L450" i="4" s="1"/>
  <c r="N450" i="4" s="1"/>
  <c r="E450" i="9" l="1"/>
  <c r="G451" i="4"/>
  <c r="J451" i="4" s="1"/>
  <c r="M451" i="4" l="1"/>
  <c r="K451" i="4" l="1"/>
  <c r="L451" i="4" s="1"/>
  <c r="N451" i="4" s="1"/>
  <c r="E451" i="9" l="1"/>
  <c r="G452" i="4"/>
  <c r="J452" i="4" s="1"/>
  <c r="K452" i="4" l="1"/>
  <c r="L452" i="4" s="1"/>
  <c r="M452" i="4"/>
  <c r="N452" i="4" s="1"/>
  <c r="E452" i="9" l="1"/>
  <c r="G453" i="4"/>
  <c r="J453" i="4" s="1"/>
  <c r="M453" i="4" l="1"/>
  <c r="K453" i="4"/>
  <c r="L453" i="4" s="1"/>
  <c r="N453" i="4" s="1"/>
  <c r="E453" i="9" l="1"/>
  <c r="G454" i="4"/>
  <c r="J454" i="4" s="1"/>
  <c r="M454" i="4" l="1"/>
  <c r="K454" i="4" l="1"/>
  <c r="L454" i="4" s="1"/>
  <c r="N454" i="4" s="1"/>
  <c r="E454" i="9" l="1"/>
  <c r="G455" i="4"/>
  <c r="J455" i="4" s="1"/>
  <c r="M455" i="4" l="1"/>
  <c r="K455" i="4"/>
  <c r="L455" i="4" s="1"/>
  <c r="N455" i="4" s="1"/>
  <c r="E455" i="9" l="1"/>
  <c r="G456" i="4"/>
  <c r="J456" i="4" s="1"/>
  <c r="K456" i="4" l="1"/>
  <c r="L456" i="4" s="1"/>
  <c r="M456" i="4" l="1"/>
  <c r="N456" i="4" s="1"/>
  <c r="E456" i="9" l="1"/>
  <c r="G457" i="4"/>
  <c r="J457" i="4" s="1"/>
  <c r="K457" i="4" l="1"/>
  <c r="L457" i="4" s="1"/>
  <c r="M457" i="4"/>
  <c r="N457" i="4" s="1"/>
  <c r="E457" i="9" l="1"/>
  <c r="G458" i="4"/>
  <c r="J458" i="4" s="1"/>
  <c r="K458" i="4" l="1"/>
  <c r="L458" i="4" s="1"/>
  <c r="M458" i="4"/>
  <c r="N458" i="4" l="1"/>
  <c r="E458" i="9" s="1"/>
  <c r="M40" i="10" s="1"/>
  <c r="G459" i="4" l="1"/>
  <c r="J459" i="4" s="1"/>
  <c r="M459" i="4" s="1"/>
  <c r="N40" i="10"/>
  <c r="O40" i="10" a="1"/>
  <c r="O40" i="10" s="1"/>
  <c r="K459" i="4" l="1"/>
  <c r="L459" i="4" s="1"/>
  <c r="N459" i="4" s="1"/>
  <c r="G460" i="4" l="1"/>
  <c r="J460" i="4" s="1"/>
  <c r="E459" i="9"/>
  <c r="K460" i="4" l="1"/>
  <c r="L460" i="4" s="1"/>
  <c r="M460" i="4"/>
  <c r="N460" i="4" s="1"/>
  <c r="G461" i="4" l="1"/>
  <c r="J461" i="4" s="1"/>
  <c r="E460" i="9"/>
  <c r="M461" i="4" l="1"/>
  <c r="K461" i="4"/>
  <c r="L461" i="4" s="1"/>
  <c r="N461" i="4" s="1"/>
  <c r="E461" i="9" l="1"/>
  <c r="G462" i="4"/>
  <c r="J462" i="4" s="1"/>
  <c r="K462" i="4" l="1"/>
  <c r="L462" i="4" s="1"/>
  <c r="M462" i="4" l="1"/>
  <c r="N462" i="4" s="1"/>
  <c r="E462" i="9" l="1"/>
  <c r="G463" i="4"/>
  <c r="J463" i="4" s="1"/>
  <c r="M463" i="4" l="1"/>
  <c r="K463" i="4" l="1"/>
  <c r="L463" i="4" s="1"/>
  <c r="N463" i="4" s="1"/>
  <c r="E463" i="9" l="1"/>
  <c r="G464" i="4"/>
  <c r="J464" i="4" s="1"/>
  <c r="M464" i="4" l="1"/>
  <c r="K464" i="4" l="1"/>
  <c r="L464" i="4" s="1"/>
  <c r="N464" i="4" s="1"/>
  <c r="E464" i="9" l="1"/>
  <c r="G465" i="4"/>
  <c r="J465" i="4" s="1"/>
  <c r="M465" i="4" l="1"/>
  <c r="K465" i="4" l="1"/>
  <c r="L465" i="4" s="1"/>
  <c r="N465" i="4" s="1"/>
  <c r="E465" i="9" l="1"/>
  <c r="G466" i="4"/>
  <c r="J466" i="4" s="1"/>
  <c r="M466" i="4" l="1"/>
  <c r="K466" i="4"/>
  <c r="L466" i="4" s="1"/>
  <c r="N466" i="4" l="1"/>
  <c r="E466" i="9"/>
  <c r="G467" i="4"/>
  <c r="J467" i="4" s="1"/>
  <c r="K467" i="4" l="1"/>
  <c r="L467" i="4" s="1"/>
  <c r="M467" i="4"/>
  <c r="N467" i="4" l="1"/>
  <c r="E467" i="9"/>
  <c r="G468" i="4"/>
  <c r="J468" i="4" s="1"/>
  <c r="M468" i="4" l="1"/>
  <c r="K468" i="4"/>
  <c r="L468" i="4" s="1"/>
  <c r="N468" i="4" s="1"/>
  <c r="G469" i="4" l="1"/>
  <c r="J469" i="4" s="1"/>
  <c r="E468" i="9"/>
  <c r="K469" i="4" l="1"/>
  <c r="L469" i="4" s="1"/>
  <c r="M469" i="4"/>
  <c r="N469" i="4" l="1"/>
  <c r="E469" i="9"/>
  <c r="G470" i="4"/>
  <c r="J470" i="4" s="1"/>
  <c r="K470" i="4" l="1"/>
  <c r="L470" i="4" s="1"/>
  <c r="M470" i="4"/>
  <c r="N470" i="4" s="1"/>
  <c r="E470" i="9" l="1"/>
  <c r="M41" i="10" s="1"/>
  <c r="G471" i="4"/>
  <c r="J471" i="4" s="1"/>
  <c r="K471" i="4" l="1"/>
  <c r="L471" i="4" s="1"/>
  <c r="N41" i="10"/>
  <c r="O41" i="10" a="1"/>
  <c r="O41" i="10" s="1"/>
  <c r="M471" i="4" l="1"/>
  <c r="N471" i="4" s="1"/>
  <c r="E471" i="9" l="1"/>
  <c r="G472" i="4"/>
  <c r="J472" i="4" s="1"/>
  <c r="K472" i="4" l="1"/>
  <c r="L472" i="4" s="1"/>
  <c r="M472" i="4" l="1"/>
  <c r="N472" i="4" s="1"/>
  <c r="E472" i="9" l="1"/>
  <c r="G473" i="4"/>
  <c r="J473" i="4" s="1"/>
  <c r="M473" i="4" l="1"/>
  <c r="K473" i="4" l="1"/>
  <c r="L473" i="4" s="1"/>
  <c r="N473" i="4" s="1"/>
  <c r="E473" i="9" l="1"/>
  <c r="G474" i="4"/>
  <c r="J474" i="4" s="1"/>
  <c r="K474" i="4" l="1"/>
  <c r="L474" i="4" s="1"/>
  <c r="M474" i="4" l="1"/>
  <c r="N474" i="4" s="1"/>
  <c r="G475" i="4" l="1"/>
  <c r="J475" i="4" s="1"/>
  <c r="E474" i="9"/>
  <c r="M475" i="4" l="1"/>
  <c r="K475" i="4"/>
  <c r="L475" i="4" s="1"/>
  <c r="N475" i="4" s="1"/>
  <c r="E475" i="9" l="1"/>
  <c r="G476" i="4"/>
  <c r="J476" i="4" s="1"/>
  <c r="K476" i="4" l="1"/>
  <c r="L476" i="4" s="1"/>
  <c r="M476" i="4"/>
  <c r="N476" i="4" s="1"/>
  <c r="E476" i="9" l="1"/>
  <c r="G477" i="4"/>
  <c r="J477" i="4" s="1"/>
  <c r="K477" i="4" l="1"/>
  <c r="L477" i="4" s="1"/>
  <c r="M477" i="4" l="1"/>
  <c r="N477" i="4" s="1"/>
  <c r="E477" i="9" l="1"/>
  <c r="G478" i="4"/>
  <c r="J478" i="4" s="1"/>
  <c r="M478" i="4" l="1"/>
  <c r="K478" i="4"/>
  <c r="L478" i="4" s="1"/>
  <c r="N478" i="4" s="1"/>
  <c r="E478" i="9" l="1"/>
  <c r="G479" i="4"/>
  <c r="J479" i="4" s="1"/>
  <c r="K479" i="4" l="1"/>
  <c r="L479" i="4" s="1"/>
  <c r="M479" i="4" l="1"/>
  <c r="N479" i="4" s="1"/>
  <c r="E479" i="9" l="1"/>
  <c r="G480" i="4"/>
  <c r="J480" i="4" s="1"/>
  <c r="K480" i="4" l="1"/>
  <c r="L480" i="4" s="1"/>
  <c r="M480" i="4"/>
  <c r="N480" i="4" s="1"/>
  <c r="G481" i="4" l="1"/>
  <c r="J481" i="4" s="1"/>
  <c r="E480" i="9"/>
  <c r="K481" i="4" l="1"/>
  <c r="L481" i="4" s="1"/>
  <c r="M481" i="4"/>
  <c r="N481" i="4" s="1"/>
  <c r="G482" i="4" l="1"/>
  <c r="J482" i="4" s="1"/>
  <c r="E481" i="9"/>
  <c r="M482" i="4" l="1"/>
  <c r="K482" i="4"/>
  <c r="L482" i="4" s="1"/>
  <c r="N482" i="4" l="1"/>
  <c r="E482" i="9"/>
  <c r="M42" i="10" s="1"/>
  <c r="G483" i="4"/>
  <c r="J483" i="4" s="1"/>
  <c r="M483" i="4" l="1"/>
  <c r="O42" i="10" a="1"/>
  <c r="O42" i="10" s="1"/>
  <c r="N42" i="10"/>
  <c r="K483" i="4" l="1"/>
  <c r="L483" i="4" s="1"/>
  <c r="N483" i="4" s="1"/>
  <c r="E483" i="9" l="1"/>
  <c r="G484" i="4"/>
  <c r="J484" i="4" s="1"/>
  <c r="M484" i="4" l="1"/>
  <c r="K484" i="4" l="1"/>
  <c r="L484" i="4" s="1"/>
  <c r="N484" i="4" s="1"/>
  <c r="E484" i="9" l="1"/>
  <c r="G485" i="4"/>
  <c r="J485" i="4" s="1"/>
  <c r="M485" i="4" l="1"/>
  <c r="K485" i="4"/>
  <c r="L485" i="4" s="1"/>
  <c r="N485" i="4" s="1"/>
  <c r="E485" i="9" l="1"/>
  <c r="G486" i="4"/>
  <c r="J486" i="4" s="1"/>
  <c r="K486" i="4" l="1"/>
  <c r="L486" i="4" s="1"/>
  <c r="M486" i="4" l="1"/>
  <c r="N486" i="4" s="1"/>
  <c r="E486" i="9" l="1"/>
  <c r="G487" i="4"/>
  <c r="J487" i="4" s="1"/>
  <c r="M487" i="4" l="1"/>
  <c r="K487" i="4" l="1"/>
  <c r="L487" i="4" s="1"/>
  <c r="N487" i="4" s="1"/>
  <c r="E487" i="9" l="1"/>
  <c r="G488" i="4"/>
  <c r="J488" i="4" s="1"/>
  <c r="K488" i="4" l="1"/>
  <c r="L488" i="4" s="1"/>
  <c r="M488" i="4"/>
  <c r="N488" i="4" l="1"/>
  <c r="E488" i="9"/>
  <c r="G489" i="4"/>
  <c r="J489" i="4" s="1"/>
  <c r="M489" i="4" l="1"/>
  <c r="K489" i="4"/>
  <c r="L489" i="4" s="1"/>
  <c r="N489" i="4" s="1"/>
  <c r="E489" i="9" l="1"/>
  <c r="G490" i="4"/>
  <c r="J490" i="4" s="1"/>
  <c r="K490" i="4" l="1"/>
  <c r="L490" i="4" s="1"/>
  <c r="M490" i="4" l="1"/>
  <c r="N490" i="4" s="1"/>
  <c r="E490" i="9" l="1"/>
  <c r="G491" i="4"/>
  <c r="J491" i="4" s="1"/>
  <c r="M491" i="4" l="1"/>
  <c r="K491" i="4"/>
  <c r="L491" i="4" s="1"/>
  <c r="N491" i="4" s="1"/>
  <c r="E491" i="9" l="1"/>
  <c r="G492" i="4"/>
  <c r="J492" i="4" s="1"/>
  <c r="K492" i="4" l="1"/>
  <c r="L492" i="4" s="1"/>
  <c r="M492" i="4"/>
  <c r="N492" i="4" l="1"/>
  <c r="G493" i="4"/>
  <c r="J493" i="4" s="1"/>
  <c r="E492" i="9"/>
  <c r="K493" i="4" l="1"/>
  <c r="L493" i="4" s="1"/>
  <c r="M493" i="4"/>
  <c r="N493" i="4" l="1"/>
  <c r="E493" i="9"/>
  <c r="G494" i="4"/>
  <c r="J494" i="4" s="1"/>
  <c r="K494" i="4" l="1"/>
  <c r="L494" i="4" s="1"/>
  <c r="M494" i="4"/>
  <c r="N494" i="4" s="1"/>
  <c r="G495" i="4" l="1"/>
  <c r="J495" i="4" s="1"/>
  <c r="E494" i="9"/>
  <c r="M43" i="10" s="1"/>
  <c r="N43" i="10" l="1"/>
  <c r="O43" i="10" a="1"/>
  <c r="O43" i="10" s="1"/>
  <c r="M495" i="4"/>
  <c r="K495" i="4"/>
  <c r="L495" i="4" s="1"/>
  <c r="N495" i="4" s="1"/>
  <c r="E495" i="9" l="1"/>
  <c r="G496" i="4"/>
  <c r="J496" i="4" s="1"/>
  <c r="M496" i="4" l="1"/>
  <c r="K496" i="4" l="1"/>
  <c r="L496" i="4" s="1"/>
  <c r="N496" i="4" s="1"/>
  <c r="G497" i="4" l="1"/>
  <c r="J497" i="4" s="1"/>
  <c r="E496" i="9"/>
  <c r="M497" i="4" l="1"/>
  <c r="K497" i="4"/>
  <c r="L497" i="4" s="1"/>
  <c r="N497" i="4" s="1"/>
  <c r="E497" i="9" l="1"/>
  <c r="G498" i="4"/>
  <c r="J498" i="4" s="1"/>
  <c r="M498" i="4" l="1"/>
  <c r="K498" i="4" l="1"/>
  <c r="L498" i="4" s="1"/>
  <c r="N498" i="4" s="1"/>
  <c r="E498" i="9" l="1"/>
  <c r="G499" i="4"/>
  <c r="J499" i="4" s="1"/>
  <c r="K499" i="4" l="1"/>
  <c r="L499" i="4" s="1"/>
  <c r="M499" i="4" l="1"/>
  <c r="N499" i="4" s="1"/>
  <c r="E499" i="9" l="1"/>
  <c r="G500" i="4"/>
  <c r="J500" i="4" s="1"/>
  <c r="K500" i="4" l="1"/>
  <c r="L500" i="4" s="1"/>
  <c r="M500" i="4" l="1"/>
  <c r="N500" i="4" s="1"/>
  <c r="E500" i="9" l="1"/>
  <c r="G501" i="4"/>
  <c r="J501" i="4" s="1"/>
  <c r="M501" i="4" l="1"/>
  <c r="K501" i="4" l="1"/>
  <c r="L501" i="4" s="1"/>
  <c r="N501" i="4" s="1"/>
  <c r="G502" i="4" l="1"/>
  <c r="J502" i="4" s="1"/>
  <c r="E501" i="9"/>
  <c r="K502" i="4" l="1"/>
  <c r="L502" i="4" s="1"/>
  <c r="M502" i="4"/>
  <c r="N502" i="4" s="1"/>
  <c r="E502" i="9" l="1"/>
  <c r="G503" i="4"/>
  <c r="J503" i="4" s="1"/>
  <c r="K503" i="4" l="1"/>
  <c r="L503" i="4" s="1"/>
  <c r="M503" i="4"/>
  <c r="N503" i="4" s="1"/>
  <c r="E503" i="9" l="1"/>
  <c r="G504" i="4"/>
  <c r="J504" i="4" s="1"/>
  <c r="M504" i="4" l="1"/>
  <c r="K504" i="4"/>
  <c r="L504" i="4" s="1"/>
  <c r="N504" i="4" s="1"/>
  <c r="E504" i="9" l="1"/>
  <c r="G505" i="4"/>
  <c r="J505" i="4" s="1"/>
  <c r="K505" i="4" l="1"/>
  <c r="L505" i="4" s="1"/>
  <c r="M505" i="4"/>
  <c r="N505" i="4" s="1"/>
  <c r="G506" i="4" l="1"/>
  <c r="J506" i="4" s="1"/>
  <c r="E505" i="9"/>
  <c r="K506" i="4" l="1"/>
  <c r="L506" i="4" s="1"/>
  <c r="M506" i="4"/>
  <c r="N506" i="4" l="1"/>
  <c r="G507" i="4" s="1"/>
  <c r="J507" i="4" s="1"/>
  <c r="E506" i="9" l="1"/>
  <c r="M44" i="10" s="1"/>
  <c r="N44" i="10" s="1"/>
  <c r="M507" i="4"/>
  <c r="K507" i="4"/>
  <c r="L507" i="4" s="1"/>
  <c r="N507" i="4" s="1"/>
  <c r="O44" i="10" l="1" a="1"/>
  <c r="O44" i="10" s="1"/>
  <c r="E507" i="9"/>
  <c r="G508" i="4"/>
  <c r="J508" i="4" s="1"/>
  <c r="K508" i="4" l="1"/>
  <c r="L508" i="4" s="1"/>
  <c r="M508" i="4" l="1"/>
  <c r="N508" i="4" s="1"/>
  <c r="E508" i="9" l="1"/>
  <c r="G509" i="4"/>
  <c r="J509" i="4" s="1"/>
  <c r="M509" i="4" l="1"/>
  <c r="K509" i="4" l="1"/>
  <c r="L509" i="4" s="1"/>
  <c r="N509" i="4" s="1"/>
  <c r="G510" i="4" l="1"/>
  <c r="J510" i="4" s="1"/>
  <c r="E509" i="9"/>
  <c r="M510" i="4" l="1"/>
  <c r="K510" i="4"/>
  <c r="L510" i="4" s="1"/>
  <c r="N510" i="4" l="1"/>
  <c r="E510" i="9"/>
  <c r="G511" i="4"/>
  <c r="J511" i="4" s="1"/>
  <c r="K511" i="4" l="1"/>
  <c r="L511" i="4" s="1"/>
  <c r="M511" i="4"/>
  <c r="N511" i="4" s="1"/>
  <c r="E511" i="9" l="1"/>
  <c r="G512" i="4"/>
  <c r="J512" i="4" s="1"/>
  <c r="K512" i="4" l="1"/>
  <c r="L512" i="4" s="1"/>
  <c r="M512" i="4" l="1"/>
  <c r="N512" i="4" s="1"/>
  <c r="E512" i="9" l="1"/>
  <c r="G513" i="4"/>
  <c r="J513" i="4" s="1"/>
  <c r="K513" i="4" l="1"/>
  <c r="L513" i="4" s="1"/>
  <c r="M513" i="4"/>
  <c r="N513" i="4" l="1"/>
  <c r="E513" i="9"/>
  <c r="G514" i="4"/>
  <c r="J514" i="4" s="1"/>
  <c r="M514" i="4" l="1"/>
  <c r="K514" i="4"/>
  <c r="L514" i="4" s="1"/>
  <c r="N514" i="4" s="1"/>
  <c r="E514" i="9" l="1"/>
  <c r="G515" i="4"/>
  <c r="J515" i="4" s="1"/>
  <c r="K515" i="4" l="1"/>
  <c r="L515" i="4" s="1"/>
  <c r="M515" i="4"/>
  <c r="N515" i="4" s="1"/>
  <c r="E515" i="9" l="1"/>
  <c r="G516" i="4"/>
  <c r="J516" i="4" s="1"/>
  <c r="M516" i="4" l="1"/>
  <c r="K516" i="4" l="1"/>
  <c r="L516" i="4" s="1"/>
  <c r="N516" i="4" s="1"/>
  <c r="E516" i="9" l="1"/>
  <c r="G517" i="4"/>
  <c r="J517" i="4" s="1"/>
  <c r="K517" i="4" l="1"/>
  <c r="L517" i="4" s="1"/>
  <c r="M517" i="4" l="1"/>
  <c r="N517" i="4" s="1"/>
  <c r="E517" i="9" l="1"/>
  <c r="G518" i="4"/>
  <c r="J518" i="4" s="1"/>
  <c r="M518" i="4" l="1"/>
  <c r="K518" i="4" l="1"/>
  <c r="L518" i="4" s="1"/>
  <c r="N518" i="4" s="1"/>
  <c r="E518" i="9" l="1"/>
  <c r="M45" i="10" s="1"/>
  <c r="G519" i="4"/>
  <c r="J519" i="4" s="1"/>
  <c r="K519" i="4" l="1"/>
  <c r="L519" i="4" s="1"/>
  <c r="O45" i="10" a="1"/>
  <c r="O45" i="10" s="1"/>
  <c r="N45" i="10"/>
  <c r="M519" i="4" l="1"/>
  <c r="N519" i="4" s="1"/>
  <c r="E519" i="9" l="1"/>
  <c r="G520" i="4"/>
  <c r="J520" i="4" s="1"/>
  <c r="K520" i="4" l="1"/>
  <c r="L520" i="4" s="1"/>
  <c r="M520" i="4" l="1"/>
  <c r="N520" i="4" s="1"/>
  <c r="E520" i="9" l="1"/>
  <c r="G521" i="4"/>
  <c r="J521" i="4" s="1"/>
  <c r="K521" i="4" l="1"/>
  <c r="L521" i="4" s="1"/>
  <c r="M521" i="4" l="1"/>
  <c r="N521" i="4" s="1"/>
  <c r="E521" i="9" l="1"/>
  <c r="G522" i="4"/>
  <c r="J522" i="4" s="1"/>
  <c r="K522" i="4" l="1"/>
  <c r="L522" i="4" s="1"/>
  <c r="M522" i="4" l="1"/>
  <c r="N522" i="4" s="1"/>
  <c r="E522" i="9" l="1"/>
  <c r="G523" i="4"/>
  <c r="J523" i="4" s="1"/>
  <c r="K523" i="4" l="1"/>
  <c r="L523" i="4" s="1"/>
  <c r="M523" i="4" l="1"/>
  <c r="N523" i="4" s="1"/>
  <c r="E523" i="9" l="1"/>
  <c r="G524" i="4"/>
  <c r="J524" i="4" s="1"/>
  <c r="M524" i="4" l="1"/>
  <c r="K524" i="4" l="1"/>
  <c r="L524" i="4" s="1"/>
  <c r="N524" i="4" s="1"/>
  <c r="E524" i="9" l="1"/>
  <c r="G525" i="4"/>
  <c r="J525" i="4" s="1"/>
  <c r="M525" i="4" l="1"/>
  <c r="K525" i="4" l="1"/>
  <c r="L525" i="4" s="1"/>
  <c r="N525" i="4" s="1"/>
  <c r="E525" i="9" l="1"/>
  <c r="G526" i="4"/>
  <c r="J526" i="4" s="1"/>
  <c r="K526" i="4" l="1"/>
  <c r="L526" i="4" s="1"/>
  <c r="M526" i="4" l="1"/>
  <c r="N526" i="4" s="1"/>
  <c r="E526" i="9" l="1"/>
  <c r="G527" i="4"/>
  <c r="J527" i="4" s="1"/>
  <c r="M527" i="4" l="1"/>
  <c r="K527" i="4"/>
  <c r="L527" i="4" s="1"/>
  <c r="N527" i="4" l="1"/>
  <c r="E527" i="9" l="1"/>
  <c r="G528" i="4"/>
  <c r="J528" i="4" s="1"/>
  <c r="M528" i="4" l="1"/>
  <c r="K528" i="4"/>
  <c r="L528" i="4" s="1"/>
  <c r="N528" i="4" l="1"/>
  <c r="E528" i="9"/>
  <c r="G529" i="4"/>
  <c r="J529" i="4" s="1"/>
  <c r="M529" i="4" l="1"/>
  <c r="K529" i="4" l="1"/>
  <c r="L529" i="4" s="1"/>
  <c r="N529" i="4" s="1"/>
  <c r="E529" i="9" l="1"/>
  <c r="G530" i="4"/>
  <c r="J530" i="4" s="1"/>
  <c r="M530" i="4" l="1"/>
  <c r="K530" i="4" l="1"/>
  <c r="L530" i="4" s="1"/>
  <c r="N530" i="4" s="1"/>
  <c r="E530" i="9" l="1"/>
  <c r="M46" i="10" s="1"/>
  <c r="G531" i="4"/>
  <c r="J531" i="4" s="1"/>
  <c r="M531" i="4" l="1"/>
  <c r="N46" i="10"/>
  <c r="O46" i="10" a="1"/>
  <c r="O46" i="10" s="1"/>
  <c r="K531" i="4" l="1"/>
  <c r="L531" i="4" s="1"/>
  <c r="N531" i="4" s="1"/>
  <c r="E531" i="9" l="1"/>
  <c r="G532" i="4"/>
  <c r="J532" i="4" s="1"/>
  <c r="K532" i="4" l="1"/>
  <c r="L532" i="4" s="1"/>
  <c r="M532" i="4" l="1"/>
  <c r="N532" i="4" s="1"/>
  <c r="E532" i="9" l="1"/>
  <c r="G533" i="4"/>
  <c r="J533" i="4" s="1"/>
  <c r="M533" i="4" l="1"/>
  <c r="K533" i="4" l="1"/>
  <c r="L533" i="4" s="1"/>
  <c r="N533" i="4" s="1"/>
  <c r="E533" i="9" l="1"/>
  <c r="G534" i="4"/>
  <c r="J534" i="4" s="1"/>
  <c r="K534" i="4" l="1"/>
  <c r="L534" i="4" s="1"/>
  <c r="M534" i="4" l="1"/>
  <c r="N534" i="4" s="1"/>
  <c r="E534" i="9" l="1"/>
  <c r="G535" i="4"/>
  <c r="J535" i="4" s="1"/>
  <c r="M535" i="4" l="1"/>
  <c r="K535" i="4" l="1"/>
  <c r="L535" i="4" s="1"/>
  <c r="N535" i="4" s="1"/>
  <c r="E535" i="9" l="1"/>
  <c r="G536" i="4"/>
  <c r="J536" i="4" s="1"/>
  <c r="M536" i="4" l="1"/>
  <c r="K536" i="4"/>
  <c r="L536" i="4" s="1"/>
  <c r="N536" i="4" l="1"/>
  <c r="E536" i="9"/>
  <c r="G537" i="4"/>
  <c r="J537" i="4" s="1"/>
  <c r="M537" i="4" l="1"/>
  <c r="K537" i="4"/>
  <c r="L537" i="4" s="1"/>
  <c r="N537" i="4" l="1"/>
  <c r="E537" i="9"/>
  <c r="G538" i="4"/>
  <c r="J538" i="4" s="1"/>
  <c r="M538" i="4" l="1"/>
  <c r="K538" i="4"/>
  <c r="L538" i="4" s="1"/>
  <c r="N538" i="4" s="1"/>
  <c r="E538" i="9" l="1"/>
  <c r="G539" i="4"/>
  <c r="J539" i="4" s="1"/>
  <c r="K539" i="4" l="1"/>
  <c r="L539" i="4" s="1"/>
  <c r="M539" i="4"/>
  <c r="N539" i="4" s="1"/>
  <c r="E539" i="9" l="1"/>
  <c r="G540" i="4"/>
  <c r="J540" i="4" s="1"/>
  <c r="M540" i="4" l="1"/>
  <c r="K540" i="4"/>
  <c r="L540" i="4" s="1"/>
  <c r="N540" i="4" s="1"/>
  <c r="G541" i="4" l="1"/>
  <c r="J541" i="4" s="1"/>
  <c r="E540" i="9"/>
  <c r="K541" i="4" l="1"/>
  <c r="L541" i="4" s="1"/>
  <c r="M541" i="4"/>
  <c r="N541" i="4" l="1"/>
  <c r="E541" i="9"/>
  <c r="G542" i="4"/>
  <c r="J542" i="4" s="1"/>
  <c r="M542" i="4" l="1"/>
  <c r="F101" i="5" s="1"/>
  <c r="F103" i="5" s="1"/>
  <c r="F105" i="5" s="1"/>
  <c r="F106" i="5" s="1"/>
  <c r="K542" i="4"/>
  <c r="F114" i="5" l="1"/>
  <c r="L542" i="4"/>
  <c r="F115" i="5" l="1"/>
  <c r="F122" i="5" s="1"/>
  <c r="N542" i="4"/>
  <c r="E542" i="9" s="1"/>
  <c r="F119" i="5" l="1"/>
  <c r="F120" i="5" s="1"/>
  <c r="M47" i="10"/>
  <c r="O20" i="1"/>
  <c r="N47" i="10" l="1"/>
  <c r="O47" i="10" a="1"/>
  <c r="O47"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<sst xmlns="http://schemas.openxmlformats.org/spreadsheetml/2006/main" count="378" uniqueCount="192">
  <si>
    <t>Year</t>
  </si>
  <si>
    <t>Purchase Price</t>
  </si>
  <si>
    <t>Interest Payment</t>
  </si>
  <si>
    <t>Principal Payment</t>
  </si>
  <si>
    <t>Principle Paid</t>
  </si>
  <si>
    <t>Home Value</t>
  </si>
  <si>
    <t>Home Equity</t>
  </si>
  <si>
    <t>Outstanding Principle</t>
  </si>
  <si>
    <t>Down Payment</t>
  </si>
  <si>
    <t>Net Mortgage</t>
  </si>
  <si>
    <t>Payment Check</t>
  </si>
  <si>
    <t>Monthly Investment</t>
  </si>
  <si>
    <t>Model</t>
  </si>
  <si>
    <t>Portfolio</t>
  </si>
  <si>
    <t>Total</t>
  </si>
  <si>
    <t>Period</t>
  </si>
  <si>
    <t>$</t>
  </si>
  <si>
    <t>%</t>
  </si>
  <si>
    <t>Annual</t>
  </si>
  <si>
    <t>Monthly</t>
  </si>
  <si>
    <t>HOME PURCHASE</t>
  </si>
  <si>
    <t>-</t>
  </si>
  <si>
    <t>Interest + Principle</t>
  </si>
  <si>
    <t>HOME MAINTENANCE &amp; TAX FIGURES</t>
  </si>
  <si>
    <t>IRR</t>
  </si>
  <si>
    <t>Outflows</t>
  </si>
  <si>
    <t>Imputed Rent Savings</t>
  </si>
  <si>
    <t>Mortgage Payments</t>
  </si>
  <si>
    <t>Ending Net Worth</t>
  </si>
  <si>
    <t>Investment Fees</t>
  </si>
  <si>
    <t>15-Year Mortgage</t>
  </si>
  <si>
    <t>Renter</t>
  </si>
  <si>
    <t>30-Year Mortgage</t>
  </si>
  <si>
    <t>Less Mortgage Payment</t>
  </si>
  <si>
    <t>Plus Credit from Interest Deduction</t>
  </si>
  <si>
    <t>Portfolio Value (After Tax &amp; Fees)</t>
  </si>
  <si>
    <t>Portfolio Value (Pre Tax &amp; Fees)</t>
  </si>
  <si>
    <t>Check</t>
  </si>
  <si>
    <t>Payments</t>
  </si>
  <si>
    <t>30y</t>
  </si>
  <si>
    <t>15y</t>
  </si>
  <si>
    <t>Contents</t>
  </si>
  <si>
    <t>Assumptions</t>
  </si>
  <si>
    <t>Results</t>
  </si>
  <si>
    <t>Model: 30-Year Mortgage</t>
  </si>
  <si>
    <t>Model: 15-Year Mortgage</t>
  </si>
  <si>
    <t>Model: Renter</t>
  </si>
  <si>
    <t>Checks</t>
  </si>
  <si>
    <t>Property Tax</t>
  </si>
  <si>
    <t>Investments</t>
  </si>
  <si>
    <t>Income Tax</t>
  </si>
  <si>
    <t>Repairs &amp; Maintenance</t>
  </si>
  <si>
    <t>Homeowners Insurance</t>
  </si>
  <si>
    <t>Less Rent Payment</t>
  </si>
  <si>
    <t>Less Renter's Insurance</t>
  </si>
  <si>
    <t>PMI</t>
  </si>
  <si>
    <t>Home Equity Ratio</t>
  </si>
  <si>
    <t>PMI Applicable?</t>
  </si>
  <si>
    <t>PMI Payment</t>
  </si>
  <si>
    <t>PMI Equity</t>
  </si>
  <si>
    <t>Net Home Equity</t>
  </si>
  <si>
    <t>You can find the companion project post here.</t>
  </si>
  <si>
    <t>Questions and comments are welcome here.</t>
  </si>
  <si>
    <t>RENT</t>
  </si>
  <si>
    <t>Security Deposit</t>
  </si>
  <si>
    <t>n/a</t>
  </si>
  <si>
    <t>Adjusted Cashflow</t>
  </si>
  <si>
    <t>NPV Check</t>
  </si>
  <si>
    <t>Internal Rate of Return</t>
  </si>
  <si>
    <t>Rent &amp; Insurance</t>
  </si>
  <si>
    <t>HOA Fees</t>
  </si>
  <si>
    <t>Version 1.0</t>
  </si>
  <si>
    <t xml:space="preserve"> </t>
  </si>
  <si>
    <t>Dividends</t>
  </si>
  <si>
    <t>Previous Period Portfolio Value</t>
  </si>
  <si>
    <t>Plus Monthly Investment</t>
  </si>
  <si>
    <t>TOTAL PAYMENTS</t>
  </si>
  <si>
    <t>Principal Payments</t>
  </si>
  <si>
    <t>Interest Payments</t>
  </si>
  <si>
    <t>Rent</t>
  </si>
  <si>
    <t>Homeowner's Insurance</t>
  </si>
  <si>
    <t>Closing Costs</t>
  </si>
  <si>
    <t>Stock/Bond Investments</t>
  </si>
  <si>
    <t>Income Taxes</t>
  </si>
  <si>
    <t>TOTAL RETURN</t>
  </si>
  <si>
    <t>30-year Mortgage</t>
  </si>
  <si>
    <t>15-year Mortgage</t>
  </si>
  <si>
    <t>ASSET VALUES</t>
  </si>
  <si>
    <t>Real</t>
  </si>
  <si>
    <t>Nominal</t>
  </si>
  <si>
    <t>Total Assets</t>
  </si>
  <si>
    <r>
      <t>Payment, 15-year</t>
    </r>
    <r>
      <rPr>
        <vertAlign val="superscript"/>
        <sz val="11"/>
        <color theme="1"/>
        <rFont val="Calibri"/>
        <family val="2"/>
        <scheme val="minor"/>
      </rPr>
      <t>1</t>
    </r>
  </si>
  <si>
    <r>
      <t>Payment, 30-year</t>
    </r>
    <r>
      <rPr>
        <vertAlign val="superscript"/>
        <sz val="11"/>
        <color theme="1"/>
        <rFont val="Calibri"/>
        <family val="2"/>
        <scheme val="minor"/>
      </rPr>
      <t>1</t>
    </r>
  </si>
  <si>
    <r>
      <t>Private Mortgage Insurance</t>
    </r>
    <r>
      <rPr>
        <vertAlign val="superscript"/>
        <sz val="11"/>
        <color theme="1"/>
        <rFont val="Calibri"/>
        <family val="2"/>
        <scheme val="minor"/>
      </rPr>
      <t>2</t>
    </r>
  </si>
  <si>
    <r>
      <t>PMI Rate Paid</t>
    </r>
    <r>
      <rPr>
        <vertAlign val="superscript"/>
        <sz val="11"/>
        <color theme="1"/>
        <rFont val="Calibri"/>
        <family val="2"/>
        <scheme val="minor"/>
      </rPr>
      <t>2</t>
    </r>
  </si>
  <si>
    <r>
      <t>PMI Payments</t>
    </r>
    <r>
      <rPr>
        <vertAlign val="superscript"/>
        <sz val="11"/>
        <color theme="1"/>
        <rFont val="Calibri"/>
        <family val="2"/>
        <scheme val="minor"/>
      </rPr>
      <t>2</t>
    </r>
  </si>
  <si>
    <r>
      <t>Interest Rate, 30-year</t>
    </r>
    <r>
      <rPr>
        <vertAlign val="superscript"/>
        <sz val="11"/>
        <color theme="1"/>
        <rFont val="Calibri"/>
        <family val="2"/>
        <scheme val="minor"/>
      </rPr>
      <t>1</t>
    </r>
  </si>
  <si>
    <r>
      <t>Interest Rate, 15-year</t>
    </r>
    <r>
      <rPr>
        <vertAlign val="superscript"/>
        <sz val="11"/>
        <color theme="1"/>
        <rFont val="Calibri"/>
        <family val="2"/>
        <scheme val="minor"/>
      </rPr>
      <t>1</t>
    </r>
  </si>
  <si>
    <r>
      <t>Initial Rent Price</t>
    </r>
    <r>
      <rPr>
        <vertAlign val="superscript"/>
        <sz val="11"/>
        <color theme="1"/>
        <rFont val="Calibri"/>
        <family val="2"/>
        <scheme val="minor"/>
      </rPr>
      <t>3</t>
    </r>
  </si>
  <si>
    <r>
      <t>Security Deposit</t>
    </r>
    <r>
      <rPr>
        <vertAlign val="superscript"/>
        <sz val="11"/>
        <color theme="1"/>
        <rFont val="Calibri"/>
        <family val="2"/>
        <scheme val="minor"/>
      </rPr>
      <t>4</t>
    </r>
  </si>
  <si>
    <t>Notes:</t>
  </si>
  <si>
    <r>
      <t>Income Tax Rate</t>
    </r>
    <r>
      <rPr>
        <vertAlign val="superscript"/>
        <sz val="11"/>
        <color theme="1"/>
        <rFont val="Calibri"/>
        <family val="2"/>
        <scheme val="minor"/>
      </rPr>
      <t>7</t>
    </r>
  </si>
  <si>
    <r>
      <t>Repairs &amp; Maintenance</t>
    </r>
    <r>
      <rPr>
        <vertAlign val="superscript"/>
        <sz val="11"/>
        <color theme="1"/>
        <rFont val="Calibri"/>
        <family val="2"/>
        <scheme val="minor"/>
      </rPr>
      <t>5</t>
    </r>
  </si>
  <si>
    <r>
      <t>Property Tax</t>
    </r>
    <r>
      <rPr>
        <vertAlign val="superscript"/>
        <sz val="11"/>
        <color theme="1"/>
        <rFont val="Calibri"/>
        <family val="2"/>
        <scheme val="minor"/>
      </rPr>
      <t>5</t>
    </r>
  </si>
  <si>
    <r>
      <t>Homeowners Insurance</t>
    </r>
    <r>
      <rPr>
        <vertAlign val="superscript"/>
        <sz val="11"/>
        <color theme="1"/>
        <rFont val="Calibri"/>
        <family val="2"/>
        <scheme val="minor"/>
      </rPr>
      <t>6</t>
    </r>
  </si>
  <si>
    <r>
      <t>HOA Fees</t>
    </r>
    <r>
      <rPr>
        <vertAlign val="superscript"/>
        <sz val="11"/>
        <color theme="1"/>
        <rFont val="Calibri"/>
        <family val="2"/>
        <scheme val="minor"/>
      </rPr>
      <t>6</t>
    </r>
  </si>
  <si>
    <r>
      <t>Dividend Rate</t>
    </r>
    <r>
      <rPr>
        <vertAlign val="superscript"/>
        <sz val="11"/>
        <color theme="1"/>
        <rFont val="Calibri"/>
        <family val="2"/>
        <scheme val="minor"/>
      </rPr>
      <t>5</t>
    </r>
  </si>
  <si>
    <r>
      <t>Investment Fees</t>
    </r>
    <r>
      <rPr>
        <vertAlign val="superscript"/>
        <sz val="11"/>
        <color theme="1"/>
        <rFont val="Calibri"/>
        <family val="2"/>
        <scheme val="minor"/>
      </rPr>
      <t>5</t>
    </r>
  </si>
  <si>
    <r>
      <t>Home Value Increase</t>
    </r>
    <r>
      <rPr>
        <vertAlign val="superscript"/>
        <sz val="11"/>
        <color theme="1"/>
        <rFont val="Calibri"/>
        <family val="2"/>
        <scheme val="minor"/>
      </rPr>
      <t>5</t>
    </r>
  </si>
  <si>
    <r>
      <t>Rent Price Increase</t>
    </r>
    <r>
      <rPr>
        <vertAlign val="superscript"/>
        <sz val="11"/>
        <color theme="1"/>
        <rFont val="Calibri"/>
        <family val="2"/>
        <scheme val="minor"/>
      </rPr>
      <t>5</t>
    </r>
  </si>
  <si>
    <t>Total Upkeep</t>
  </si>
  <si>
    <t>Less Upkeep</t>
  </si>
  <si>
    <t>Investable Funds</t>
  </si>
  <si>
    <t>Select Ending Year</t>
  </si>
  <si>
    <t>VALUATION ESTIMATES</t>
  </si>
  <si>
    <t>Mortgage Payment</t>
  </si>
  <si>
    <t>Upkeep Costs</t>
  </si>
  <si>
    <r>
      <t>Renters Insurance</t>
    </r>
    <r>
      <rPr>
        <vertAlign val="superscript"/>
        <sz val="11"/>
        <color theme="1"/>
        <rFont val="Calibri"/>
        <family val="2"/>
        <scheme val="minor"/>
      </rPr>
      <t>3</t>
    </r>
  </si>
  <si>
    <t>Renters Insurance</t>
  </si>
  <si>
    <r>
      <t>Pre-Tax Portfolio Return</t>
    </r>
    <r>
      <rPr>
        <vertAlign val="superscript"/>
        <sz val="11"/>
        <color theme="1"/>
        <rFont val="Calibri"/>
        <family val="2"/>
        <scheme val="minor"/>
      </rPr>
      <t>5</t>
    </r>
  </si>
  <si>
    <r>
      <t>After-Tax Portfolio Return</t>
    </r>
    <r>
      <rPr>
        <vertAlign val="superscript"/>
        <sz val="11"/>
        <color theme="1"/>
        <rFont val="Calibri"/>
        <family val="2"/>
        <scheme val="minor"/>
      </rPr>
      <t>5</t>
    </r>
  </si>
  <si>
    <t>Security deposit due in Period 0 (before first year)</t>
  </si>
  <si>
    <t>Monthly renters insurance due during first month</t>
  </si>
  <si>
    <t>Monthly rent payment during first year</t>
  </si>
  <si>
    <t>PMI rate applied to model</t>
  </si>
  <si>
    <t>PMI payments due until Paid equity meets 20%</t>
  </si>
  <si>
    <t>PMI rate if down payment less than 20%</t>
  </si>
  <si>
    <t>Interest rate for fixed 30-year loan</t>
  </si>
  <si>
    <t>Interest rate for fixed 15-year loan</t>
  </si>
  <si>
    <t>Interest + principal payments for 30-year mortgage</t>
  </si>
  <si>
    <t>Interest + principal payments for 15-year mortgage</t>
  </si>
  <si>
    <t>Fees associated with purchase of home</t>
  </si>
  <si>
    <t>Net amount borrowed</t>
  </si>
  <si>
    <t>Down payment placed on purchase</t>
  </si>
  <si>
    <t>Purchase price of home</t>
  </si>
  <si>
    <t>% Home value for repairs and maintenance</t>
  </si>
  <si>
    <t>% of Home value for property tax</t>
  </si>
  <si>
    <t>Homeowners insurance during first year</t>
  </si>
  <si>
    <t>Homeowners association fees during first year</t>
  </si>
  <si>
    <t>Compounded annual return for portfolio</t>
  </si>
  <si>
    <t>Dividend rate for portfolio</t>
  </si>
  <si>
    <t>Income tax rate</t>
  </si>
  <si>
    <t>Portfolio return after effect of income tax</t>
  </si>
  <si>
    <t>Annual fees charged by portfolio</t>
  </si>
  <si>
    <t>Estimated home value increase</t>
  </si>
  <si>
    <t>Estimated rent increase</t>
  </si>
  <si>
    <t>Ending year for the simulated results presented below.</t>
  </si>
  <si>
    <t>Net Proceeds</t>
  </si>
  <si>
    <t>15-Year</t>
  </si>
  <si>
    <t>30-Year</t>
  </si>
  <si>
    <t>After-Tax Dividends</t>
  </si>
  <si>
    <t>INVESTMENT PORTOLIO RETURNS &amp; TAXES</t>
  </si>
  <si>
    <t>Investment Portfolio</t>
  </si>
  <si>
    <t>Cash due at signing and % of home's purchase price</t>
  </si>
  <si>
    <t>Cash to Close</t>
  </si>
  <si>
    <t>Agent Commission</t>
  </si>
  <si>
    <t>Buyer's portion of real estate agent commission</t>
  </si>
  <si>
    <r>
      <rPr>
        <b/>
        <i/>
        <sz val="11"/>
        <color theme="7" tint="-0.499984740745262"/>
        <rFont val="Calibri"/>
        <family val="2"/>
        <scheme val="minor"/>
      </rPr>
      <t xml:space="preserve">Note: </t>
    </r>
    <r>
      <rPr>
        <i/>
        <sz val="11"/>
        <color theme="7" tint="-0.499984740745262"/>
        <rFont val="Calibri"/>
        <family val="2"/>
        <scheme val="minor"/>
      </rPr>
      <t>Change only the highlighted cells below to update the model.</t>
    </r>
  </si>
  <si>
    <t>Portfolio Growth</t>
  </si>
  <si>
    <t>•</t>
  </si>
  <si>
    <t>After mortgage is paid off, invests savings in portfolio.</t>
  </si>
  <si>
    <t>Keeps paying increased rent (doesn't have mortgage to pay off).</t>
  </si>
  <si>
    <t>Each period, has same amount to invest as others.</t>
  </si>
  <si>
    <t>total downpayment + fees due at signing.</t>
  </si>
  <si>
    <t>initial portfolio value (homeowner's total payments - security deposit).</t>
  </si>
  <si>
    <t>initial monthly rent (for first year).</t>
  </si>
  <si>
    <t>monthly mortgage payments for 15 years.</t>
  </si>
  <si>
    <t>monthly mortgage payments for 30 years.</t>
  </si>
  <si>
    <t>annual increase of home value.</t>
  </si>
  <si>
    <t>annual rent increase.</t>
  </si>
  <si>
    <t>annual renters insurance increase.</t>
  </si>
  <si>
    <t>annual increase of expenses.</t>
  </si>
  <si>
    <t>Gets home mortgage interest deduction (for portfolio).</t>
  </si>
  <si>
    <t>Does not get home mortgage interest deduction (for portfolio).</t>
  </si>
  <si>
    <t>net portfolio annual growth (after taxes, fees).</t>
  </si>
  <si>
    <t>All leftover funds invested into portfolio.</t>
  </si>
  <si>
    <t>All three models assume the same amount of money invested at the outset (in house and/or portfolio). All three models have the same amount of cash each period (to pay living expenses, maintenance, taxes, fees, insurance, and to invest).</t>
  </si>
  <si>
    <t>Model Overview</t>
  </si>
  <si>
    <t>MODEL OVERVIEW</t>
  </si>
  <si>
    <t>Original Publication: 2025-12-22</t>
  </si>
  <si>
    <r>
      <rPr>
        <vertAlign val="superscript"/>
        <sz val="8"/>
        <color theme="1"/>
        <rFont val="Calibri"/>
        <family val="2"/>
        <scheme val="minor"/>
      </rPr>
      <t>1</t>
    </r>
    <r>
      <rPr>
        <sz val="8"/>
        <color theme="1"/>
        <rFont val="Calibri"/>
        <family val="2"/>
        <scheme val="minor"/>
      </rPr>
      <t xml:space="preserve"> Uses conventional nominal annual rates (APR / 12)</t>
    </r>
  </si>
  <si>
    <r>
      <rPr>
        <vertAlign val="superscript"/>
        <sz val="8"/>
        <color theme="1"/>
        <rFont val="Calibri"/>
        <family val="2"/>
        <scheme val="minor"/>
      </rPr>
      <t>2</t>
    </r>
    <r>
      <rPr>
        <sz val="8"/>
        <color theme="1"/>
        <rFont val="Calibri"/>
        <family val="2"/>
        <scheme val="minor"/>
      </rPr>
      <t xml:space="preserve"> PMI is only applied to model if down payment is less than 20% of purchase price.</t>
    </r>
  </si>
  <si>
    <r>
      <rPr>
        <vertAlign val="superscript"/>
        <sz val="8"/>
        <color theme="1"/>
        <rFont val="Calibri"/>
        <family val="2"/>
        <scheme val="minor"/>
      </rPr>
      <t>4</t>
    </r>
    <r>
      <rPr>
        <sz val="8"/>
        <color theme="1"/>
        <rFont val="Calibri"/>
        <family val="2"/>
        <scheme val="minor"/>
      </rPr>
      <t xml:space="preserve"> Considered a prepaid expense (asset) for the renter throughout modeled period.</t>
    </r>
  </si>
  <si>
    <r>
      <rPr>
        <vertAlign val="superscript"/>
        <sz val="8"/>
        <color theme="1"/>
        <rFont val="Calibri"/>
        <family val="2"/>
        <scheme val="minor"/>
      </rPr>
      <t>5</t>
    </r>
    <r>
      <rPr>
        <sz val="8"/>
        <color theme="1"/>
        <rFont val="Calibri"/>
        <family val="2"/>
        <scheme val="minor"/>
      </rPr>
      <t xml:space="preserve"> Uses effective annual rates (geometric mean).</t>
    </r>
  </si>
  <si>
    <r>
      <rPr>
        <vertAlign val="superscript"/>
        <sz val="8"/>
        <color theme="1"/>
        <rFont val="Calibri"/>
        <family val="2"/>
        <scheme val="minor"/>
      </rPr>
      <t>7</t>
    </r>
    <r>
      <rPr>
        <sz val="8"/>
        <color theme="1"/>
        <rFont val="Calibri"/>
        <family val="2"/>
        <scheme val="minor"/>
      </rPr>
      <t xml:space="preserve"> Applies as income tax in each monthly period to all dividends paid on </t>
    </r>
  </si>
  <si>
    <t>investment portfolio.</t>
  </si>
  <si>
    <r>
      <rPr>
        <vertAlign val="superscript"/>
        <sz val="8"/>
        <color theme="1"/>
        <rFont val="Calibri"/>
        <family val="2"/>
        <scheme val="minor"/>
      </rPr>
      <t>6</t>
    </r>
    <r>
      <rPr>
        <sz val="8"/>
        <color theme="1"/>
        <rFont val="Calibri"/>
        <family val="2"/>
        <scheme val="minor"/>
      </rPr>
      <t xml:space="preserve"> Subject to increases determined by "Home Value Increase".</t>
    </r>
  </si>
  <si>
    <r>
      <rPr>
        <vertAlign val="superscript"/>
        <sz val="8"/>
        <color theme="1"/>
        <rFont val="Calibri"/>
        <family val="2"/>
        <scheme val="minor"/>
      </rPr>
      <t>3</t>
    </r>
    <r>
      <rPr>
        <sz val="8"/>
        <color theme="1"/>
        <rFont val="Calibri"/>
        <family val="2"/>
        <scheme val="minor"/>
      </rPr>
      <t xml:space="preserve"> Subject to increases determined by "Rent Price Increase.</t>
    </r>
  </si>
  <si>
    <t>Housing Expenses</t>
  </si>
  <si>
    <t>© Copyright 2025 Nicholas A. Beaver. All rights reserved.</t>
  </si>
  <si>
    <r>
      <t>TOTAL PAYMENTS</t>
    </r>
    <r>
      <rPr>
        <vertAlign val="superscript"/>
        <sz val="11"/>
        <color theme="1"/>
        <rFont val="Calibri"/>
        <family val="2"/>
        <scheme val="minor"/>
      </rPr>
      <t>1</t>
    </r>
  </si>
  <si>
    <r>
      <rPr>
        <vertAlign val="superscript"/>
        <sz val="9"/>
        <color theme="1"/>
        <rFont val="Calibri"/>
        <family val="2"/>
        <scheme val="minor"/>
      </rPr>
      <t>1</t>
    </r>
    <r>
      <rPr>
        <sz val="9"/>
        <color theme="1"/>
        <rFont val="Calibri"/>
        <family val="2"/>
        <scheme val="minor"/>
      </rPr>
      <t xml:space="preserve"> Total payments may vary from model to model due to the effect of income taxes and investment fees which are paid from the monthly net asset value (NAV) of the investment portfolio.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</si>
</sst>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164" formatCode="0.0%"/>
    <numFmt numFmtId="165" formatCode="_(&quot;$&quot;* #,##0_);_(&quot;$&quot;* \(#,##0\);_(&quot;$&quot;* &quot;-&quot;??_);_(@_)"/>
    <numFmt numFmtId="166" formatCode="\☑;;\☒;"/>
    <numFmt numFmtId="167" formatCode="0.000%"/>
    <numFmt numFmtId="168" formatCode="0.000000%"/>
    <numFmt numFmtId="169" formatCode="00000"/>
    <numFmt numFmtId="170" formatCode="_(&quot;$&quot;* #,##0_);_(&quot;$&quot;* \(#,##0\);_(&quot;$&quot;* &quot;-&quot;?_);_(@_)"/>
    <numFmt numFmtId="171" formatCode="0.000000"/>
  </numFmts>
  <fonts count="24" x14ac:knownFonts="1">
    <font>
      <sz val="11"/>
      <color theme="1"/>
      <name val="Calibri"/>
      <family val="2"/>
      <scheme val="minor"/>
    </font>
    <font>
      <sz val="11"/>
      <color theme="1"/>
      <name val="Calibri"/>
      <family val="2"/>
      <scheme val="minor"/>
    </font>
    <font>
      <b/>
      <sz val="11"/>
      <color theme="1"/>
      <name val="Calibri"/>
      <family val="2"/>
      <scheme val="minor"/>
    </font>
    <font>
      <sz val="11"/>
      <color theme="8"/>
      <name val="Calibri"/>
      <family val="2"/>
      <scheme val="minor"/>
    </font>
    <font>
      <sz val="11"/>
      <color theme="8" tint="-0.249977111117893"/>
      <name val="Calibri"/>
      <family val="2"/>
      <scheme val="minor"/>
    </font>
    <font>
      <i/>
      <sz val="11"/>
      <color theme="1"/>
      <name val="Calibri"/>
      <family val="2"/>
      <scheme val="minor"/>
    </font>
    <font>
      <sz val="11"/>
      <name val="Calibri"/>
      <family val="2"/>
      <scheme val="minor"/>
    </font>
    <font>
      <b/>
      <sz val="11"/>
      <color theme="7" tint="-0.499984740745262"/>
      <name val="Calibri"/>
      <family val="2"/>
      <scheme val="minor"/>
    </font>
    <font>
      <sz val="11"/>
      <color theme="7" tint="-0.499984740745262"/>
      <name val="Calibri"/>
      <family val="2"/>
      <scheme val="minor"/>
    </font>
    <font>
      <b/>
      <sz val="14"/>
      <color theme="7" tint="-0.499984740745262"/>
      <name val="Calibri"/>
      <family val="2"/>
      <scheme val="minor"/>
    </font>
    <font>
      <u/>
      <sz val="11"/>
      <color theme="10"/>
      <name val="Calibri"/>
      <family val="2"/>
      <scheme val="minor"/>
    </font>
    <font>
      <b/>
      <sz val="11"/>
      <color theme="8"/>
      <name val="Calibri"/>
      <family val="2"/>
      <scheme val="minor"/>
    </font>
    <font>
      <b/>
      <i/>
      <sz val="11"/>
      <color theme="1"/>
      <name val="Calibri"/>
      <family val="2"/>
      <scheme val="minor"/>
    </font>
    <font>
      <i/>
      <sz val="11"/>
      <color rgb="FFFF0000"/>
      <name val="Calibri"/>
      <family val="2"/>
      <scheme val="minor"/>
    </font>
    <font>
      <vertAlign val="superscript"/>
      <sz val="11"/>
      <color theme="1"/>
      <name val="Calibri"/>
      <family val="2"/>
      <scheme val="minor"/>
    </font>
    <font>
      <i/>
      <sz val="11"/>
      <color theme="7" tint="-0.499984740745262"/>
      <name val="Calibri"/>
      <family val="2"/>
      <scheme val="minor"/>
    </font>
    <font>
      <b/>
      <i/>
      <sz val="11"/>
      <color theme="7" tint="-0.499984740745262"/>
      <name val="Calibri"/>
      <family val="2"/>
      <scheme val="minor"/>
    </font>
    <font>
      <b/>
      <sz val="14"/>
      <color theme="1"/>
      <name val="Calibri"/>
      <family val="2"/>
      <scheme val="minor"/>
    </font>
    <font>
      <b/>
      <sz val="8"/>
      <color theme="1"/>
      <name val="Calibri"/>
      <family val="2"/>
      <scheme val="minor"/>
    </font>
    <font>
      <sz val="8"/>
      <color theme="1"/>
      <name val="Calibri"/>
      <family val="2"/>
      <scheme val="minor"/>
    </font>
    <font>
      <sz val="8"/>
      <color theme="8" tint="-0.249977111117893"/>
      <name val="Calibri"/>
      <family val="2"/>
      <scheme val="minor"/>
    </font>
    <font>
      <vertAlign val="superscript"/>
      <sz val="8"/>
      <color theme="1"/>
      <name val="Calibri"/>
      <family val="2"/>
      <scheme val="minor"/>
    </font>
    <font>
      <sz val="9"/>
      <color theme="1"/>
      <name val="Calibri"/>
      <family val="2"/>
      <scheme val="minor"/>
    </font>
    <font>
      <vertAlign val="superscript"/>
      <sz val="9"/>
      <color theme="1"/>
      <name val="Calibri"/>
      <family val="2"/>
      <scheme val="minor"/>
    </font>
  </fonts>
  <fills count="6">
    <fill>
      <patternFill patternType="none"/>
    </fill>
    <fill>
      <patternFill patternType="gray125"/>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8" tint="0.59999389629810485"/>
        <bgColor indexed="64"/>
      </patternFill>
    </fill>
  </fills>
  <borders count="25">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right style="dotted">
        <color indexed="64"/>
      </right>
      <top/>
      <bottom/>
      <diagonal/>
    </border>
    <border>
      <left style="dotted">
        <color indexed="64"/>
      </left>
      <right/>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top style="thin">
        <color indexed="64"/>
      </top>
      <bottom style="double">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cellStyleXfs>
  <cellXfs count="202">
    <xf numFmtId="0" fontId="0" fillId="0" borderId="0" xfId="0"/>
    <xf numFmtId="9" fontId="0" fillId="0" borderId="0" xfId="2" applyFont="1"/>
    <xf numFmtId="165" fontId="0" fillId="0" borderId="0" xfId="1" applyNumberFormat="1" applyFont="1"/>
    <xf numFmtId="10" fontId="0" fillId="0" borderId="0" xfId="2" applyNumberFormat="1" applyFont="1"/>
    <xf numFmtId="44" fontId="0" fillId="0" borderId="0" xfId="0" applyNumberFormat="1"/>
    <xf numFmtId="165" fontId="0" fillId="0" borderId="0" xfId="0" applyNumberFormat="1"/>
    <xf numFmtId="0" fontId="0" fillId="2" borderId="0" xfId="0" applyFill="1" applyAlignment="1">
      <alignment horizontal="center"/>
    </xf>
    <xf numFmtId="165" fontId="3" fillId="2" borderId="0" xfId="1" applyNumberFormat="1" applyFont="1" applyFill="1" applyBorder="1"/>
    <xf numFmtId="0" fontId="0" fillId="2" borderId="0" xfId="0" applyFill="1"/>
    <xf numFmtId="165" fontId="0" fillId="2" borderId="0" xfId="1" applyNumberFormat="1" applyFont="1" applyFill="1" applyBorder="1"/>
    <xf numFmtId="165" fontId="6" fillId="2" borderId="0" xfId="1" applyNumberFormat="1" applyFont="1" applyFill="1" applyBorder="1"/>
    <xf numFmtId="164" fontId="4" fillId="2" borderId="0" xfId="2" applyNumberFormat="1" applyFont="1" applyFill="1" applyBorder="1"/>
    <xf numFmtId="164" fontId="6" fillId="2" borderId="0" xfId="2" applyNumberFormat="1" applyFont="1" applyFill="1" applyBorder="1"/>
    <xf numFmtId="165" fontId="2" fillId="2" borderId="0" xfId="1" applyNumberFormat="1" applyFont="1" applyFill="1" applyBorder="1" applyAlignment="1">
      <alignment horizontal="center"/>
    </xf>
    <xf numFmtId="10" fontId="6" fillId="2" borderId="0" xfId="2" applyNumberFormat="1" applyFont="1" applyFill="1" applyBorder="1"/>
    <xf numFmtId="10" fontId="4" fillId="2" borderId="0" xfId="2" applyNumberFormat="1" applyFont="1" applyFill="1" applyBorder="1"/>
    <xf numFmtId="165" fontId="3" fillId="3" borderId="0" xfId="1" applyNumberFormat="1" applyFont="1" applyFill="1" applyBorder="1" applyProtection="1">
      <protection locked="0"/>
    </xf>
    <xf numFmtId="0" fontId="0" fillId="0" borderId="0" xfId="0" applyAlignment="1">
      <alignment horizontal="center"/>
    </xf>
    <xf numFmtId="0" fontId="7" fillId="4" borderId="0" xfId="0" applyFont="1" applyFill="1" applyAlignment="1">
      <alignment horizontal="center" wrapText="1"/>
    </xf>
    <xf numFmtId="0" fontId="7" fillId="4" borderId="1" xfId="0" applyFont="1" applyFill="1" applyBorder="1" applyAlignment="1">
      <alignment horizontal="center" wrapText="1"/>
    </xf>
    <xf numFmtId="165" fontId="0" fillId="0" borderId="1" xfId="0" applyNumberFormat="1" applyBorder="1"/>
    <xf numFmtId="0" fontId="7" fillId="4" borderId="2" xfId="0" applyFont="1" applyFill="1" applyBorder="1" applyAlignment="1">
      <alignment horizontal="center" wrapText="1"/>
    </xf>
    <xf numFmtId="165" fontId="0" fillId="0" borderId="2" xfId="0" applyNumberFormat="1" applyBorder="1"/>
    <xf numFmtId="165" fontId="0" fillId="0" borderId="1" xfId="1" applyNumberFormat="1" applyFont="1" applyBorder="1"/>
    <xf numFmtId="166" fontId="0" fillId="0" borderId="0" xfId="1" applyNumberFormat="1" applyFont="1" applyAlignment="1">
      <alignment horizontal="center"/>
    </xf>
    <xf numFmtId="164" fontId="4" fillId="2" borderId="0" xfId="2" applyNumberFormat="1" applyFont="1" applyFill="1" applyBorder="1" applyProtection="1">
      <protection locked="0"/>
    </xf>
    <xf numFmtId="10" fontId="6" fillId="2" borderId="0" xfId="2" applyNumberFormat="1" applyFont="1" applyFill="1" applyBorder="1" applyAlignment="1">
      <alignment horizontal="right"/>
    </xf>
    <xf numFmtId="165" fontId="6" fillId="2" borderId="0" xfId="1" applyNumberFormat="1" applyFont="1" applyFill="1" applyBorder="1" applyProtection="1">
      <protection locked="0"/>
    </xf>
    <xf numFmtId="0" fontId="2" fillId="2" borderId="0" xfId="0" applyFont="1" applyFill="1" applyAlignment="1">
      <alignment horizontal="center"/>
    </xf>
    <xf numFmtId="164" fontId="0" fillId="0" borderId="0" xfId="0" applyNumberFormat="1"/>
    <xf numFmtId="164" fontId="0" fillId="2" borderId="0" xfId="2" applyNumberFormat="1" applyFont="1" applyFill="1" applyBorder="1"/>
    <xf numFmtId="0" fontId="0" fillId="0" borderId="2" xfId="0" applyBorder="1" applyAlignment="1">
      <alignment horizontal="center"/>
    </xf>
    <xf numFmtId="0" fontId="7" fillId="4" borderId="4" xfId="0" applyFont="1" applyFill="1" applyBorder="1" applyAlignment="1">
      <alignment horizontal="center" wrapText="1"/>
    </xf>
    <xf numFmtId="0" fontId="0" fillId="0" borderId="4" xfId="0" applyBorder="1" applyAlignment="1">
      <alignment horizontal="center"/>
    </xf>
    <xf numFmtId="0" fontId="2" fillId="2" borderId="3" xfId="0" applyFont="1" applyFill="1" applyBorder="1" applyAlignment="1">
      <alignment horizontal="center" wrapText="1"/>
    </xf>
    <xf numFmtId="0" fontId="2" fillId="2" borderId="3" xfId="0" applyFont="1" applyFill="1" applyBorder="1" applyAlignment="1">
      <alignment horizontal="center"/>
    </xf>
    <xf numFmtId="168" fontId="0" fillId="0" borderId="0" xfId="2" applyNumberFormat="1" applyFont="1"/>
    <xf numFmtId="0" fontId="0" fillId="0" borderId="1" xfId="0" applyBorder="1" applyAlignment="1">
      <alignment horizontal="center"/>
    </xf>
    <xf numFmtId="165" fontId="0" fillId="0" borderId="0" xfId="1" applyNumberFormat="1" applyFont="1" applyBorder="1"/>
    <xf numFmtId="166" fontId="0" fillId="2" borderId="0" xfId="1" applyNumberFormat="1" applyFont="1" applyFill="1" applyAlignment="1">
      <alignment horizontal="center"/>
    </xf>
    <xf numFmtId="166" fontId="0" fillId="2" borderId="0" xfId="1" applyNumberFormat="1" applyFont="1" applyFill="1" applyBorder="1" applyAlignment="1">
      <alignment horizontal="center"/>
    </xf>
    <xf numFmtId="0" fontId="9" fillId="4" borderId="7" xfId="0" applyFont="1" applyFill="1" applyBorder="1" applyAlignment="1">
      <alignment horizontal="left" indent="1"/>
    </xf>
    <xf numFmtId="0" fontId="9" fillId="4" borderId="8" xfId="0" applyFont="1" applyFill="1" applyBorder="1" applyAlignment="1">
      <alignment horizontal="left" indent="1"/>
    </xf>
    <xf numFmtId="0" fontId="9" fillId="4" borderId="9" xfId="0" applyFont="1" applyFill="1" applyBorder="1" applyAlignment="1">
      <alignment horizontal="left" indent="1"/>
    </xf>
    <xf numFmtId="0" fontId="0" fillId="2" borderId="11" xfId="0" applyFill="1" applyBorder="1"/>
    <xf numFmtId="0" fontId="0" fillId="2" borderId="13" xfId="0" applyFill="1" applyBorder="1"/>
    <xf numFmtId="0" fontId="0" fillId="2" borderId="14" xfId="0" applyFill="1" applyBorder="1"/>
    <xf numFmtId="0" fontId="5" fillId="2" borderId="0" xfId="0" applyFont="1" applyFill="1" applyAlignment="1">
      <alignment horizontal="center"/>
    </xf>
    <xf numFmtId="167" fontId="6" fillId="2" borderId="0" xfId="2" applyNumberFormat="1" applyFont="1" applyFill="1" applyBorder="1"/>
    <xf numFmtId="0" fontId="8" fillId="2" borderId="0" xfId="0" applyFont="1" applyFill="1" applyAlignment="1">
      <alignment horizontal="centerContinuous"/>
    </xf>
    <xf numFmtId="0" fontId="5" fillId="2" borderId="0" xfId="0" applyFont="1" applyFill="1"/>
    <xf numFmtId="0" fontId="8" fillId="4" borderId="0" xfId="0" applyFont="1" applyFill="1" applyAlignment="1">
      <alignment horizontal="centerContinuous"/>
    </xf>
    <xf numFmtId="0" fontId="8" fillId="4" borderId="8" xfId="0" applyFont="1" applyFill="1" applyBorder="1" applyAlignment="1">
      <alignment horizontal="left" indent="1"/>
    </xf>
    <xf numFmtId="0" fontId="8" fillId="4" borderId="9" xfId="0" applyFont="1" applyFill="1" applyBorder="1" applyAlignment="1">
      <alignment horizontal="left" indent="1"/>
    </xf>
    <xf numFmtId="0" fontId="7" fillId="2" borderId="10" xfId="0" applyFont="1" applyFill="1" applyBorder="1" applyAlignment="1">
      <alignment horizontal="centerContinuous"/>
    </xf>
    <xf numFmtId="0" fontId="8" fillId="2" borderId="11" xfId="0" applyFont="1" applyFill="1" applyBorder="1" applyAlignment="1">
      <alignment horizontal="centerContinuous"/>
    </xf>
    <xf numFmtId="0" fontId="0" fillId="2" borderId="10" xfId="0" applyFill="1" applyBorder="1" applyAlignment="1">
      <alignment horizontal="left" indent="1"/>
    </xf>
    <xf numFmtId="0" fontId="5" fillId="2" borderId="11" xfId="0" applyFont="1" applyFill="1" applyBorder="1" applyAlignment="1">
      <alignment horizontal="left" indent="2"/>
    </xf>
    <xf numFmtId="0" fontId="9" fillId="4" borderId="10" xfId="0" applyFont="1" applyFill="1" applyBorder="1" applyAlignment="1">
      <alignment horizontal="left" indent="1"/>
    </xf>
    <xf numFmtId="0" fontId="8" fillId="4" borderId="11" xfId="0" applyFont="1" applyFill="1" applyBorder="1" applyAlignment="1">
      <alignment horizontal="centerContinuous"/>
    </xf>
    <xf numFmtId="0" fontId="0" fillId="2" borderId="10" xfId="0" applyFill="1" applyBorder="1"/>
    <xf numFmtId="0" fontId="0" fillId="2" borderId="12" xfId="0" applyFill="1" applyBorder="1"/>
    <xf numFmtId="166" fontId="0" fillId="0" borderId="0" xfId="0" applyNumberFormat="1"/>
    <xf numFmtId="10" fontId="0" fillId="0" borderId="0" xfId="2" applyNumberFormat="1" applyFont="1" applyBorder="1"/>
    <xf numFmtId="0" fontId="2" fillId="2" borderId="10" xfId="0" applyFont="1" applyFill="1" applyBorder="1" applyAlignment="1">
      <alignment horizontal="center"/>
    </xf>
    <xf numFmtId="165" fontId="0" fillId="2" borderId="0" xfId="0" applyNumberFormat="1" applyFill="1"/>
    <xf numFmtId="0" fontId="2" fillId="2" borderId="0" xfId="0" applyFont="1" applyFill="1" applyAlignment="1">
      <alignment horizontal="centerContinuous"/>
    </xf>
    <xf numFmtId="0" fontId="0" fillId="2" borderId="0" xfId="0" applyFill="1" applyAlignment="1">
      <alignment horizontal="centerContinuous"/>
    </xf>
    <xf numFmtId="0" fontId="2" fillId="2" borderId="0" xfId="0" applyFont="1" applyFill="1" applyAlignment="1">
      <alignment horizontal="center" wrapText="1"/>
    </xf>
    <xf numFmtId="164" fontId="0" fillId="2" borderId="0" xfId="0" applyNumberFormat="1" applyFill="1"/>
    <xf numFmtId="0" fontId="0" fillId="2" borderId="0" xfId="0" applyFill="1" applyAlignment="1">
      <alignment horizontal="left" indent="2"/>
    </xf>
    <xf numFmtId="0" fontId="2" fillId="2" borderId="0" xfId="0" applyFont="1" applyFill="1"/>
    <xf numFmtId="0" fontId="10" fillId="2" borderId="0" xfId="3" applyFill="1" applyBorder="1" applyAlignment="1">
      <alignment horizontal="left" indent="4"/>
    </xf>
    <xf numFmtId="0" fontId="0" fillId="2" borderId="0" xfId="0" applyFill="1" applyAlignment="1">
      <alignment horizontal="left" indent="4"/>
    </xf>
    <xf numFmtId="0" fontId="10" fillId="2" borderId="0" xfId="3" applyFill="1" applyBorder="1" applyAlignment="1">
      <alignment horizontal="centerContinuous"/>
    </xf>
    <xf numFmtId="0" fontId="9" fillId="4" borderId="15" xfId="0" applyFont="1" applyFill="1" applyBorder="1" applyAlignment="1">
      <alignment horizontal="left" indent="1"/>
    </xf>
    <xf numFmtId="0" fontId="9" fillId="4" borderId="16" xfId="0" applyFont="1" applyFill="1" applyBorder="1" applyAlignment="1">
      <alignment horizontal="left" indent="1"/>
    </xf>
    <xf numFmtId="0" fontId="9" fillId="4" borderId="17" xfId="0" applyFont="1" applyFill="1" applyBorder="1" applyAlignment="1">
      <alignment horizontal="left" indent="1"/>
    </xf>
    <xf numFmtId="0" fontId="10" fillId="2" borderId="6" xfId="3" applyFill="1" applyBorder="1" applyAlignment="1">
      <alignment horizontal="left" indent="3"/>
    </xf>
    <xf numFmtId="0" fontId="0" fillId="2" borderId="5" xfId="0" applyFill="1" applyBorder="1"/>
    <xf numFmtId="0" fontId="0" fillId="2" borderId="6" xfId="0" applyFill="1" applyBorder="1" applyAlignment="1">
      <alignment horizontal="left" indent="2"/>
    </xf>
    <xf numFmtId="0" fontId="0" fillId="2" borderId="6" xfId="0" applyFill="1" applyBorder="1"/>
    <xf numFmtId="0" fontId="2" fillId="2" borderId="6" xfId="0" applyFont="1" applyFill="1" applyBorder="1" applyAlignment="1">
      <alignment horizontal="left" indent="2"/>
    </xf>
    <xf numFmtId="0" fontId="10" fillId="2" borderId="6" xfId="3" applyFill="1" applyBorder="1" applyAlignment="1">
      <alignment horizontal="left" indent="2"/>
    </xf>
    <xf numFmtId="0" fontId="0" fillId="2" borderId="6" xfId="0" applyFill="1" applyBorder="1" applyAlignment="1">
      <alignment horizontal="left" indent="4"/>
    </xf>
    <xf numFmtId="0" fontId="0" fillId="2" borderId="19" xfId="0" applyFill="1" applyBorder="1"/>
    <xf numFmtId="0" fontId="5" fillId="2" borderId="19" xfId="0" applyFont="1" applyFill="1" applyBorder="1"/>
    <xf numFmtId="10" fontId="4" fillId="2" borderId="0" xfId="2" applyNumberFormat="1" applyFont="1" applyFill="1" applyBorder="1" applyProtection="1">
      <protection locked="0"/>
    </xf>
    <xf numFmtId="165" fontId="0" fillId="0" borderId="4" xfId="0" applyNumberFormat="1" applyBorder="1"/>
    <xf numFmtId="169" fontId="7" fillId="2" borderId="21" xfId="0" applyNumberFormat="1" applyFont="1" applyFill="1" applyBorder="1" applyAlignment="1">
      <alignment horizontal="centerContinuous"/>
    </xf>
    <xf numFmtId="169" fontId="0" fillId="2" borderId="22" xfId="0" applyNumberFormat="1" applyFill="1" applyBorder="1" applyAlignment="1">
      <alignment horizontal="centerContinuous"/>
    </xf>
    <xf numFmtId="10" fontId="3" fillId="3" borderId="0" xfId="2" applyNumberFormat="1" applyFont="1" applyFill="1" applyBorder="1" applyProtection="1">
      <protection locked="0"/>
    </xf>
    <xf numFmtId="164" fontId="3" fillId="3" borderId="0" xfId="2" applyNumberFormat="1" applyFont="1" applyFill="1" applyBorder="1" applyProtection="1">
      <protection locked="0"/>
    </xf>
    <xf numFmtId="0" fontId="11" fillId="3" borderId="22" xfId="0" applyFont="1" applyFill="1" applyBorder="1" applyAlignment="1">
      <alignment horizontal="center"/>
    </xf>
    <xf numFmtId="0" fontId="5" fillId="2" borderId="22" xfId="0" applyFont="1" applyFill="1" applyBorder="1" applyAlignment="1">
      <alignment horizontal="left" indent="2"/>
    </xf>
    <xf numFmtId="4" fontId="12" fillId="2" borderId="0" xfId="0" applyNumberFormat="1" applyFont="1" applyFill="1" applyAlignment="1">
      <alignment horizontal="left" wrapText="1"/>
    </xf>
    <xf numFmtId="4" fontId="2" fillId="2" borderId="0" xfId="0" applyNumberFormat="1" applyFont="1" applyFill="1" applyAlignment="1">
      <alignment horizontal="left" wrapText="1"/>
    </xf>
    <xf numFmtId="4" fontId="0" fillId="2" borderId="0" xfId="1" applyNumberFormat="1" applyFont="1" applyFill="1" applyBorder="1" applyAlignment="1">
      <alignment horizontal="left" wrapText="1"/>
    </xf>
    <xf numFmtId="4" fontId="0" fillId="2" borderId="0" xfId="2" applyNumberFormat="1" applyFont="1" applyFill="1" applyBorder="1" applyAlignment="1">
      <alignment horizontal="left" wrapText="1"/>
    </xf>
    <xf numFmtId="164" fontId="0" fillId="0" borderId="0" xfId="2" applyNumberFormat="1" applyFont="1"/>
    <xf numFmtId="170" fontId="0" fillId="0" borderId="0" xfId="0" applyNumberFormat="1"/>
    <xf numFmtId="166" fontId="0" fillId="0" borderId="0" xfId="0" applyNumberFormat="1" applyAlignment="1">
      <alignment horizontal="center"/>
    </xf>
    <xf numFmtId="0" fontId="5" fillId="2" borderId="20" xfId="0" applyFont="1" applyFill="1" applyBorder="1"/>
    <xf numFmtId="0" fontId="0" fillId="4" borderId="8" xfId="0" applyFill="1" applyBorder="1"/>
    <xf numFmtId="0" fontId="0" fillId="4" borderId="9" xfId="0" applyFill="1" applyBorder="1"/>
    <xf numFmtId="164" fontId="0" fillId="2" borderId="0" xfId="2" applyNumberFormat="1" applyFont="1" applyFill="1" applyBorder="1" applyAlignment="1">
      <alignment horizontal="center"/>
    </xf>
    <xf numFmtId="171" fontId="0" fillId="0" borderId="0" xfId="0" applyNumberFormat="1"/>
    <xf numFmtId="165" fontId="6" fillId="2" borderId="0" xfId="1" applyNumberFormat="1" applyFont="1" applyFill="1"/>
    <xf numFmtId="165" fontId="3" fillId="3" borderId="0" xfId="1" applyNumberFormat="1" applyFont="1" applyFill="1" applyProtection="1">
      <protection locked="0"/>
    </xf>
    <xf numFmtId="0" fontId="0" fillId="2" borderId="18" xfId="0" applyFill="1" applyBorder="1" applyAlignment="1">
      <alignment horizontal="left" indent="2"/>
    </xf>
    <xf numFmtId="0" fontId="5" fillId="2" borderId="6" xfId="0" applyFont="1" applyFill="1" applyBorder="1" applyAlignment="1">
      <alignment horizontal="left" indent="2"/>
    </xf>
    <xf numFmtId="169" fontId="0" fillId="2" borderId="0" xfId="0" applyNumberFormat="1" applyFill="1" applyAlignment="1">
      <alignment horizontal="left" wrapText="1" indent="1"/>
    </xf>
    <xf numFmtId="0" fontId="5" fillId="4" borderId="0" xfId="0" applyFont="1" applyFill="1" applyAlignment="1">
      <alignment horizontal="center"/>
    </xf>
    <xf numFmtId="10" fontId="3" fillId="4" borderId="0" xfId="2" applyNumberFormat="1" applyFont="1" applyFill="1" applyBorder="1" applyProtection="1">
      <protection locked="0"/>
    </xf>
    <xf numFmtId="167" fontId="6" fillId="4" borderId="0" xfId="2" applyNumberFormat="1" applyFont="1" applyFill="1" applyBorder="1"/>
    <xf numFmtId="0" fontId="5" fillId="4" borderId="11" xfId="0" applyFont="1" applyFill="1" applyBorder="1" applyAlignment="1">
      <alignment horizontal="left" indent="2"/>
    </xf>
    <xf numFmtId="10" fontId="3" fillId="2" borderId="0" xfId="2" applyNumberFormat="1" applyFont="1" applyFill="1" applyBorder="1" applyProtection="1">
      <protection locked="0"/>
    </xf>
    <xf numFmtId="165" fontId="0" fillId="2" borderId="0" xfId="1" applyNumberFormat="1" applyFont="1" applyFill="1" applyBorder="1" applyAlignment="1">
      <alignment horizontal="left" wrapText="1" indent="1"/>
    </xf>
    <xf numFmtId="165" fontId="0" fillId="2" borderId="3" xfId="1" applyNumberFormat="1" applyFont="1" applyFill="1" applyBorder="1" applyAlignment="1">
      <alignment horizontal="left" wrapText="1" indent="1"/>
    </xf>
    <xf numFmtId="169" fontId="2" fillId="2" borderId="0" xfId="0" applyNumberFormat="1" applyFont="1" applyFill="1" applyAlignment="1">
      <alignment horizontal="center" wrapText="1"/>
    </xf>
    <xf numFmtId="169" fontId="0" fillId="2" borderId="11" xfId="0" applyNumberFormat="1" applyFill="1" applyBorder="1" applyAlignment="1">
      <alignment horizontal="left" wrapText="1" indent="1"/>
    </xf>
    <xf numFmtId="169" fontId="0" fillId="2" borderId="13" xfId="0" applyNumberFormat="1" applyFill="1" applyBorder="1" applyAlignment="1">
      <alignment horizontal="left" wrapText="1" indent="1"/>
    </xf>
    <xf numFmtId="169" fontId="0" fillId="2" borderId="14" xfId="0" applyNumberFormat="1" applyFill="1" applyBorder="1" applyAlignment="1">
      <alignment horizontal="left" wrapText="1" indent="1"/>
    </xf>
    <xf numFmtId="169" fontId="0" fillId="2" borderId="10" xfId="0" applyNumberFormat="1" applyFill="1" applyBorder="1" applyAlignment="1">
      <alignment horizontal="left" indent="1"/>
    </xf>
    <xf numFmtId="169" fontId="0" fillId="2" borderId="0" xfId="0" applyNumberFormat="1" applyFill="1" applyAlignment="1">
      <alignment horizontal="left" indent="1"/>
    </xf>
    <xf numFmtId="0" fontId="0" fillId="2" borderId="12" xfId="0" applyFill="1" applyBorder="1" applyAlignment="1">
      <alignment wrapText="1"/>
    </xf>
    <xf numFmtId="0" fontId="5" fillId="2" borderId="23" xfId="0" applyFont="1" applyFill="1" applyBorder="1" applyAlignment="1">
      <alignment horizontal="left" indent="2"/>
    </xf>
    <xf numFmtId="164" fontId="0" fillId="2" borderId="0" xfId="2" applyNumberFormat="1" applyFont="1" applyFill="1" applyBorder="1" applyAlignment="1">
      <alignment horizontal="right" wrapText="1" indent="1"/>
    </xf>
    <xf numFmtId="0" fontId="13" fillId="2" borderId="0" xfId="0" applyFont="1" applyFill="1"/>
    <xf numFmtId="0" fontId="13" fillId="2" borderId="10" xfId="0" applyFont="1" applyFill="1" applyBorder="1" applyAlignment="1">
      <alignment horizontal="left" indent="1"/>
    </xf>
    <xf numFmtId="0" fontId="0" fillId="0" borderId="1" xfId="0" applyBorder="1"/>
    <xf numFmtId="169" fontId="2" fillId="2" borderId="10" xfId="0" applyNumberFormat="1" applyFont="1" applyFill="1" applyBorder="1" applyAlignment="1">
      <alignment horizontal="left" indent="1"/>
    </xf>
    <xf numFmtId="165" fontId="0" fillId="2" borderId="24" xfId="1" applyNumberFormat="1" applyFont="1" applyFill="1" applyBorder="1" applyAlignment="1">
      <alignment horizontal="left" wrapText="1" indent="1"/>
    </xf>
    <xf numFmtId="10" fontId="6" fillId="2" borderId="0" xfId="2" applyNumberFormat="1" applyFont="1" applyFill="1" applyBorder="1" applyProtection="1">
      <protection locked="0"/>
    </xf>
    <xf numFmtId="165" fontId="0" fillId="2" borderId="3" xfId="1" applyNumberFormat="1" applyFont="1" applyFill="1" applyBorder="1"/>
    <xf numFmtId="165" fontId="0" fillId="2" borderId="24" xfId="1" applyNumberFormat="1" applyFont="1" applyFill="1" applyBorder="1"/>
    <xf numFmtId="165" fontId="3" fillId="2" borderId="0" xfId="1" applyNumberFormat="1" applyFont="1" applyFill="1" applyBorder="1" applyProtection="1">
      <protection locked="0"/>
    </xf>
    <xf numFmtId="0" fontId="0" fillId="2" borderId="22" xfId="0" applyFill="1" applyBorder="1"/>
    <xf numFmtId="0" fontId="0" fillId="2" borderId="23" xfId="0" applyFill="1" applyBorder="1"/>
    <xf numFmtId="0" fontId="15" fillId="2" borderId="21" xfId="0" applyFont="1" applyFill="1" applyBorder="1" applyAlignment="1">
      <alignment horizontal="left" indent="1"/>
    </xf>
    <xf numFmtId="0" fontId="0" fillId="0" borderId="0" xfId="0" applyAlignment="1">
      <alignment horizontal="centerContinuous"/>
    </xf>
    <xf numFmtId="0" fontId="0" fillId="0" borderId="0" xfId="0" applyAlignment="1">
      <alignment horizontal="right"/>
    </xf>
    <xf numFmtId="0" fontId="9" fillId="4" borderId="21" xfId="0" applyFont="1" applyFill="1" applyBorder="1" applyAlignment="1">
      <alignment horizontal="left" indent="1"/>
    </xf>
    <xf numFmtId="0" fontId="9" fillId="4" borderId="22" xfId="0" applyFont="1" applyFill="1" applyBorder="1" applyAlignment="1">
      <alignment horizontal="left" indent="1"/>
    </xf>
    <xf numFmtId="0" fontId="9" fillId="4" borderId="23" xfId="0" applyFont="1" applyFill="1" applyBorder="1" applyAlignment="1">
      <alignment horizontal="left" indent="1"/>
    </xf>
    <xf numFmtId="0" fontId="0" fillId="2" borderId="0" xfId="0" applyFill="1" applyAlignment="1">
      <alignment horizontal="left" indent="1"/>
    </xf>
    <xf numFmtId="0" fontId="17" fillId="2" borderId="7" xfId="0" applyFont="1" applyFill="1" applyBorder="1" applyAlignment="1">
      <alignment horizontal="centerContinuous"/>
    </xf>
    <xf numFmtId="0" fontId="17" fillId="2" borderId="8" xfId="0" applyFont="1" applyFill="1" applyBorder="1" applyAlignment="1">
      <alignment horizontal="centerContinuous"/>
    </xf>
    <xf numFmtId="0" fontId="17" fillId="2" borderId="9" xfId="0" applyFont="1" applyFill="1" applyBorder="1" applyAlignment="1">
      <alignment horizontal="centerContinuous"/>
    </xf>
    <xf numFmtId="0" fontId="0" fillId="2" borderId="10" xfId="0" applyFill="1" applyBorder="1" applyAlignment="1">
      <alignment horizontal="right"/>
    </xf>
    <xf numFmtId="0" fontId="0" fillId="4" borderId="0" xfId="0" applyFill="1" applyAlignment="1">
      <alignment horizontal="left" indent="1"/>
    </xf>
    <xf numFmtId="0" fontId="0" fillId="5" borderId="0" xfId="0" applyFill="1" applyAlignment="1">
      <alignment horizontal="left" indent="1"/>
    </xf>
    <xf numFmtId="10" fontId="0" fillId="2" borderId="0" xfId="0" applyNumberFormat="1" applyFill="1" applyAlignment="1">
      <alignment horizontal="right" indent="1"/>
    </xf>
    <xf numFmtId="0" fontId="0" fillId="2" borderId="12" xfId="0" applyFill="1" applyBorder="1" applyAlignment="1">
      <alignment horizontal="right"/>
    </xf>
    <xf numFmtId="0" fontId="0" fillId="2" borderId="13" xfId="0" applyFill="1" applyBorder="1" applyAlignment="1">
      <alignment horizontal="left" indent="1"/>
    </xf>
    <xf numFmtId="0" fontId="17" fillId="4" borderId="7" xfId="0" applyFont="1" applyFill="1" applyBorder="1" applyAlignment="1">
      <alignment horizontal="centerContinuous"/>
    </xf>
    <xf numFmtId="0" fontId="17" fillId="4" borderId="8" xfId="0" applyFont="1" applyFill="1" applyBorder="1" applyAlignment="1">
      <alignment horizontal="centerContinuous"/>
    </xf>
    <xf numFmtId="0" fontId="17" fillId="4" borderId="9" xfId="0" applyFont="1" applyFill="1" applyBorder="1" applyAlignment="1">
      <alignment horizontal="centerContinuous"/>
    </xf>
    <xf numFmtId="0" fontId="0" fillId="4" borderId="10" xfId="0" applyFill="1" applyBorder="1" applyAlignment="1">
      <alignment horizontal="right"/>
    </xf>
    <xf numFmtId="165" fontId="0" fillId="4" borderId="0" xfId="1" applyNumberFormat="1" applyFont="1" applyFill="1" applyBorder="1"/>
    <xf numFmtId="0" fontId="0" fillId="4" borderId="11" xfId="0" applyFill="1" applyBorder="1"/>
    <xf numFmtId="165" fontId="0" fillId="4" borderId="0" xfId="1" applyNumberFormat="1" applyFont="1" applyFill="1" applyBorder="1" applyAlignment="1"/>
    <xf numFmtId="10" fontId="0" fillId="4" borderId="0" xfId="0" applyNumberFormat="1" applyFill="1" applyAlignment="1">
      <alignment horizontal="right" indent="1"/>
    </xf>
    <xf numFmtId="0" fontId="0" fillId="4" borderId="12" xfId="0" applyFill="1" applyBorder="1" applyAlignment="1">
      <alignment horizontal="right"/>
    </xf>
    <xf numFmtId="0" fontId="0" fillId="4" borderId="13" xfId="0" applyFill="1" applyBorder="1" applyAlignment="1">
      <alignment horizontal="left" indent="1"/>
    </xf>
    <xf numFmtId="0" fontId="0" fillId="4" borderId="14" xfId="0" applyFill="1" applyBorder="1"/>
    <xf numFmtId="165" fontId="0" fillId="5" borderId="0" xfId="1" applyNumberFormat="1" applyFont="1" applyFill="1" applyBorder="1"/>
    <xf numFmtId="165" fontId="0" fillId="5" borderId="0" xfId="1" applyNumberFormat="1" applyFont="1" applyFill="1" applyBorder="1" applyAlignment="1"/>
    <xf numFmtId="10" fontId="0" fillId="5" borderId="0" xfId="0" applyNumberFormat="1" applyFill="1" applyAlignment="1">
      <alignment horizontal="right" indent="1"/>
    </xf>
    <xf numFmtId="10" fontId="0" fillId="5" borderId="0" xfId="0" applyNumberFormat="1" applyFill="1" applyAlignment="1">
      <alignment horizontal="left" indent="1"/>
    </xf>
    <xf numFmtId="0" fontId="17" fillId="5" borderId="7" xfId="0" applyFont="1" applyFill="1" applyBorder="1" applyAlignment="1">
      <alignment horizontal="centerContinuous"/>
    </xf>
    <xf numFmtId="0" fontId="17" fillId="5" borderId="8" xfId="0" applyFont="1" applyFill="1" applyBorder="1" applyAlignment="1">
      <alignment horizontal="centerContinuous"/>
    </xf>
    <xf numFmtId="0" fontId="17" fillId="5" borderId="9" xfId="0" applyFont="1" applyFill="1" applyBorder="1" applyAlignment="1">
      <alignment horizontal="centerContinuous"/>
    </xf>
    <xf numFmtId="0" fontId="0" fillId="5" borderId="10" xfId="0" applyFill="1" applyBorder="1" applyAlignment="1">
      <alignment horizontal="right"/>
    </xf>
    <xf numFmtId="0" fontId="0" fillId="5" borderId="11" xfId="0" applyFill="1" applyBorder="1"/>
    <xf numFmtId="0" fontId="0" fillId="5" borderId="12" xfId="0" applyFill="1" applyBorder="1" applyAlignment="1">
      <alignment horizontal="right"/>
    </xf>
    <xf numFmtId="0" fontId="0" fillId="5" borderId="13" xfId="0" applyFill="1" applyBorder="1" applyAlignment="1">
      <alignment horizontal="left" indent="1"/>
    </xf>
    <xf numFmtId="0" fontId="0" fillId="5" borderId="14" xfId="0" applyFill="1" applyBorder="1"/>
    <xf numFmtId="0" fontId="5" fillId="0" borderId="0" xfId="0" applyFont="1"/>
    <xf numFmtId="0" fontId="18" fillId="2" borderId="7" xfId="0" applyFont="1" applyFill="1" applyBorder="1"/>
    <xf numFmtId="0" fontId="19" fillId="2" borderId="8" xfId="0" applyFont="1" applyFill="1" applyBorder="1"/>
    <xf numFmtId="10" fontId="20" fillId="2" borderId="8" xfId="2" applyNumberFormat="1" applyFont="1" applyFill="1" applyBorder="1"/>
    <xf numFmtId="0" fontId="19" fillId="2" borderId="9" xfId="0" applyFont="1" applyFill="1" applyBorder="1"/>
    <xf numFmtId="0" fontId="19" fillId="2" borderId="10" xfId="0" applyFont="1" applyFill="1" applyBorder="1"/>
    <xf numFmtId="10" fontId="20" fillId="2" borderId="0" xfId="2" applyNumberFormat="1" applyFont="1" applyFill="1" applyBorder="1"/>
    <xf numFmtId="0" fontId="19" fillId="2" borderId="11" xfId="0" applyFont="1" applyFill="1" applyBorder="1"/>
    <xf numFmtId="0" fontId="19" fillId="2" borderId="12" xfId="0" applyFont="1" applyFill="1" applyBorder="1"/>
    <xf numFmtId="0" fontId="19" fillId="2" borderId="13" xfId="0" applyFont="1" applyFill="1" applyBorder="1"/>
    <xf numFmtId="0" fontId="19" fillId="0" borderId="0" xfId="0" applyFont="1"/>
    <xf numFmtId="0" fontId="19" fillId="2" borderId="0" xfId="0" applyFont="1" applyFill="1"/>
    <xf numFmtId="0" fontId="19" fillId="2" borderId="11" xfId="0" applyFont="1" applyFill="1" applyBorder="1" applyAlignment="1">
      <alignment horizontal="left" indent="1"/>
    </xf>
    <xf numFmtId="0" fontId="19" fillId="2" borderId="14" xfId="0" applyFont="1" applyFill="1" applyBorder="1" applyAlignment="1">
      <alignment horizontal="left" indent="1"/>
    </xf>
    <xf numFmtId="165" fontId="0" fillId="0" borderId="0" xfId="1" applyNumberFormat="1" applyFont="1" applyFill="1" applyBorder="1"/>
    <xf numFmtId="0" fontId="0" fillId="0" borderId="0" xfId="0" applyAlignment="1">
      <alignment horizontal="left" indent="1"/>
    </xf>
    <xf numFmtId="0" fontId="2" fillId="0" borderId="0" xfId="0" applyFont="1" applyAlignment="1">
      <alignment horizontal="center" wrapText="1"/>
    </xf>
    <xf numFmtId="0" fontId="2" fillId="0" borderId="0" xfId="0" applyFont="1" applyAlignment="1">
      <alignment horizontal="left" indent="1"/>
    </xf>
    <xf numFmtId="0" fontId="2" fillId="2" borderId="0" xfId="0" applyFont="1" applyFill="1" applyAlignment="1">
      <alignment horizontal="center" wrapText="1"/>
    </xf>
    <xf numFmtId="0" fontId="2" fillId="2" borderId="3" xfId="0" applyFont="1" applyFill="1" applyBorder="1" applyAlignment="1">
      <alignment horizontal="center" wrapText="1"/>
    </xf>
    <xf numFmtId="169" fontId="0" fillId="2" borderId="0" xfId="0" applyNumberFormat="1" applyFill="1" applyAlignment="1">
      <alignment horizontal="left"/>
    </xf>
    <xf numFmtId="169" fontId="0" fillId="2" borderId="11" xfId="0" applyNumberFormat="1" applyFill="1" applyBorder="1" applyAlignment="1">
      <alignment horizontal="left"/>
    </xf>
    <xf numFmtId="0" fontId="22" fillId="2" borderId="10" xfId="0" applyFont="1" applyFill="1" applyBorder="1" applyAlignment="1">
      <alignment horizontal="left" indent="1"/>
    </xf>
    <xf numFmtId="169" fontId="22" fillId="2" borderId="0" xfId="0" applyNumberFormat="1" applyFont="1" applyFill="1" applyAlignment="1">
      <alignment horizontal="left"/>
    </xf>
  </cellXfs>
  <cellStyles count="4">
    <cellStyle name="Currency" xfId="1" builtinId="4"/>
    <cellStyle name="Hyperlink" xfId="3" builtinId="8"/>
    <cellStyle name="Normal" xfId="0" builtinId="0"/>
    <cellStyle name="Percent" xfId="2" builtinId="5"/>
  </cellStyles>
  <dxfs count="91">
    <dxf>
      <font>
        <b val="0"/>
        <i val="0"/>
        <strike val="0"/>
        <condense val="0"/>
        <extend val="0"/>
        <outline val="0"/>
        <shadow val="0"/>
        <u val="none"/>
        <vertAlign val="baseline"/>
        <sz val="11"/>
        <color theme="1"/>
        <name val="Calibri"/>
        <family val="2"/>
        <scheme val="minor"/>
      </font>
      <numFmt numFmtId="165" formatCode="_(&quot;$&quot;* #,##0_);_(&quot;$&quot;* \(#,##0\);_(&quot;$&quot;* &quot;-&quot;??_);_(@_)"/>
      <border diagonalUp="0" diagonalDown="0">
        <left style="thin">
          <color indexed="64"/>
        </left>
        <right/>
        <top/>
        <bottom/>
        <vertical/>
        <horizontal/>
      </border>
    </dxf>
    <dxf>
      <numFmt numFmtId="165" formatCode="_(&quot;$&quot;* #,##0_);_(&quot;$&quot;* \(#,##0\);_(&quot;$&quot;* &quot;-&quot;??_);_(@_)"/>
      <border diagonalUp="0" diagonalDown="0">
        <left style="thin">
          <color indexed="64"/>
        </left>
        <right style="thin">
          <color indexed="64"/>
        </right>
        <top/>
        <bottom/>
        <vertical/>
        <horizontal/>
      </border>
    </dxf>
    <dxf>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4" formatCode="0.00%"/>
    </dxf>
    <dxf>
      <numFmt numFmtId="165" formatCode="_(&quot;$&quot;* #,##0_);_(&quot;$&quot;* \(#,##0\);_(&quot;$&quot;* &quot;-&quot;??_);_(@_)"/>
    </dxf>
    <dxf>
      <numFmt numFmtId="165" formatCode="_(&quot;$&quot;* #,##0_);_(&quot;$&quot;* \(#,##0\);_(&quot;$&quot;* &quot;-&quot;??_);_(@_)"/>
    </dxf>
    <dxf>
      <numFmt numFmtId="165" formatCode="_(&quot;$&quot;* #,##0_);_(&quot;$&quot;* \(#,##0\);_(&quot;$&quot;* &quot;-&quot;??_);_(@_)"/>
      <border diagonalUp="0" diagonalDown="0">
        <left/>
        <right style="thin">
          <color indexed="64"/>
        </right>
        <top/>
        <bottom/>
        <vertical/>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65" formatCode="_(&quot;$&quot;* #,##0_);_(&quot;$&quot;* \(#,##0\);_(&quot;$&quot;* &quot;-&quot;??_);_(@_)"/>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7" tint="-0.499984740745262"/>
        <name val="Calibri"/>
        <family val="2"/>
        <scheme val="minor"/>
      </font>
      <fill>
        <patternFill patternType="solid">
          <fgColor indexed="64"/>
          <bgColor theme="7" tint="0.39997558519241921"/>
        </patternFill>
      </fill>
      <alignment horizontal="center" vertical="bottom" textRotation="0" wrapText="1" indent="0" justifyLastLine="0" shrinkToFit="0" readingOrder="0"/>
    </dxf>
    <dxf>
      <numFmt numFmtId="165" formatCode="_(&quot;$&quot;* #,##0_);_(&quot;$&quot;* \(#,##0\);_(&quot;$&quot;* &quot;-&quot;??_);_(@_)"/>
    </dxf>
    <dxf>
      <numFmt numFmtId="165" formatCode="_(&quot;$&quot;* #,##0_);_(&quot;$&quot;* \(#,##0\);_(&quot;$&quot;* &quot;-&quot;??_);_(@_)"/>
    </dxf>
    <dxf>
      <numFmt numFmtId="165" formatCode="_(&quot;$&quot;* #,##0_);_(&quot;$&quot;* \(#,##0\);_(&quot;$&quot;* &quot;-&quot;??_);_(@_)"/>
      <border diagonalUp="0" diagonalDown="0">
        <left style="thin">
          <color indexed="64"/>
        </left>
        <right/>
        <top/>
        <bottom/>
        <vertical/>
        <horizontal/>
      </border>
    </dxf>
    <dxf>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65" formatCode="_(&quot;$&quot;* #,##0_);_(&quot;$&quot;* \(#,##0\);_(&quot;$&quot;* &quot;-&quot;??_);_(@_)"/>
    </dxf>
    <dxf>
      <numFmt numFmtId="34" formatCode="_(&quot;$&quot;* #,##0.00_);_(&quot;$&quot;* \(#,##0.00\);_(&quot;$&quot;* &quot;-&quot;??_);_(@_)"/>
    </dxf>
    <dxf>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4" formatCode="0.00%"/>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border diagonalUp="0" diagonalDown="0">
        <left/>
        <right style="thin">
          <color indexed="64"/>
        </right>
        <top/>
        <bottom/>
        <vertical/>
        <horizontal/>
      </border>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border diagonalUp="0" diagonalDown="0">
        <left/>
        <right style="thin">
          <color indexed="64"/>
        </right>
        <top/>
        <bottom/>
        <vertical/>
        <horizontal/>
      </border>
    </dxf>
    <dxf>
      <font>
        <b val="0"/>
        <i val="0"/>
        <strike val="0"/>
        <condense val="0"/>
        <extend val="0"/>
        <outline val="0"/>
        <shadow val="0"/>
        <u val="none"/>
        <vertAlign val="baseline"/>
        <sz val="11"/>
        <color theme="1"/>
        <name val="Calibri"/>
        <family val="2"/>
        <scheme val="minor"/>
      </font>
      <numFmt numFmtId="166" formatCode="\☑;;\☒;"/>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4" formatCode="0.00%"/>
    </dxf>
    <dxf>
      <numFmt numFmtId="165" formatCode="_(&quot;$&quot;* #,##0_);_(&quot;$&quot;* \(#,##0\);_(&quot;$&quot;* &quot;-&quot;??_);_(@_)"/>
    </dxf>
    <dxf>
      <numFmt numFmtId="165" formatCode="_(&quot;$&quot;* #,##0_);_(&quot;$&quot;* \(#,##0\);_(&quot;$&quot;* &quot;-&quot;??_);_(@_)"/>
      <border diagonalUp="0" diagonalDown="0">
        <left/>
        <right style="thin">
          <color indexed="64"/>
        </right>
        <top/>
        <bottom/>
        <vertical/>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65" formatCode="_(&quot;$&quot;* #,##0_);_(&quot;$&quot;* \(#,##0\);_(&quot;$&quot;* &quot;-&quot;??_);_(@_)"/>
    </dxf>
    <dxf>
      <numFmt numFmtId="165" formatCode="_(&quot;$&quot;* #,##0_);_(&quot;$&quot;* \(#,##0\);_(&quot;$&quot;* &quot;-&quot;??_);_(@_)"/>
      <border diagonalUp="0" diagonalDown="0">
        <left style="thin">
          <color indexed="64"/>
        </left>
        <right/>
        <top/>
        <bottom/>
        <vertical/>
        <horizontal/>
      </border>
    </dxf>
    <dxf>
      <font>
        <b val="0"/>
        <i val="0"/>
        <strike val="0"/>
        <condense val="0"/>
        <extend val="0"/>
        <outline val="0"/>
        <shadow val="0"/>
        <u val="none"/>
        <vertAlign val="baseline"/>
        <sz val="11"/>
        <color theme="1"/>
        <name val="Calibri"/>
        <family val="2"/>
        <scheme val="minor"/>
      </font>
      <numFmt numFmtId="166" formatCode="\☑;;\☒;"/>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65" formatCode="_(&quot;$&quot;* #,##0_);_(&quot;$&quot;* \(#,##0\);_(&quot;$&quot;* &quot;-&quot;??_);_(@_)"/>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7" tint="-0.499984740745262"/>
        <name val="Calibri"/>
        <family val="2"/>
        <scheme val="minor"/>
      </font>
      <fill>
        <patternFill patternType="solid">
          <fgColor indexed="64"/>
          <bgColor theme="7" tint="0.39997558519241921"/>
        </patternFill>
      </fill>
      <alignment horizontal="center" vertical="bottom" textRotation="0" wrapText="1" indent="0" justifyLastLine="0" shrinkToFit="0" readingOrder="0"/>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border diagonalUp="0" diagonalDown="0">
        <left/>
        <right style="thin">
          <color indexed="64"/>
        </right>
        <top/>
        <bottom/>
        <vertical/>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65" formatCode="_(&quot;$&quot;* #,##0_);_(&quot;$&quot;* \(#,##0\);_(&quot;$&quot;* &quot;-&quot;??_);_(@_)"/>
    </dxf>
    <dxf>
      <numFmt numFmtId="165" formatCode="_(&quot;$&quot;* #,##0_);_(&quot;$&quot;* \(#,##0\);_(&quot;$&quot;* &quot;-&quot;??_);_(@_)"/>
    </dxf>
    <dxf>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4" formatCode="0.00%"/>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border diagonalUp="0" diagonalDown="0">
        <left/>
        <right style="thin">
          <color indexed="64"/>
        </right>
        <top/>
        <bottom/>
        <vertical/>
        <horizontal/>
      </border>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border diagonalUp="0" diagonalDown="0">
        <left style="thin">
          <color indexed="64"/>
        </left>
        <right/>
        <top/>
        <bottom/>
        <vertical/>
        <horizontal/>
      </border>
    </dxf>
    <dxf>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66" formatCode="\☑;;\☒;"/>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4" formatCode="0.00%"/>
    </dxf>
    <dxf>
      <numFmt numFmtId="165" formatCode="_(&quot;$&quot;* #,##0_);_(&quot;$&quot;* \(#,##0\);_(&quot;$&quot;* &quot;-&quot;??_);_(@_)"/>
    </dxf>
    <dxf>
      <numFmt numFmtId="165" formatCode="_(&quot;$&quot;* #,##0_);_(&quot;$&quot;* \(#,##0\);_(&quot;$&quot;* &quot;-&quot;??_);_(@_)"/>
      <border diagonalUp="0" diagonalDown="0">
        <left/>
        <right style="thin">
          <color indexed="64"/>
        </right>
        <top/>
        <bottom/>
        <vertical/>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65" formatCode="_(&quot;$&quot;* #,##0_);_(&quot;$&quot;* \(#,##0\);_(&quot;$&quot;* &quot;-&quot;??_);_(@_)"/>
    </dxf>
    <dxf>
      <numFmt numFmtId="165" formatCode="_(&quot;$&quot;* #,##0_);_(&quot;$&quot;* \(#,##0\);_(&quot;$&quot;* &quot;-&quot;??_);_(@_)"/>
      <border diagonalUp="0" diagonalDown="0">
        <left style="thin">
          <color indexed="64"/>
        </left>
        <right/>
        <top/>
        <bottom/>
        <vertical/>
        <horizontal/>
      </border>
    </dxf>
    <dxf>
      <font>
        <b val="0"/>
        <i val="0"/>
        <strike val="0"/>
        <condense val="0"/>
        <extend val="0"/>
        <outline val="0"/>
        <shadow val="0"/>
        <u val="none"/>
        <vertAlign val="baseline"/>
        <sz val="11"/>
        <color theme="1"/>
        <name val="Calibri"/>
        <family val="2"/>
        <scheme val="minor"/>
      </font>
      <numFmt numFmtId="166" formatCode="\☑;;\☒;"/>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65" formatCode="_(&quot;$&quot;* #,##0_);_(&quot;$&quot;* \(#,##0\);_(&quot;$&quot;* &quot;-&quot;??_);_(@_)"/>
    </dxf>
    <dxf>
      <font>
        <b val="0"/>
        <i val="0"/>
        <strike val="0"/>
        <condense val="0"/>
        <extend val="0"/>
        <outline val="0"/>
        <shadow val="0"/>
        <u val="none"/>
        <vertAlign val="baseline"/>
        <sz val="11"/>
        <color theme="1"/>
        <name val="Calibri"/>
        <family val="2"/>
        <scheme val="minor"/>
      </font>
      <numFmt numFmtId="165" formatCode="_(&quot;$&quot;* #,##0_);_(&quot;$&quot;* \(#,##0\);_(&quot;$&quot;* &quot;-&quot;??_);_(@_)"/>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7" tint="-0.499984740745262"/>
        <name val="Calibri"/>
        <family val="2"/>
        <scheme val="minor"/>
      </font>
      <fill>
        <patternFill patternType="solid">
          <fgColor indexed="64"/>
          <bgColor theme="7" tint="0.39997558519241921"/>
        </patternFill>
      </fill>
      <alignment horizontal="center" vertical="bottom" textRotation="0" wrapText="1" indent="0" justifyLastLine="0" shrinkToFit="0" readingOrder="0"/>
    </dxf>
  </dxfs>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Net Worth by Model (Thousands of Dollars)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87040989035249"/>
          <c:y val="0.22408959631406139"/>
          <c:w val="0.85912959010964751"/>
          <c:h val="0.60085866898543527"/>
        </c:manualLayout>
      </c:layout>
      <c:barChart>
        <c:barDir val="col"/>
        <c:grouping val="stacked"/>
        <c:varyColors val="0"/>
        <c:ser>
          <c:idx val="0"/>
          <c:order val="0"/>
          <c:tx>
            <c:strRef>
              <c:f>Results!$C$7</c:f>
              <c:strCache>
                <c:ptCount val="1"/>
                <c:pt idx="0">
                  <c:v>Home Equity</c:v>
                </c:pt>
              </c:strCache>
            </c:strRef>
          </c:tx>
          <c:spPr>
            <a:solidFill>
              <a:schemeClr val="accent4">
                <a:lumMod val="40000"/>
                <a:lumOff val="60000"/>
              </a:schemeClr>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CEEA-4FC1-9F48-10BAEDF5646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Results!$B$8:$B$10</c:f>
              <c:strCache>
                <c:ptCount val="3"/>
                <c:pt idx="0">
                  <c:v>30-Year Mortgage</c:v>
                </c:pt>
                <c:pt idx="1">
                  <c:v>15-Year Mortgage</c:v>
                </c:pt>
                <c:pt idx="2">
                  <c:v>Renter</c:v>
                </c:pt>
              </c:strCache>
            </c:strRef>
          </c:cat>
          <c:val>
            <c:numRef>
              <c:f>Results!$C$8:$C$10</c:f>
              <c:numCache>
                <c:formatCode>_("$"* #,##0_);_("$"* \(#,##0\);_("$"* "-"??_);_(@_)</c:formatCode>
                <c:ptCount val="3"/>
                <c:pt idx="0">
                  <c:v>1928666.7849110186</c:v>
                </c:pt>
                <c:pt idx="1">
                  <c:v>1928666.7849110183</c:v>
                </c:pt>
                <c:pt idx="2">
                  <c:v>0</c:v>
                </c:pt>
              </c:numCache>
            </c:numRef>
          </c:val>
          <c:extLst>
            <c:ext xmlns:c16="http://schemas.microsoft.com/office/drawing/2014/chart" uri="{C3380CC4-5D6E-409C-BE32-E72D297353CC}">
              <c16:uniqueId val="{00000000-4E26-4D48-B5BE-540BF0A78BDF}"/>
            </c:ext>
          </c:extLst>
        </c:ser>
        <c:ser>
          <c:idx val="1"/>
          <c:order val="1"/>
          <c:tx>
            <c:strRef>
              <c:f>Results!$D$7</c:f>
              <c:strCache>
                <c:ptCount val="1"/>
                <c:pt idx="0">
                  <c:v>Portfolio</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t"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Results!$B$8:$B$10</c:f>
              <c:strCache>
                <c:ptCount val="3"/>
                <c:pt idx="0">
                  <c:v>30-Year Mortgage</c:v>
                </c:pt>
                <c:pt idx="1">
                  <c:v>15-Year Mortgage</c:v>
                </c:pt>
                <c:pt idx="2">
                  <c:v>Renter</c:v>
                </c:pt>
              </c:strCache>
            </c:strRef>
          </c:cat>
          <c:val>
            <c:numRef>
              <c:f>Results!$D$8:$D$10</c:f>
              <c:numCache>
                <c:formatCode>_("$"* #,##0_);_("$"* \(#,##0\);_("$"* "-"??_);_(@_)</c:formatCode>
                <c:ptCount val="3"/>
                <c:pt idx="0">
                  <c:v>1508366.1741932738</c:v>
                </c:pt>
                <c:pt idx="1">
                  <c:v>1336262.1298430117</c:v>
                </c:pt>
                <c:pt idx="2">
                  <c:v>3836027.6370834443</c:v>
                </c:pt>
              </c:numCache>
            </c:numRef>
          </c:val>
          <c:extLst>
            <c:ext xmlns:c16="http://schemas.microsoft.com/office/drawing/2014/chart" uri="{C3380CC4-5D6E-409C-BE32-E72D297353CC}">
              <c16:uniqueId val="{00000001-4E26-4D48-B5BE-540BF0A78BDF}"/>
            </c:ext>
          </c:extLst>
        </c:ser>
        <c:ser>
          <c:idx val="2"/>
          <c:order val="2"/>
          <c:tx>
            <c:strRef>
              <c:f>Results!$E$6</c:f>
              <c:strCache>
                <c:ptCount val="1"/>
                <c:pt idx="0">
                  <c:v>Security Deposit</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3585-46AF-A5FC-D7BD2ECB3B70}"/>
                </c:ext>
              </c:extLst>
            </c:dLbl>
            <c:dLbl>
              <c:idx val="1"/>
              <c:delete val="1"/>
              <c:extLst>
                <c:ext xmlns:c15="http://schemas.microsoft.com/office/drawing/2012/chart" uri="{CE6537A1-D6FC-4f65-9D91-7224C49458BB}"/>
                <c:ext xmlns:c16="http://schemas.microsoft.com/office/drawing/2014/chart" uri="{C3380CC4-5D6E-409C-BE32-E72D297353CC}">
                  <c16:uniqueId val="{00000004-3585-46AF-A5FC-D7BD2ECB3B70}"/>
                </c:ext>
              </c:extLst>
            </c:dLbl>
            <c:numFmt formatCode="_(&quot;$&quot;* #,##0.0_);_(&quot;$&quot;* \(#,##0.0\);_(&quot;$&quot;*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Results!$E$8:$E$10</c:f>
              <c:numCache>
                <c:formatCode>_("$"* #,##0_);_("$"* \(#,##0\);_("$"* "-"??_);_(@_)</c:formatCode>
                <c:ptCount val="3"/>
                <c:pt idx="0">
                  <c:v>0</c:v>
                </c:pt>
                <c:pt idx="1">
                  <c:v>0</c:v>
                </c:pt>
                <c:pt idx="2">
                  <c:v>2756</c:v>
                </c:pt>
              </c:numCache>
            </c:numRef>
          </c:val>
          <c:extLst>
            <c:ext xmlns:c16="http://schemas.microsoft.com/office/drawing/2014/chart" uri="{C3380CC4-5D6E-409C-BE32-E72D297353CC}">
              <c16:uniqueId val="{00000002-3585-46AF-A5FC-D7BD2ECB3B70}"/>
            </c:ext>
          </c:extLst>
        </c:ser>
        <c:dLbls>
          <c:showLegendKey val="0"/>
          <c:showVal val="0"/>
          <c:showCatName val="0"/>
          <c:showSerName val="0"/>
          <c:showPercent val="0"/>
          <c:showBubbleSize val="0"/>
        </c:dLbls>
        <c:gapWidth val="150"/>
        <c:overlap val="100"/>
        <c:axId val="421412783"/>
        <c:axId val="421413743"/>
      </c:barChart>
      <c:catAx>
        <c:axId val="421412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413743"/>
        <c:crosses val="autoZero"/>
        <c:auto val="1"/>
        <c:lblAlgn val="ctr"/>
        <c:lblOffset val="100"/>
        <c:noMultiLvlLbl val="0"/>
      </c:catAx>
      <c:valAx>
        <c:axId val="421413743"/>
        <c:scaling>
          <c:orientation val="minMax"/>
        </c:scaling>
        <c:delete val="0"/>
        <c:axPos val="l"/>
        <c:numFmt formatCode="_(&quot;$&quot;* #,##0_);_(&quot;$&quot;* \(#,##0\);_(&quot;$&quot;*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412783"/>
        <c:crosses val="autoZero"/>
        <c:crossBetween val="between"/>
        <c:dispUnits>
          <c:builtInUnit val="thousands"/>
        </c:dispUnits>
      </c:valAx>
      <c:spPr>
        <a:noFill/>
        <a:ln>
          <a:noFill/>
        </a:ln>
        <a:effectLst/>
      </c:spPr>
    </c:plotArea>
    <c:legend>
      <c:legendPos val="b"/>
      <c:layout>
        <c:manualLayout>
          <c:xMode val="edge"/>
          <c:yMode val="edge"/>
          <c:x val="0.28599739753343018"/>
          <c:y val="0.14453743672556754"/>
          <c:w val="0.4553922130292089"/>
          <c:h val="7.56307681014988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rPr>
              <a:t>Figure 4. </a:t>
            </a:r>
            <a:r>
              <a:rPr lang="en-US" sz="1400" b="0" i="0" u="none" strike="noStrike" kern="1200" spc="0" baseline="0">
                <a:solidFill>
                  <a:sysClr val="windowText" lastClr="000000">
                    <a:lumMod val="65000"/>
                    <a:lumOff val="35000"/>
                  </a:sysClr>
                </a:solidFill>
              </a:rPr>
              <a:t>Internal Rate of Return (IRR) by Model Over Time</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8.5595800524934387E-2"/>
          <c:y val="0.20973823898306773"/>
          <c:w val="0.88911684315322659"/>
          <c:h val="0.62799655829741485"/>
        </c:manualLayout>
      </c:layout>
      <c:lineChart>
        <c:grouping val="standard"/>
        <c:varyColors val="0"/>
        <c:ser>
          <c:idx val="1"/>
          <c:order val="0"/>
          <c:tx>
            <c:strRef>
              <c:f>Results!$B$59</c:f>
              <c:strCache>
                <c:ptCount val="1"/>
                <c:pt idx="0">
                  <c:v>30-Year Mortgage</c:v>
                </c:pt>
              </c:strCache>
            </c:strRef>
          </c:tx>
          <c:spPr>
            <a:ln w="28575" cap="rnd">
              <a:solidFill>
                <a:schemeClr val="accent4">
                  <a:lumMod val="60000"/>
                  <a:lumOff val="40000"/>
                </a:schemeClr>
              </a:solidFill>
              <a:round/>
            </a:ln>
            <a:effectLst/>
          </c:spPr>
          <c:marker>
            <c:symbol val="none"/>
          </c:marker>
          <c:cat>
            <c:numRef>
              <c:f>Results!$C$58:$F$58</c:f>
              <c:numCache>
                <c:formatCode>General</c:formatCode>
                <c:ptCount val="4"/>
                <c:pt idx="0">
                  <c:v>1</c:v>
                </c:pt>
                <c:pt idx="1">
                  <c:v>11</c:v>
                </c:pt>
                <c:pt idx="2">
                  <c:v>21</c:v>
                </c:pt>
                <c:pt idx="3">
                  <c:v>31</c:v>
                </c:pt>
              </c:numCache>
            </c:numRef>
          </c:cat>
          <c:val>
            <c:numRef>
              <c:f>Results!$C$59:$F$59</c:f>
              <c:numCache>
                <c:formatCode>0.0%</c:formatCode>
                <c:ptCount val="4"/>
                <c:pt idx="0">
                  <c:v>0.20376400248690563</c:v>
                </c:pt>
                <c:pt idx="1">
                  <c:v>0.18163173339392502</c:v>
                </c:pt>
                <c:pt idx="2">
                  <c:v>0.14121470155603566</c:v>
                </c:pt>
                <c:pt idx="3">
                  <c:v>0.12177011337581489</c:v>
                </c:pt>
              </c:numCache>
            </c:numRef>
          </c:val>
          <c:smooth val="0"/>
          <c:extLst>
            <c:ext xmlns:c16="http://schemas.microsoft.com/office/drawing/2014/chart" uri="{C3380CC4-5D6E-409C-BE32-E72D297353CC}">
              <c16:uniqueId val="{00000000-6D9A-4A4F-A215-0A2FE011B9CC}"/>
            </c:ext>
          </c:extLst>
        </c:ser>
        <c:ser>
          <c:idx val="2"/>
          <c:order val="1"/>
          <c:tx>
            <c:strRef>
              <c:f>Results!$B$60</c:f>
              <c:strCache>
                <c:ptCount val="1"/>
                <c:pt idx="0">
                  <c:v>15-Year Mortgage</c:v>
                </c:pt>
              </c:strCache>
            </c:strRef>
          </c:tx>
          <c:spPr>
            <a:ln w="28575" cap="rnd">
              <a:solidFill>
                <a:schemeClr val="accent4">
                  <a:lumMod val="50000"/>
                </a:schemeClr>
              </a:solidFill>
              <a:round/>
            </a:ln>
            <a:effectLst/>
          </c:spPr>
          <c:marker>
            <c:symbol val="none"/>
          </c:marker>
          <c:cat>
            <c:numRef>
              <c:f>Results!$C$58:$F$58</c:f>
              <c:numCache>
                <c:formatCode>General</c:formatCode>
                <c:ptCount val="4"/>
                <c:pt idx="0">
                  <c:v>1</c:v>
                </c:pt>
                <c:pt idx="1">
                  <c:v>11</c:v>
                </c:pt>
                <c:pt idx="2">
                  <c:v>21</c:v>
                </c:pt>
                <c:pt idx="3">
                  <c:v>31</c:v>
                </c:pt>
              </c:numCache>
            </c:numRef>
          </c:cat>
          <c:val>
            <c:numRef>
              <c:f>Results!$C$60:$F$60</c:f>
              <c:numCache>
                <c:formatCode>0.0%</c:formatCode>
                <c:ptCount val="4"/>
                <c:pt idx="0">
                  <c:v>0.22815648377841247</c:v>
                </c:pt>
                <c:pt idx="1">
                  <c:v>0.18289939895354967</c:v>
                </c:pt>
                <c:pt idx="2">
                  <c:v>0.13920863900472291</c:v>
                </c:pt>
                <c:pt idx="3">
                  <c:v>0.11996995626188056</c:v>
                </c:pt>
              </c:numCache>
            </c:numRef>
          </c:val>
          <c:smooth val="0"/>
          <c:extLst>
            <c:ext xmlns:c16="http://schemas.microsoft.com/office/drawing/2014/chart" uri="{C3380CC4-5D6E-409C-BE32-E72D297353CC}">
              <c16:uniqueId val="{00000001-6D9A-4A4F-A215-0A2FE011B9CC}"/>
            </c:ext>
          </c:extLst>
        </c:ser>
        <c:ser>
          <c:idx val="3"/>
          <c:order val="2"/>
          <c:tx>
            <c:strRef>
              <c:f>Results!$B$61</c:f>
              <c:strCache>
                <c:ptCount val="1"/>
                <c:pt idx="0">
                  <c:v>Renter</c:v>
                </c:pt>
              </c:strCache>
            </c:strRef>
          </c:tx>
          <c:spPr>
            <a:ln w="28575" cap="rnd">
              <a:solidFill>
                <a:schemeClr val="accent5">
                  <a:lumMod val="75000"/>
                </a:schemeClr>
              </a:solidFill>
              <a:round/>
            </a:ln>
            <a:effectLst/>
          </c:spPr>
          <c:marker>
            <c:symbol val="none"/>
          </c:marker>
          <c:cat>
            <c:numRef>
              <c:f>Results!$C$58:$F$58</c:f>
              <c:numCache>
                <c:formatCode>General</c:formatCode>
                <c:ptCount val="4"/>
                <c:pt idx="0">
                  <c:v>1</c:v>
                </c:pt>
                <c:pt idx="1">
                  <c:v>11</c:v>
                </c:pt>
                <c:pt idx="2">
                  <c:v>21</c:v>
                </c:pt>
                <c:pt idx="3">
                  <c:v>31</c:v>
                </c:pt>
              </c:numCache>
            </c:numRef>
          </c:cat>
          <c:val>
            <c:numRef>
              <c:f>Results!$C$61:$F$61</c:f>
              <c:numCache>
                <c:formatCode>0.0%</c:formatCode>
                <c:ptCount val="4"/>
                <c:pt idx="0">
                  <c:v>8.7149623899731132E-2</c:v>
                </c:pt>
                <c:pt idx="1">
                  <c:v>8.5537936886815213E-2</c:v>
                </c:pt>
                <c:pt idx="2">
                  <c:v>8.5157036988865231E-2</c:v>
                </c:pt>
                <c:pt idx="3">
                  <c:v>8.5033238510569209E-2</c:v>
                </c:pt>
              </c:numCache>
            </c:numRef>
          </c:val>
          <c:smooth val="0"/>
          <c:extLst>
            <c:ext xmlns:c16="http://schemas.microsoft.com/office/drawing/2014/chart" uri="{C3380CC4-5D6E-409C-BE32-E72D297353CC}">
              <c16:uniqueId val="{00000002-6D9A-4A4F-A215-0A2FE011B9CC}"/>
            </c:ext>
          </c:extLst>
        </c:ser>
        <c:dLbls>
          <c:showLegendKey val="0"/>
          <c:showVal val="0"/>
          <c:showCatName val="0"/>
          <c:showSerName val="0"/>
          <c:showPercent val="0"/>
          <c:showBubbleSize val="0"/>
        </c:dLbls>
        <c:smooth val="0"/>
        <c:axId val="773666879"/>
        <c:axId val="773667359"/>
      </c:lineChart>
      <c:catAx>
        <c:axId val="7736668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667359"/>
        <c:crosses val="autoZero"/>
        <c:auto val="1"/>
        <c:lblAlgn val="ctr"/>
        <c:lblOffset val="100"/>
        <c:noMultiLvlLbl val="0"/>
      </c:catAx>
      <c:valAx>
        <c:axId val="77366735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666879"/>
        <c:crosses val="autoZero"/>
        <c:crossBetween val="between"/>
      </c:valAx>
      <c:spPr>
        <a:noFill/>
        <a:ln>
          <a:noFill/>
        </a:ln>
        <a:effectLst/>
      </c:spPr>
    </c:plotArea>
    <c:legend>
      <c:legendPos val="b"/>
      <c:layout>
        <c:manualLayout>
          <c:xMode val="edge"/>
          <c:yMode val="edge"/>
          <c:x val="0.20038066793374967"/>
          <c:y val="0.12740707651877883"/>
          <c:w val="0.63142257217847775"/>
          <c:h val="6.66671229058621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a:t>Figure 6. </a:t>
            </a:r>
            <a:r>
              <a:rPr lang="en-US" sz="1300"/>
              <a:t>After-Tax</a:t>
            </a:r>
            <a:r>
              <a:rPr lang="en-US" sz="1300" baseline="0"/>
              <a:t> Dividends and Housing Expenses</a:t>
            </a:r>
            <a:endParaRPr lang="en-US" sz="13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Results!$B$122</c:f>
              <c:strCache>
                <c:ptCount val="1"/>
                <c:pt idx="0">
                  <c:v>After-Tax Dividends</c:v>
                </c:pt>
              </c:strCache>
            </c:strRef>
          </c:tx>
          <c:spPr>
            <a:solidFill>
              <a:schemeClr val="accent4">
                <a:lumMod val="60000"/>
                <a:lumOff val="40000"/>
              </a:schemeClr>
            </a:solidFill>
            <a:ln>
              <a:noFill/>
            </a:ln>
            <a:effectLst/>
          </c:spPr>
          <c:invertIfNegative val="0"/>
          <c:cat>
            <c:strRef>
              <c:f>Results!$D$113:$F$113</c:f>
              <c:strCache>
                <c:ptCount val="3"/>
                <c:pt idx="0">
                  <c:v>30-Year</c:v>
                </c:pt>
                <c:pt idx="1">
                  <c:v>15-Year</c:v>
                </c:pt>
                <c:pt idx="2">
                  <c:v>Renter</c:v>
                </c:pt>
              </c:strCache>
            </c:strRef>
          </c:cat>
          <c:val>
            <c:numRef>
              <c:f>Results!$D$122:$F$122</c:f>
              <c:numCache>
                <c:formatCode>_("$"* #,##0_);_("$"* \(#,##0\);_("$"* "-"??_);_(@_)</c:formatCode>
                <c:ptCount val="3"/>
                <c:pt idx="0">
                  <c:v>13140.307769283059</c:v>
                </c:pt>
                <c:pt idx="1">
                  <c:v>11625.183695303236</c:v>
                </c:pt>
                <c:pt idx="2">
                  <c:v>33703.177199542901</c:v>
                </c:pt>
              </c:numCache>
            </c:numRef>
          </c:val>
          <c:extLst>
            <c:ext xmlns:c16="http://schemas.microsoft.com/office/drawing/2014/chart" uri="{C3380CC4-5D6E-409C-BE32-E72D297353CC}">
              <c16:uniqueId val="{00000000-2054-478E-ABC3-6D96B65B5E52}"/>
            </c:ext>
          </c:extLst>
        </c:ser>
        <c:ser>
          <c:idx val="1"/>
          <c:order val="1"/>
          <c:tx>
            <c:strRef>
              <c:f>Results!$B$123</c:f>
              <c:strCache>
                <c:ptCount val="1"/>
                <c:pt idx="0">
                  <c:v>Housing Expenses</c:v>
                </c:pt>
              </c:strCache>
            </c:strRef>
          </c:tx>
          <c:spPr>
            <a:solidFill>
              <a:schemeClr val="accent4">
                <a:lumMod val="75000"/>
              </a:schemeClr>
            </a:solidFill>
            <a:ln>
              <a:noFill/>
            </a:ln>
            <a:effectLst/>
          </c:spPr>
          <c:invertIfNegative val="0"/>
          <c:cat>
            <c:strRef>
              <c:f>Results!$D$113:$F$113</c:f>
              <c:strCache>
                <c:ptCount val="3"/>
                <c:pt idx="0">
                  <c:v>30-Year</c:v>
                </c:pt>
                <c:pt idx="1">
                  <c:v>15-Year</c:v>
                </c:pt>
                <c:pt idx="2">
                  <c:v>Renter</c:v>
                </c:pt>
              </c:strCache>
            </c:strRef>
          </c:cat>
          <c:val>
            <c:numRef>
              <c:f>Results!$D$123:$F$123</c:f>
              <c:numCache>
                <c:formatCode>_("$"* #,##0_);_("$"* \(#,##0\);_("$"* "-"??_);_(@_)</c:formatCode>
                <c:ptCount val="3"/>
                <c:pt idx="0">
                  <c:v>82250.580389604904</c:v>
                </c:pt>
                <c:pt idx="1">
                  <c:v>82250.580389604904</c:v>
                </c:pt>
                <c:pt idx="2">
                  <c:v>100336.07372717954</c:v>
                </c:pt>
              </c:numCache>
            </c:numRef>
          </c:val>
          <c:extLst>
            <c:ext xmlns:c16="http://schemas.microsoft.com/office/drawing/2014/chart" uri="{C3380CC4-5D6E-409C-BE32-E72D297353CC}">
              <c16:uniqueId val="{00000001-2054-478E-ABC3-6D96B65B5E52}"/>
            </c:ext>
          </c:extLst>
        </c:ser>
        <c:dLbls>
          <c:showLegendKey val="0"/>
          <c:showVal val="0"/>
          <c:showCatName val="0"/>
          <c:showSerName val="0"/>
          <c:showPercent val="0"/>
          <c:showBubbleSize val="0"/>
        </c:dLbls>
        <c:gapWidth val="75"/>
        <c:overlap val="-27"/>
        <c:axId val="820382912"/>
        <c:axId val="820383392"/>
      </c:barChart>
      <c:catAx>
        <c:axId val="820382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383392"/>
        <c:crosses val="autoZero"/>
        <c:auto val="1"/>
        <c:lblAlgn val="ctr"/>
        <c:lblOffset val="100"/>
        <c:noMultiLvlLbl val="0"/>
      </c:catAx>
      <c:valAx>
        <c:axId val="8203833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382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u="none" strike="noStrike" kern="1200" spc="0" baseline="0">
                <a:solidFill>
                  <a:sysClr val="windowText" lastClr="000000">
                    <a:lumMod val="65000"/>
                    <a:lumOff val="35000"/>
                  </a:sysClr>
                </a:solidFill>
              </a:rPr>
              <a:t>Figure 5. </a:t>
            </a:r>
            <a:r>
              <a:rPr lang="en-US" sz="1300" b="0" i="0" u="none" strike="noStrike" kern="1200" spc="0" baseline="0">
                <a:solidFill>
                  <a:sysClr val="windowText" lastClr="000000">
                    <a:lumMod val="65000"/>
                    <a:lumOff val="35000"/>
                  </a:sysClr>
                </a:solidFill>
              </a:rPr>
              <a:t>Total Return (Thousands of Dollars) and Total Return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Total Return ($)</c:v>
          </c:tx>
          <c:spPr>
            <a:solidFill>
              <a:schemeClr val="accent4">
                <a:lumMod val="60000"/>
                <a:lumOff val="40000"/>
              </a:schemeClr>
            </a:solidFill>
            <a:ln>
              <a:noFill/>
            </a:ln>
            <a:effectLst/>
          </c:spPr>
          <c:invertIfNegative val="0"/>
          <c:cat>
            <c:strRef>
              <c:f>Results!$D$78:$F$78</c:f>
              <c:strCache>
                <c:ptCount val="3"/>
                <c:pt idx="0">
                  <c:v>30-year Mortgage</c:v>
                </c:pt>
                <c:pt idx="1">
                  <c:v>15-year Mortgage</c:v>
                </c:pt>
                <c:pt idx="2">
                  <c:v>Renter</c:v>
                </c:pt>
              </c:strCache>
            </c:strRef>
          </c:cat>
          <c:val>
            <c:numRef>
              <c:f>Results!$D$105:$F$105</c:f>
              <c:numCache>
                <c:formatCode>_("$"* #,##0_);_("$"* \(#,##0\);_("$"* "-"??_);_(@_)</c:formatCode>
                <c:ptCount val="3"/>
                <c:pt idx="0">
                  <c:v>824872.60113574937</c:v>
                </c:pt>
                <c:pt idx="1">
                  <c:v>704870.1618054132</c:v>
                </c:pt>
                <c:pt idx="2">
                  <c:v>1243816.7304929253</c:v>
                </c:pt>
              </c:numCache>
            </c:numRef>
          </c:val>
          <c:extLst>
            <c:ext xmlns:c16="http://schemas.microsoft.com/office/drawing/2014/chart" uri="{C3380CC4-5D6E-409C-BE32-E72D297353CC}">
              <c16:uniqueId val="{00000000-CD6A-41A6-B65F-EC0A228D997E}"/>
            </c:ext>
          </c:extLst>
        </c:ser>
        <c:dLbls>
          <c:showLegendKey val="0"/>
          <c:showVal val="0"/>
          <c:showCatName val="0"/>
          <c:showSerName val="0"/>
          <c:showPercent val="0"/>
          <c:showBubbleSize val="0"/>
        </c:dLbls>
        <c:gapWidth val="75"/>
        <c:overlap val="-27"/>
        <c:axId val="1395388543"/>
        <c:axId val="1395381823"/>
      </c:barChart>
      <c:lineChart>
        <c:grouping val="standard"/>
        <c:varyColors val="0"/>
        <c:ser>
          <c:idx val="1"/>
          <c:order val="1"/>
          <c:tx>
            <c:v>Total Return (%)</c:v>
          </c:tx>
          <c:spPr>
            <a:ln w="28575" cap="rnd">
              <a:noFill/>
              <a:round/>
            </a:ln>
            <a:effectLst/>
          </c:spPr>
          <c:marker>
            <c:symbol val="diamond"/>
            <c:size val="14"/>
            <c:spPr>
              <a:solidFill>
                <a:schemeClr val="accent5">
                  <a:lumMod val="75000"/>
                </a:schemeClr>
              </a:solidFill>
              <a:ln w="12700">
                <a:solidFill>
                  <a:schemeClr val="bg1"/>
                </a:solidFill>
              </a:ln>
              <a:effectLst/>
            </c:spPr>
          </c:marker>
          <c:cat>
            <c:strRef>
              <c:f>Results!$D$78:$F$78</c:f>
              <c:strCache>
                <c:ptCount val="3"/>
                <c:pt idx="0">
                  <c:v>30-year Mortgage</c:v>
                </c:pt>
                <c:pt idx="1">
                  <c:v>15-year Mortgage</c:v>
                </c:pt>
                <c:pt idx="2">
                  <c:v>Renter</c:v>
                </c:pt>
              </c:strCache>
            </c:strRef>
          </c:cat>
          <c:val>
            <c:numRef>
              <c:f>Results!$D$106:$F$106</c:f>
              <c:numCache>
                <c:formatCode>0.0%</c:formatCode>
                <c:ptCount val="3"/>
                <c:pt idx="0">
                  <c:v>0.31578176225645144</c:v>
                </c:pt>
                <c:pt idx="1">
                  <c:v>0.27533358794737028</c:v>
                </c:pt>
                <c:pt idx="2">
                  <c:v>0.47931891822356765</c:v>
                </c:pt>
              </c:numCache>
            </c:numRef>
          </c:val>
          <c:smooth val="0"/>
          <c:extLst>
            <c:ext xmlns:c16="http://schemas.microsoft.com/office/drawing/2014/chart" uri="{C3380CC4-5D6E-409C-BE32-E72D297353CC}">
              <c16:uniqueId val="{00000001-CD6A-41A6-B65F-EC0A228D997E}"/>
            </c:ext>
          </c:extLst>
        </c:ser>
        <c:dLbls>
          <c:showLegendKey val="0"/>
          <c:showVal val="0"/>
          <c:showCatName val="0"/>
          <c:showSerName val="0"/>
          <c:showPercent val="0"/>
          <c:showBubbleSize val="0"/>
        </c:dLbls>
        <c:marker val="1"/>
        <c:smooth val="0"/>
        <c:axId val="1395374623"/>
        <c:axId val="1395380383"/>
      </c:lineChart>
      <c:catAx>
        <c:axId val="1395388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5381823"/>
        <c:crosses val="autoZero"/>
        <c:auto val="1"/>
        <c:lblAlgn val="ctr"/>
        <c:lblOffset val="100"/>
        <c:noMultiLvlLbl val="0"/>
      </c:catAx>
      <c:valAx>
        <c:axId val="139538182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5388543"/>
        <c:crosses val="autoZero"/>
        <c:crossBetween val="between"/>
      </c:valAx>
      <c:valAx>
        <c:axId val="1395380383"/>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5374623"/>
        <c:crosses val="max"/>
        <c:crossBetween val="between"/>
      </c:valAx>
      <c:catAx>
        <c:axId val="1395374623"/>
        <c:scaling>
          <c:orientation val="minMax"/>
        </c:scaling>
        <c:delete val="1"/>
        <c:axPos val="b"/>
        <c:numFmt formatCode="General" sourceLinked="1"/>
        <c:majorTickMark val="none"/>
        <c:minorTickMark val="none"/>
        <c:tickLblPos val="nextTo"/>
        <c:crossAx val="139538038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a:t>
            </a:r>
            <a:r>
              <a:rPr lang="en-US" baseline="0"/>
              <a:t> Worth by Model (Thousands of Dollars)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271603244716362"/>
          <c:y val="0.19610900313122104"/>
          <c:w val="0.85113994896979339"/>
          <c:h val="0.62200343956949911"/>
        </c:manualLayout>
      </c:layout>
      <c:lineChart>
        <c:grouping val="standard"/>
        <c:varyColors val="0"/>
        <c:ser>
          <c:idx val="1"/>
          <c:order val="0"/>
          <c:tx>
            <c:strRef>
              <c:f>Results!$B$27</c:f>
              <c:strCache>
                <c:ptCount val="1"/>
                <c:pt idx="0">
                  <c:v>30-Year Mortgage</c:v>
                </c:pt>
              </c:strCache>
            </c:strRef>
          </c:tx>
          <c:spPr>
            <a:ln w="28575" cap="rnd">
              <a:solidFill>
                <a:schemeClr val="accent4">
                  <a:lumMod val="60000"/>
                  <a:lumOff val="40000"/>
                </a:schemeClr>
              </a:solidFill>
              <a:round/>
            </a:ln>
            <a:effectLst/>
          </c:spPr>
          <c:marker>
            <c:symbol val="none"/>
          </c:marker>
          <c:cat>
            <c:numRef>
              <c:f>Results!$C$26:$F$26</c:f>
              <c:numCache>
                <c:formatCode>General</c:formatCode>
                <c:ptCount val="4"/>
                <c:pt idx="0">
                  <c:v>1</c:v>
                </c:pt>
                <c:pt idx="1">
                  <c:v>11</c:v>
                </c:pt>
                <c:pt idx="2">
                  <c:v>21</c:v>
                </c:pt>
                <c:pt idx="3">
                  <c:v>31</c:v>
                </c:pt>
              </c:numCache>
            </c:numRef>
          </c:cat>
          <c:val>
            <c:numRef>
              <c:f>Results!$C$27:$F$27</c:f>
              <c:numCache>
                <c:formatCode>_("$"* #,##0_);_("$"* \(#,##0\);_("$"* "-"??_);_(@_)</c:formatCode>
                <c:ptCount val="4"/>
                <c:pt idx="0">
                  <c:v>121448.51344790851</c:v>
                </c:pt>
                <c:pt idx="1">
                  <c:v>638296.93546420382</c:v>
                </c:pt>
                <c:pt idx="2">
                  <c:v>1601711.8245857731</c:v>
                </c:pt>
                <c:pt idx="3">
                  <c:v>3437032.9591042921</c:v>
                </c:pt>
              </c:numCache>
            </c:numRef>
          </c:val>
          <c:smooth val="0"/>
          <c:extLst>
            <c:ext xmlns:c16="http://schemas.microsoft.com/office/drawing/2014/chart" uri="{C3380CC4-5D6E-409C-BE32-E72D297353CC}">
              <c16:uniqueId val="{00000001-22C9-4267-BD44-2BB38AA4538E}"/>
            </c:ext>
          </c:extLst>
        </c:ser>
        <c:ser>
          <c:idx val="2"/>
          <c:order val="1"/>
          <c:tx>
            <c:strRef>
              <c:f>Results!$B$29</c:f>
              <c:strCache>
                <c:ptCount val="1"/>
                <c:pt idx="0">
                  <c:v>Renter</c:v>
                </c:pt>
              </c:strCache>
            </c:strRef>
          </c:tx>
          <c:spPr>
            <a:ln w="28575" cap="rnd">
              <a:solidFill>
                <a:schemeClr val="accent5">
                  <a:lumMod val="75000"/>
                </a:schemeClr>
              </a:solidFill>
              <a:round/>
            </a:ln>
            <a:effectLst/>
          </c:spPr>
          <c:marker>
            <c:symbol val="none"/>
          </c:marker>
          <c:cat>
            <c:numRef>
              <c:f>Results!$C$26:$F$26</c:f>
              <c:numCache>
                <c:formatCode>General</c:formatCode>
                <c:ptCount val="4"/>
                <c:pt idx="0">
                  <c:v>1</c:v>
                </c:pt>
                <c:pt idx="1">
                  <c:v>11</c:v>
                </c:pt>
                <c:pt idx="2">
                  <c:v>21</c:v>
                </c:pt>
                <c:pt idx="3">
                  <c:v>31</c:v>
                </c:pt>
              </c:numCache>
            </c:numRef>
          </c:cat>
          <c:val>
            <c:numRef>
              <c:f>Results!$C$29:$F$29</c:f>
              <c:numCache>
                <c:formatCode>_("$"* #,##0_);_("$"* \(#,##0\);_("$"* "-"??_);_(@_)</c:formatCode>
                <c:ptCount val="4"/>
                <c:pt idx="0">
                  <c:v>141353.4398455233</c:v>
                </c:pt>
                <c:pt idx="1">
                  <c:v>599140.98601179349</c:v>
                </c:pt>
                <c:pt idx="2">
                  <c:v>1596093.2096838278</c:v>
                </c:pt>
                <c:pt idx="3">
                  <c:v>3838783.6370834443</c:v>
                </c:pt>
              </c:numCache>
            </c:numRef>
          </c:val>
          <c:smooth val="0"/>
          <c:extLst>
            <c:ext xmlns:c16="http://schemas.microsoft.com/office/drawing/2014/chart" uri="{C3380CC4-5D6E-409C-BE32-E72D297353CC}">
              <c16:uniqueId val="{00000002-22C9-4267-BD44-2BB38AA4538E}"/>
            </c:ext>
          </c:extLst>
        </c:ser>
        <c:ser>
          <c:idx val="3"/>
          <c:order val="2"/>
          <c:tx>
            <c:strRef>
              <c:f>Results!$B$28</c:f>
              <c:strCache>
                <c:ptCount val="1"/>
                <c:pt idx="0">
                  <c:v>15-Year Mortgage</c:v>
                </c:pt>
              </c:strCache>
            </c:strRef>
          </c:tx>
          <c:spPr>
            <a:ln w="28575" cap="rnd">
              <a:solidFill>
                <a:schemeClr val="accent4">
                  <a:lumMod val="50000"/>
                </a:schemeClr>
              </a:solidFill>
              <a:round/>
            </a:ln>
            <a:effectLst/>
          </c:spPr>
          <c:marker>
            <c:symbol val="none"/>
          </c:marker>
          <c:cat>
            <c:numRef>
              <c:f>Results!$C$26:$F$26</c:f>
              <c:numCache>
                <c:formatCode>General</c:formatCode>
                <c:ptCount val="4"/>
                <c:pt idx="0">
                  <c:v>1</c:v>
                </c:pt>
                <c:pt idx="1">
                  <c:v>11</c:v>
                </c:pt>
                <c:pt idx="2">
                  <c:v>21</c:v>
                </c:pt>
                <c:pt idx="3">
                  <c:v>31</c:v>
                </c:pt>
              </c:numCache>
            </c:numRef>
          </c:cat>
          <c:val>
            <c:numRef>
              <c:f>Results!$C$28:$F$28</c:f>
              <c:numCache>
                <c:formatCode>_("$"* #,##0_);_("$"* \(#,##0\);_("$"* "-"??_);_(@_)</c:formatCode>
                <c:ptCount val="4"/>
                <c:pt idx="0">
                  <c:v>123884.93204922938</c:v>
                </c:pt>
                <c:pt idx="1">
                  <c:v>645872.52571607265</c:v>
                </c:pt>
                <c:pt idx="2">
                  <c:v>1542778.9879655908</c:v>
                </c:pt>
                <c:pt idx="3">
                  <c:v>3264928.9147540303</c:v>
                </c:pt>
              </c:numCache>
            </c:numRef>
          </c:val>
          <c:smooth val="0"/>
          <c:extLst>
            <c:ext xmlns:c16="http://schemas.microsoft.com/office/drawing/2014/chart" uri="{C3380CC4-5D6E-409C-BE32-E72D297353CC}">
              <c16:uniqueId val="{00000003-22C9-4267-BD44-2BB38AA4538E}"/>
            </c:ext>
          </c:extLst>
        </c:ser>
        <c:dLbls>
          <c:showLegendKey val="0"/>
          <c:showVal val="0"/>
          <c:showCatName val="0"/>
          <c:showSerName val="0"/>
          <c:showPercent val="0"/>
          <c:showBubbleSize val="0"/>
        </c:dLbls>
        <c:smooth val="0"/>
        <c:axId val="508674927"/>
        <c:axId val="508680207"/>
      </c:lineChart>
      <c:catAx>
        <c:axId val="50867492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680207"/>
        <c:crosses val="autoZero"/>
        <c:auto val="0"/>
        <c:lblAlgn val="ctr"/>
        <c:lblOffset val="100"/>
        <c:noMultiLvlLbl val="0"/>
      </c:catAx>
      <c:valAx>
        <c:axId val="508680207"/>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674927"/>
        <c:crossesAt val="1"/>
        <c:crossBetween val="midCat"/>
        <c:dispUnits>
          <c:builtInUnit val="thousands"/>
        </c:dispUnits>
      </c:valAx>
      <c:spPr>
        <a:noFill/>
        <a:ln>
          <a:noFill/>
        </a:ln>
        <a:effectLst/>
      </c:spPr>
    </c:plotArea>
    <c:legend>
      <c:legendPos val="t"/>
      <c:layout>
        <c:manualLayout>
          <c:xMode val="edge"/>
          <c:yMode val="edge"/>
          <c:x val="0.18098859593770289"/>
          <c:y val="0.11469532200485874"/>
          <c:w val="0.63802280812459422"/>
          <c:h val="6.912489662584167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Internal</a:t>
            </a:r>
            <a:r>
              <a:rPr lang="en-US" baseline="0"/>
              <a:t> Rate of Return (IRR) by Model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Results!$C$45</c:f>
              <c:strCache>
                <c:ptCount val="1"/>
                <c:pt idx="0">
                  <c:v>IRR</c:v>
                </c:pt>
              </c:strCache>
            </c:strRef>
          </c:tx>
          <c:spPr>
            <a:solidFill>
              <a:schemeClr val="accent4">
                <a:lumMod val="75000"/>
              </a:schemeClr>
            </a:solidFill>
            <a:ln>
              <a:noFill/>
            </a:ln>
            <a:effectLst/>
          </c:spPr>
          <c:invertIfNegative val="0"/>
          <c:dPt>
            <c:idx val="0"/>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0-0D31-4BBF-8412-62CFFED7B62C}"/>
              </c:ext>
            </c:extLst>
          </c:dPt>
          <c:dPt>
            <c:idx val="2"/>
            <c:invertIfNegative val="0"/>
            <c:bubble3D val="0"/>
            <c:spPr>
              <a:solidFill>
                <a:schemeClr val="accent5">
                  <a:lumMod val="75000"/>
                </a:schemeClr>
              </a:solidFill>
              <a:ln>
                <a:noFill/>
              </a:ln>
              <a:effectLst/>
            </c:spPr>
            <c:extLst>
              <c:ext xmlns:c16="http://schemas.microsoft.com/office/drawing/2014/chart" uri="{C3380CC4-5D6E-409C-BE32-E72D297353CC}">
                <c16:uniqueId val="{00000001-0D31-4BBF-8412-62CFFED7B62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Results!$B$46:$B$49</c:f>
              <c:strCache>
                <c:ptCount val="3"/>
                <c:pt idx="0">
                  <c:v>30-Year Mortgage</c:v>
                </c:pt>
                <c:pt idx="1">
                  <c:v>15-Year Mortgage</c:v>
                </c:pt>
                <c:pt idx="2">
                  <c:v>Renter</c:v>
                </c:pt>
              </c:strCache>
            </c:strRef>
          </c:cat>
          <c:val>
            <c:numRef>
              <c:f>Results!$C$46:$C$48</c:f>
              <c:numCache>
                <c:formatCode>0.0%</c:formatCode>
                <c:ptCount val="3"/>
                <c:pt idx="0">
                  <c:v>0.12177011337581489</c:v>
                </c:pt>
                <c:pt idx="1">
                  <c:v>0.11996995626188056</c:v>
                </c:pt>
                <c:pt idx="2">
                  <c:v>8.5033238510569209E-2</c:v>
                </c:pt>
              </c:numCache>
            </c:numRef>
          </c:val>
          <c:extLst>
            <c:ext xmlns:c16="http://schemas.microsoft.com/office/drawing/2014/chart" uri="{C3380CC4-5D6E-409C-BE32-E72D297353CC}">
              <c16:uniqueId val="{00000000-8A29-42CD-AAA4-8266D25DA229}"/>
            </c:ext>
          </c:extLst>
        </c:ser>
        <c:dLbls>
          <c:showLegendKey val="0"/>
          <c:showVal val="0"/>
          <c:showCatName val="0"/>
          <c:showSerName val="0"/>
          <c:showPercent val="0"/>
          <c:showBubbleSize val="0"/>
        </c:dLbls>
        <c:gapWidth val="75"/>
        <c:overlap val="-27"/>
        <c:axId val="211711791"/>
        <c:axId val="211712271"/>
      </c:barChart>
      <c:catAx>
        <c:axId val="211711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712271"/>
        <c:crosses val="autoZero"/>
        <c:auto val="1"/>
        <c:lblAlgn val="ctr"/>
        <c:lblOffset val="100"/>
        <c:noMultiLvlLbl val="0"/>
      </c:catAx>
      <c:valAx>
        <c:axId val="211712271"/>
        <c:scaling>
          <c:orientation val="minMax"/>
          <c:min val="0"/>
        </c:scaling>
        <c:delete val="1"/>
        <c:axPos val="l"/>
        <c:numFmt formatCode="0.0%" sourceLinked="1"/>
        <c:majorTickMark val="out"/>
        <c:minorTickMark val="none"/>
        <c:tickLblPos val="nextTo"/>
        <c:crossAx val="211711791"/>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Internal Rate of Return (IRR) by Model Over Time</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8.5595800524934387E-2"/>
          <c:y val="0.20973823898306773"/>
          <c:w val="0.88911684315322659"/>
          <c:h val="0.62799655829741485"/>
        </c:manualLayout>
      </c:layout>
      <c:lineChart>
        <c:grouping val="standard"/>
        <c:varyColors val="0"/>
        <c:ser>
          <c:idx val="1"/>
          <c:order val="0"/>
          <c:tx>
            <c:strRef>
              <c:f>Results!$B$59</c:f>
              <c:strCache>
                <c:ptCount val="1"/>
                <c:pt idx="0">
                  <c:v>30-Year Mortgage</c:v>
                </c:pt>
              </c:strCache>
            </c:strRef>
          </c:tx>
          <c:spPr>
            <a:ln w="28575" cap="rnd">
              <a:solidFill>
                <a:schemeClr val="accent4">
                  <a:lumMod val="60000"/>
                  <a:lumOff val="40000"/>
                </a:schemeClr>
              </a:solidFill>
              <a:round/>
            </a:ln>
            <a:effectLst/>
          </c:spPr>
          <c:marker>
            <c:symbol val="none"/>
          </c:marker>
          <c:cat>
            <c:numRef>
              <c:f>Results!$C$58:$F$58</c:f>
              <c:numCache>
                <c:formatCode>General</c:formatCode>
                <c:ptCount val="4"/>
                <c:pt idx="0">
                  <c:v>1</c:v>
                </c:pt>
                <c:pt idx="1">
                  <c:v>11</c:v>
                </c:pt>
                <c:pt idx="2">
                  <c:v>21</c:v>
                </c:pt>
                <c:pt idx="3">
                  <c:v>31</c:v>
                </c:pt>
              </c:numCache>
            </c:numRef>
          </c:cat>
          <c:val>
            <c:numRef>
              <c:f>Results!$C$59:$F$59</c:f>
              <c:numCache>
                <c:formatCode>0.0%</c:formatCode>
                <c:ptCount val="4"/>
                <c:pt idx="0">
                  <c:v>0.20376400248690563</c:v>
                </c:pt>
                <c:pt idx="1">
                  <c:v>0.18163173339392502</c:v>
                </c:pt>
                <c:pt idx="2">
                  <c:v>0.14121470155603566</c:v>
                </c:pt>
                <c:pt idx="3">
                  <c:v>0.12177011337581489</c:v>
                </c:pt>
              </c:numCache>
            </c:numRef>
          </c:val>
          <c:smooth val="0"/>
          <c:extLst>
            <c:ext xmlns:c16="http://schemas.microsoft.com/office/drawing/2014/chart" uri="{C3380CC4-5D6E-409C-BE32-E72D297353CC}">
              <c16:uniqueId val="{00000001-3CE3-44A8-B0E6-4A9371AE08EC}"/>
            </c:ext>
          </c:extLst>
        </c:ser>
        <c:ser>
          <c:idx val="2"/>
          <c:order val="1"/>
          <c:tx>
            <c:strRef>
              <c:f>Results!$B$60</c:f>
              <c:strCache>
                <c:ptCount val="1"/>
                <c:pt idx="0">
                  <c:v>15-Year Mortgage</c:v>
                </c:pt>
              </c:strCache>
            </c:strRef>
          </c:tx>
          <c:spPr>
            <a:ln w="28575" cap="rnd">
              <a:solidFill>
                <a:schemeClr val="accent4">
                  <a:lumMod val="50000"/>
                </a:schemeClr>
              </a:solidFill>
              <a:round/>
            </a:ln>
            <a:effectLst/>
          </c:spPr>
          <c:marker>
            <c:symbol val="none"/>
          </c:marker>
          <c:cat>
            <c:numRef>
              <c:f>Results!$C$58:$F$58</c:f>
              <c:numCache>
                <c:formatCode>General</c:formatCode>
                <c:ptCount val="4"/>
                <c:pt idx="0">
                  <c:v>1</c:v>
                </c:pt>
                <c:pt idx="1">
                  <c:v>11</c:v>
                </c:pt>
                <c:pt idx="2">
                  <c:v>21</c:v>
                </c:pt>
                <c:pt idx="3">
                  <c:v>31</c:v>
                </c:pt>
              </c:numCache>
            </c:numRef>
          </c:cat>
          <c:val>
            <c:numRef>
              <c:f>Results!$C$60:$F$60</c:f>
              <c:numCache>
                <c:formatCode>0.0%</c:formatCode>
                <c:ptCount val="4"/>
                <c:pt idx="0">
                  <c:v>0.22815648377841247</c:v>
                </c:pt>
                <c:pt idx="1">
                  <c:v>0.18289939895354967</c:v>
                </c:pt>
                <c:pt idx="2">
                  <c:v>0.13920863900472291</c:v>
                </c:pt>
                <c:pt idx="3">
                  <c:v>0.11996995626188056</c:v>
                </c:pt>
              </c:numCache>
            </c:numRef>
          </c:val>
          <c:smooth val="0"/>
          <c:extLst>
            <c:ext xmlns:c16="http://schemas.microsoft.com/office/drawing/2014/chart" uri="{C3380CC4-5D6E-409C-BE32-E72D297353CC}">
              <c16:uniqueId val="{00000002-3CE3-44A8-B0E6-4A9371AE08EC}"/>
            </c:ext>
          </c:extLst>
        </c:ser>
        <c:ser>
          <c:idx val="3"/>
          <c:order val="2"/>
          <c:tx>
            <c:strRef>
              <c:f>Results!$B$61</c:f>
              <c:strCache>
                <c:ptCount val="1"/>
                <c:pt idx="0">
                  <c:v>Renter</c:v>
                </c:pt>
              </c:strCache>
            </c:strRef>
          </c:tx>
          <c:spPr>
            <a:ln w="28575" cap="rnd">
              <a:solidFill>
                <a:schemeClr val="accent5">
                  <a:lumMod val="75000"/>
                </a:schemeClr>
              </a:solidFill>
              <a:round/>
            </a:ln>
            <a:effectLst/>
          </c:spPr>
          <c:marker>
            <c:symbol val="none"/>
          </c:marker>
          <c:cat>
            <c:numRef>
              <c:f>Results!$C$58:$F$58</c:f>
              <c:numCache>
                <c:formatCode>General</c:formatCode>
                <c:ptCount val="4"/>
                <c:pt idx="0">
                  <c:v>1</c:v>
                </c:pt>
                <c:pt idx="1">
                  <c:v>11</c:v>
                </c:pt>
                <c:pt idx="2">
                  <c:v>21</c:v>
                </c:pt>
                <c:pt idx="3">
                  <c:v>31</c:v>
                </c:pt>
              </c:numCache>
            </c:numRef>
          </c:cat>
          <c:val>
            <c:numRef>
              <c:f>Results!$C$61:$F$61</c:f>
              <c:numCache>
                <c:formatCode>0.0%</c:formatCode>
                <c:ptCount val="4"/>
                <c:pt idx="0">
                  <c:v>8.7149623899731132E-2</c:v>
                </c:pt>
                <c:pt idx="1">
                  <c:v>8.5537936886815213E-2</c:v>
                </c:pt>
                <c:pt idx="2">
                  <c:v>8.5157036988865231E-2</c:v>
                </c:pt>
                <c:pt idx="3">
                  <c:v>8.5033238510569209E-2</c:v>
                </c:pt>
              </c:numCache>
            </c:numRef>
          </c:val>
          <c:smooth val="0"/>
          <c:extLst>
            <c:ext xmlns:c16="http://schemas.microsoft.com/office/drawing/2014/chart" uri="{C3380CC4-5D6E-409C-BE32-E72D297353CC}">
              <c16:uniqueId val="{00000003-3CE3-44A8-B0E6-4A9371AE08EC}"/>
            </c:ext>
          </c:extLst>
        </c:ser>
        <c:dLbls>
          <c:showLegendKey val="0"/>
          <c:showVal val="0"/>
          <c:showCatName val="0"/>
          <c:showSerName val="0"/>
          <c:showPercent val="0"/>
          <c:showBubbleSize val="0"/>
        </c:dLbls>
        <c:smooth val="0"/>
        <c:axId val="773666879"/>
        <c:axId val="773667359"/>
      </c:lineChart>
      <c:catAx>
        <c:axId val="7736668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667359"/>
        <c:crosses val="autoZero"/>
        <c:auto val="1"/>
        <c:lblAlgn val="ctr"/>
        <c:lblOffset val="100"/>
        <c:noMultiLvlLbl val="0"/>
      </c:catAx>
      <c:valAx>
        <c:axId val="77366735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666879"/>
        <c:crosses val="autoZero"/>
        <c:crossBetween val="between"/>
      </c:valAx>
      <c:spPr>
        <a:noFill/>
        <a:ln>
          <a:noFill/>
        </a:ln>
        <a:effectLst/>
      </c:spPr>
    </c:plotArea>
    <c:legend>
      <c:legendPos val="b"/>
      <c:layout>
        <c:manualLayout>
          <c:xMode val="edge"/>
          <c:yMode val="edge"/>
          <c:x val="0.20038066793374967"/>
          <c:y val="0.12740707651877883"/>
          <c:w val="0.63142257217847775"/>
          <c:h val="6.66671229058621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After-Tax</a:t>
            </a:r>
            <a:r>
              <a:rPr lang="en-US" baseline="0"/>
              <a:t> Dividends and Housing Expenses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Results!$B$122</c:f>
              <c:strCache>
                <c:ptCount val="1"/>
                <c:pt idx="0">
                  <c:v>After-Tax Dividends</c:v>
                </c:pt>
              </c:strCache>
            </c:strRef>
          </c:tx>
          <c:spPr>
            <a:solidFill>
              <a:schemeClr val="accent4">
                <a:lumMod val="60000"/>
                <a:lumOff val="40000"/>
              </a:schemeClr>
            </a:solidFill>
            <a:ln>
              <a:noFill/>
            </a:ln>
            <a:effectLst/>
          </c:spPr>
          <c:invertIfNegative val="0"/>
          <c:cat>
            <c:strRef>
              <c:f>Results!$D$113:$F$113</c:f>
              <c:strCache>
                <c:ptCount val="3"/>
                <c:pt idx="0">
                  <c:v>30-Year</c:v>
                </c:pt>
                <c:pt idx="1">
                  <c:v>15-Year</c:v>
                </c:pt>
                <c:pt idx="2">
                  <c:v>Renter</c:v>
                </c:pt>
              </c:strCache>
            </c:strRef>
          </c:cat>
          <c:val>
            <c:numRef>
              <c:f>Results!$D$122:$F$122</c:f>
              <c:numCache>
                <c:formatCode>_("$"* #,##0_);_("$"* \(#,##0\);_("$"* "-"??_);_(@_)</c:formatCode>
                <c:ptCount val="3"/>
                <c:pt idx="0">
                  <c:v>13140.307769283059</c:v>
                </c:pt>
                <c:pt idx="1">
                  <c:v>11625.183695303236</c:v>
                </c:pt>
                <c:pt idx="2">
                  <c:v>33703.177199542901</c:v>
                </c:pt>
              </c:numCache>
            </c:numRef>
          </c:val>
          <c:extLst>
            <c:ext xmlns:c16="http://schemas.microsoft.com/office/drawing/2014/chart" uri="{C3380CC4-5D6E-409C-BE32-E72D297353CC}">
              <c16:uniqueId val="{00000000-9B79-4DD4-8F10-53C1A369680A}"/>
            </c:ext>
          </c:extLst>
        </c:ser>
        <c:ser>
          <c:idx val="1"/>
          <c:order val="1"/>
          <c:tx>
            <c:strRef>
              <c:f>Results!$B$123</c:f>
              <c:strCache>
                <c:ptCount val="1"/>
                <c:pt idx="0">
                  <c:v>Housing Expenses</c:v>
                </c:pt>
              </c:strCache>
            </c:strRef>
          </c:tx>
          <c:spPr>
            <a:solidFill>
              <a:schemeClr val="accent4">
                <a:lumMod val="75000"/>
              </a:schemeClr>
            </a:solidFill>
            <a:ln>
              <a:noFill/>
            </a:ln>
            <a:effectLst/>
          </c:spPr>
          <c:invertIfNegative val="0"/>
          <c:cat>
            <c:strRef>
              <c:f>Results!$D$113:$F$113</c:f>
              <c:strCache>
                <c:ptCount val="3"/>
                <c:pt idx="0">
                  <c:v>30-Year</c:v>
                </c:pt>
                <c:pt idx="1">
                  <c:v>15-Year</c:v>
                </c:pt>
                <c:pt idx="2">
                  <c:v>Renter</c:v>
                </c:pt>
              </c:strCache>
            </c:strRef>
          </c:cat>
          <c:val>
            <c:numRef>
              <c:f>Results!$D$123:$F$123</c:f>
              <c:numCache>
                <c:formatCode>_("$"* #,##0_);_("$"* \(#,##0\);_("$"* "-"??_);_(@_)</c:formatCode>
                <c:ptCount val="3"/>
                <c:pt idx="0">
                  <c:v>82250.580389604904</c:v>
                </c:pt>
                <c:pt idx="1">
                  <c:v>82250.580389604904</c:v>
                </c:pt>
                <c:pt idx="2">
                  <c:v>100336.07372717954</c:v>
                </c:pt>
              </c:numCache>
            </c:numRef>
          </c:val>
          <c:extLst>
            <c:ext xmlns:c16="http://schemas.microsoft.com/office/drawing/2014/chart" uri="{C3380CC4-5D6E-409C-BE32-E72D297353CC}">
              <c16:uniqueId val="{00000001-9B79-4DD4-8F10-53C1A369680A}"/>
            </c:ext>
          </c:extLst>
        </c:ser>
        <c:dLbls>
          <c:showLegendKey val="0"/>
          <c:showVal val="0"/>
          <c:showCatName val="0"/>
          <c:showSerName val="0"/>
          <c:showPercent val="0"/>
          <c:showBubbleSize val="0"/>
        </c:dLbls>
        <c:gapWidth val="75"/>
        <c:overlap val="-27"/>
        <c:axId val="820382912"/>
        <c:axId val="820383392"/>
      </c:barChart>
      <c:catAx>
        <c:axId val="820382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383392"/>
        <c:crosses val="autoZero"/>
        <c:auto val="1"/>
        <c:lblAlgn val="ctr"/>
        <c:lblOffset val="100"/>
        <c:noMultiLvlLbl val="0"/>
      </c:catAx>
      <c:valAx>
        <c:axId val="8203833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382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Total Return (Thousands of Dollars) and Total Return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Total Return ($)</c:v>
          </c:tx>
          <c:spPr>
            <a:solidFill>
              <a:schemeClr val="accent4">
                <a:lumMod val="60000"/>
                <a:lumOff val="40000"/>
              </a:schemeClr>
            </a:solidFill>
            <a:ln>
              <a:noFill/>
            </a:ln>
            <a:effectLst/>
          </c:spPr>
          <c:invertIfNegative val="0"/>
          <c:cat>
            <c:strRef>
              <c:f>Results!$D$78:$F$78</c:f>
              <c:strCache>
                <c:ptCount val="3"/>
                <c:pt idx="0">
                  <c:v>30-year Mortgage</c:v>
                </c:pt>
                <c:pt idx="1">
                  <c:v>15-year Mortgage</c:v>
                </c:pt>
                <c:pt idx="2">
                  <c:v>Renter</c:v>
                </c:pt>
              </c:strCache>
            </c:strRef>
          </c:cat>
          <c:val>
            <c:numRef>
              <c:f>Results!$D$105:$F$105</c:f>
              <c:numCache>
                <c:formatCode>_("$"* #,##0_);_("$"* \(#,##0\);_("$"* "-"??_);_(@_)</c:formatCode>
                <c:ptCount val="3"/>
                <c:pt idx="0">
                  <c:v>824872.60113574937</c:v>
                </c:pt>
                <c:pt idx="1">
                  <c:v>704870.1618054132</c:v>
                </c:pt>
                <c:pt idx="2">
                  <c:v>1243816.7304929253</c:v>
                </c:pt>
              </c:numCache>
            </c:numRef>
          </c:val>
          <c:extLst>
            <c:ext xmlns:c16="http://schemas.microsoft.com/office/drawing/2014/chart" uri="{C3380CC4-5D6E-409C-BE32-E72D297353CC}">
              <c16:uniqueId val="{00000000-4990-408E-A25E-8DC7B4952B18}"/>
            </c:ext>
          </c:extLst>
        </c:ser>
        <c:dLbls>
          <c:showLegendKey val="0"/>
          <c:showVal val="0"/>
          <c:showCatName val="0"/>
          <c:showSerName val="0"/>
          <c:showPercent val="0"/>
          <c:showBubbleSize val="0"/>
        </c:dLbls>
        <c:gapWidth val="75"/>
        <c:overlap val="-27"/>
        <c:axId val="1395388543"/>
        <c:axId val="1395381823"/>
      </c:barChart>
      <c:lineChart>
        <c:grouping val="standard"/>
        <c:varyColors val="0"/>
        <c:ser>
          <c:idx val="1"/>
          <c:order val="1"/>
          <c:tx>
            <c:v>Total Return (%)</c:v>
          </c:tx>
          <c:spPr>
            <a:ln w="28575" cap="rnd">
              <a:noFill/>
              <a:round/>
            </a:ln>
            <a:effectLst/>
          </c:spPr>
          <c:marker>
            <c:symbol val="diamond"/>
            <c:size val="14"/>
            <c:spPr>
              <a:solidFill>
                <a:schemeClr val="accent5">
                  <a:lumMod val="75000"/>
                </a:schemeClr>
              </a:solidFill>
              <a:ln w="12700">
                <a:solidFill>
                  <a:schemeClr val="bg1"/>
                </a:solidFill>
              </a:ln>
              <a:effectLst/>
            </c:spPr>
          </c:marker>
          <c:cat>
            <c:strRef>
              <c:f>Results!$D$78:$F$78</c:f>
              <c:strCache>
                <c:ptCount val="3"/>
                <c:pt idx="0">
                  <c:v>30-year Mortgage</c:v>
                </c:pt>
                <c:pt idx="1">
                  <c:v>15-year Mortgage</c:v>
                </c:pt>
                <c:pt idx="2">
                  <c:v>Renter</c:v>
                </c:pt>
              </c:strCache>
            </c:strRef>
          </c:cat>
          <c:val>
            <c:numRef>
              <c:f>Results!$D$106:$F$106</c:f>
              <c:numCache>
                <c:formatCode>0.0%</c:formatCode>
                <c:ptCount val="3"/>
                <c:pt idx="0">
                  <c:v>0.31578176225645144</c:v>
                </c:pt>
                <c:pt idx="1">
                  <c:v>0.27533358794737028</c:v>
                </c:pt>
                <c:pt idx="2">
                  <c:v>0.47931891822356765</c:v>
                </c:pt>
              </c:numCache>
            </c:numRef>
          </c:val>
          <c:smooth val="0"/>
          <c:extLst>
            <c:ext xmlns:c16="http://schemas.microsoft.com/office/drawing/2014/chart" uri="{C3380CC4-5D6E-409C-BE32-E72D297353CC}">
              <c16:uniqueId val="{00000001-4990-408E-A25E-8DC7B4952B18}"/>
            </c:ext>
          </c:extLst>
        </c:ser>
        <c:dLbls>
          <c:showLegendKey val="0"/>
          <c:showVal val="0"/>
          <c:showCatName val="0"/>
          <c:showSerName val="0"/>
          <c:showPercent val="0"/>
          <c:showBubbleSize val="0"/>
        </c:dLbls>
        <c:marker val="1"/>
        <c:smooth val="0"/>
        <c:axId val="1395374623"/>
        <c:axId val="1395380383"/>
      </c:lineChart>
      <c:catAx>
        <c:axId val="1395388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5381823"/>
        <c:crosses val="autoZero"/>
        <c:auto val="1"/>
        <c:lblAlgn val="ctr"/>
        <c:lblOffset val="100"/>
        <c:noMultiLvlLbl val="0"/>
      </c:catAx>
      <c:valAx>
        <c:axId val="139538182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5388543"/>
        <c:crosses val="autoZero"/>
        <c:crossBetween val="between"/>
      </c:valAx>
      <c:valAx>
        <c:axId val="1395380383"/>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5374623"/>
        <c:crosses val="max"/>
        <c:crossBetween val="between"/>
      </c:valAx>
      <c:catAx>
        <c:axId val="1395374623"/>
        <c:scaling>
          <c:orientation val="minMax"/>
        </c:scaling>
        <c:delete val="1"/>
        <c:axPos val="b"/>
        <c:numFmt formatCode="General" sourceLinked="1"/>
        <c:majorTickMark val="none"/>
        <c:minorTickMark val="none"/>
        <c:tickLblPos val="nextTo"/>
        <c:crossAx val="1395380383"/>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baseline="0"/>
              <a:t>Figure 1. </a:t>
            </a:r>
            <a:r>
              <a:rPr lang="en-US" baseline="0"/>
              <a:t>Net Worth by Model (Thousands of Dollars)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87040989035249"/>
          <c:y val="0.22408959631406139"/>
          <c:w val="0.85912959010964751"/>
          <c:h val="0.60085866898543527"/>
        </c:manualLayout>
      </c:layout>
      <c:barChart>
        <c:barDir val="col"/>
        <c:grouping val="stacked"/>
        <c:varyColors val="0"/>
        <c:ser>
          <c:idx val="0"/>
          <c:order val="0"/>
          <c:tx>
            <c:strRef>
              <c:f>Results!$C$7</c:f>
              <c:strCache>
                <c:ptCount val="1"/>
                <c:pt idx="0">
                  <c:v>Home Equity</c:v>
                </c:pt>
              </c:strCache>
            </c:strRef>
          </c:tx>
          <c:spPr>
            <a:solidFill>
              <a:schemeClr val="accent4">
                <a:lumMod val="40000"/>
                <a:lumOff val="60000"/>
              </a:schemeClr>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503E-4CB2-A033-FD77B3BD767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Results!$B$8:$B$10</c:f>
              <c:strCache>
                <c:ptCount val="3"/>
                <c:pt idx="0">
                  <c:v>30-Year Mortgage</c:v>
                </c:pt>
                <c:pt idx="1">
                  <c:v>15-Year Mortgage</c:v>
                </c:pt>
                <c:pt idx="2">
                  <c:v>Renter</c:v>
                </c:pt>
              </c:strCache>
            </c:strRef>
          </c:cat>
          <c:val>
            <c:numRef>
              <c:f>Results!$C$8:$C$10</c:f>
              <c:numCache>
                <c:formatCode>_("$"* #,##0_);_("$"* \(#,##0\);_("$"* "-"??_);_(@_)</c:formatCode>
                <c:ptCount val="3"/>
                <c:pt idx="0">
                  <c:v>1928666.7849110186</c:v>
                </c:pt>
                <c:pt idx="1">
                  <c:v>1928666.7849110183</c:v>
                </c:pt>
                <c:pt idx="2">
                  <c:v>0</c:v>
                </c:pt>
              </c:numCache>
            </c:numRef>
          </c:val>
          <c:extLst>
            <c:ext xmlns:c16="http://schemas.microsoft.com/office/drawing/2014/chart" uri="{C3380CC4-5D6E-409C-BE32-E72D297353CC}">
              <c16:uniqueId val="{00000001-503E-4CB2-A033-FD77B3BD7679}"/>
            </c:ext>
          </c:extLst>
        </c:ser>
        <c:ser>
          <c:idx val="1"/>
          <c:order val="1"/>
          <c:tx>
            <c:strRef>
              <c:f>Results!$D$7</c:f>
              <c:strCache>
                <c:ptCount val="1"/>
                <c:pt idx="0">
                  <c:v>Portfolio</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t"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Results!$B$8:$B$10</c:f>
              <c:strCache>
                <c:ptCount val="3"/>
                <c:pt idx="0">
                  <c:v>30-Year Mortgage</c:v>
                </c:pt>
                <c:pt idx="1">
                  <c:v>15-Year Mortgage</c:v>
                </c:pt>
                <c:pt idx="2">
                  <c:v>Renter</c:v>
                </c:pt>
              </c:strCache>
            </c:strRef>
          </c:cat>
          <c:val>
            <c:numRef>
              <c:f>Results!$D$8:$D$10</c:f>
              <c:numCache>
                <c:formatCode>_("$"* #,##0_);_("$"* \(#,##0\);_("$"* "-"??_);_(@_)</c:formatCode>
                <c:ptCount val="3"/>
                <c:pt idx="0">
                  <c:v>1508366.1741932738</c:v>
                </c:pt>
                <c:pt idx="1">
                  <c:v>1336262.1298430117</c:v>
                </c:pt>
                <c:pt idx="2">
                  <c:v>3836027.6370834443</c:v>
                </c:pt>
              </c:numCache>
            </c:numRef>
          </c:val>
          <c:extLst>
            <c:ext xmlns:c16="http://schemas.microsoft.com/office/drawing/2014/chart" uri="{C3380CC4-5D6E-409C-BE32-E72D297353CC}">
              <c16:uniqueId val="{00000002-503E-4CB2-A033-FD77B3BD7679}"/>
            </c:ext>
          </c:extLst>
        </c:ser>
        <c:ser>
          <c:idx val="2"/>
          <c:order val="2"/>
          <c:tx>
            <c:strRef>
              <c:f>Results!$E$6</c:f>
              <c:strCache>
                <c:ptCount val="1"/>
                <c:pt idx="0">
                  <c:v>Security Deposit</c:v>
                </c:pt>
              </c:strCache>
            </c:strRef>
          </c:tx>
          <c:spPr>
            <a:solidFill>
              <a:schemeClr val="accent5">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503E-4CB2-A033-FD77B3BD7679}"/>
                </c:ext>
              </c:extLst>
            </c:dLbl>
            <c:dLbl>
              <c:idx val="1"/>
              <c:delete val="1"/>
              <c:extLst>
                <c:ext xmlns:c15="http://schemas.microsoft.com/office/drawing/2012/chart" uri="{CE6537A1-D6FC-4f65-9D91-7224C49458BB}"/>
                <c:ext xmlns:c16="http://schemas.microsoft.com/office/drawing/2014/chart" uri="{C3380CC4-5D6E-409C-BE32-E72D297353CC}">
                  <c16:uniqueId val="{00000004-503E-4CB2-A033-FD77B3BD7679}"/>
                </c:ext>
              </c:extLst>
            </c:dLbl>
            <c:numFmt formatCode="_(&quot;$&quot;* #,##0.0_);_(&quot;$&quot;* \(#,##0.0\);_(&quot;$&quot;*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Results!$E$8:$E$10</c:f>
              <c:numCache>
                <c:formatCode>_("$"* #,##0_);_("$"* \(#,##0\);_("$"* "-"??_);_(@_)</c:formatCode>
                <c:ptCount val="3"/>
                <c:pt idx="0">
                  <c:v>0</c:v>
                </c:pt>
                <c:pt idx="1">
                  <c:v>0</c:v>
                </c:pt>
                <c:pt idx="2">
                  <c:v>2756</c:v>
                </c:pt>
              </c:numCache>
            </c:numRef>
          </c:val>
          <c:extLst>
            <c:ext xmlns:c16="http://schemas.microsoft.com/office/drawing/2014/chart" uri="{C3380CC4-5D6E-409C-BE32-E72D297353CC}">
              <c16:uniqueId val="{00000005-503E-4CB2-A033-FD77B3BD7679}"/>
            </c:ext>
          </c:extLst>
        </c:ser>
        <c:dLbls>
          <c:showLegendKey val="0"/>
          <c:showVal val="0"/>
          <c:showCatName val="0"/>
          <c:showSerName val="0"/>
          <c:showPercent val="0"/>
          <c:showBubbleSize val="0"/>
        </c:dLbls>
        <c:gapWidth val="150"/>
        <c:overlap val="100"/>
        <c:axId val="421412783"/>
        <c:axId val="421413743"/>
      </c:barChart>
      <c:catAx>
        <c:axId val="421412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413743"/>
        <c:crosses val="autoZero"/>
        <c:auto val="1"/>
        <c:lblAlgn val="ctr"/>
        <c:lblOffset val="100"/>
        <c:noMultiLvlLbl val="0"/>
      </c:catAx>
      <c:valAx>
        <c:axId val="421413743"/>
        <c:scaling>
          <c:orientation val="minMax"/>
        </c:scaling>
        <c:delete val="0"/>
        <c:axPos val="l"/>
        <c:numFmt formatCode="_(&quot;$&quot;* #,##0_);_(&quot;$&quot;* \(#,##0\);_(&quot;$&quot;*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412783"/>
        <c:crosses val="autoZero"/>
        <c:crossBetween val="between"/>
        <c:dispUnits>
          <c:builtInUnit val="thousands"/>
        </c:dispUnits>
      </c:valAx>
      <c:spPr>
        <a:noFill/>
        <a:ln>
          <a:noFill/>
        </a:ln>
        <a:effectLst/>
      </c:spPr>
    </c:plotArea>
    <c:legend>
      <c:legendPos val="b"/>
      <c:layout>
        <c:manualLayout>
          <c:xMode val="edge"/>
          <c:yMode val="edge"/>
          <c:x val="0.28599739753343018"/>
          <c:y val="0.14453743672556754"/>
          <c:w val="0.4553922130292089"/>
          <c:h val="7.56307681014988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Figure</a:t>
            </a:r>
            <a:r>
              <a:rPr lang="en-US" b="1" baseline="0"/>
              <a:t> 2. </a:t>
            </a:r>
            <a:r>
              <a:rPr lang="en-US"/>
              <a:t>Net</a:t>
            </a:r>
            <a:r>
              <a:rPr lang="en-US" baseline="0"/>
              <a:t> Worth by Model (Thousands of Dollars)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271603244716362"/>
          <c:y val="0.19610900313122104"/>
          <c:w val="0.85113994896979339"/>
          <c:h val="0.62200343956949911"/>
        </c:manualLayout>
      </c:layout>
      <c:lineChart>
        <c:grouping val="standard"/>
        <c:varyColors val="0"/>
        <c:ser>
          <c:idx val="1"/>
          <c:order val="0"/>
          <c:tx>
            <c:strRef>
              <c:f>Results!$B$27</c:f>
              <c:strCache>
                <c:ptCount val="1"/>
                <c:pt idx="0">
                  <c:v>30-Year Mortgage</c:v>
                </c:pt>
              </c:strCache>
            </c:strRef>
          </c:tx>
          <c:spPr>
            <a:ln w="28575" cap="rnd">
              <a:solidFill>
                <a:schemeClr val="accent4">
                  <a:lumMod val="60000"/>
                  <a:lumOff val="40000"/>
                </a:schemeClr>
              </a:solidFill>
              <a:round/>
            </a:ln>
            <a:effectLst/>
          </c:spPr>
          <c:marker>
            <c:symbol val="none"/>
          </c:marker>
          <c:cat>
            <c:numRef>
              <c:f>Results!$C$26:$F$26</c:f>
              <c:numCache>
                <c:formatCode>General</c:formatCode>
                <c:ptCount val="4"/>
                <c:pt idx="0">
                  <c:v>1</c:v>
                </c:pt>
                <c:pt idx="1">
                  <c:v>11</c:v>
                </c:pt>
                <c:pt idx="2">
                  <c:v>21</c:v>
                </c:pt>
                <c:pt idx="3">
                  <c:v>31</c:v>
                </c:pt>
              </c:numCache>
            </c:numRef>
          </c:cat>
          <c:val>
            <c:numRef>
              <c:f>Results!$C$27:$F$27</c:f>
              <c:numCache>
                <c:formatCode>_("$"* #,##0_);_("$"* \(#,##0\);_("$"* "-"??_);_(@_)</c:formatCode>
                <c:ptCount val="4"/>
                <c:pt idx="0">
                  <c:v>121448.51344790851</c:v>
                </c:pt>
                <c:pt idx="1">
                  <c:v>638296.93546420382</c:v>
                </c:pt>
                <c:pt idx="2">
                  <c:v>1601711.8245857731</c:v>
                </c:pt>
                <c:pt idx="3">
                  <c:v>3437032.9591042921</c:v>
                </c:pt>
              </c:numCache>
            </c:numRef>
          </c:val>
          <c:smooth val="0"/>
          <c:extLst>
            <c:ext xmlns:c16="http://schemas.microsoft.com/office/drawing/2014/chart" uri="{C3380CC4-5D6E-409C-BE32-E72D297353CC}">
              <c16:uniqueId val="{00000000-89CD-4091-9B9F-8737C8A15EF7}"/>
            </c:ext>
          </c:extLst>
        </c:ser>
        <c:ser>
          <c:idx val="2"/>
          <c:order val="1"/>
          <c:tx>
            <c:strRef>
              <c:f>Results!$B$29</c:f>
              <c:strCache>
                <c:ptCount val="1"/>
                <c:pt idx="0">
                  <c:v>Renter</c:v>
                </c:pt>
              </c:strCache>
            </c:strRef>
          </c:tx>
          <c:spPr>
            <a:ln w="28575" cap="rnd">
              <a:solidFill>
                <a:schemeClr val="accent5">
                  <a:lumMod val="75000"/>
                </a:schemeClr>
              </a:solidFill>
              <a:round/>
            </a:ln>
            <a:effectLst/>
          </c:spPr>
          <c:marker>
            <c:symbol val="none"/>
          </c:marker>
          <c:cat>
            <c:numRef>
              <c:f>Results!$C$26:$F$26</c:f>
              <c:numCache>
                <c:formatCode>General</c:formatCode>
                <c:ptCount val="4"/>
                <c:pt idx="0">
                  <c:v>1</c:v>
                </c:pt>
                <c:pt idx="1">
                  <c:v>11</c:v>
                </c:pt>
                <c:pt idx="2">
                  <c:v>21</c:v>
                </c:pt>
                <c:pt idx="3">
                  <c:v>31</c:v>
                </c:pt>
              </c:numCache>
            </c:numRef>
          </c:cat>
          <c:val>
            <c:numRef>
              <c:f>Results!$C$29:$F$29</c:f>
              <c:numCache>
                <c:formatCode>_("$"* #,##0_);_("$"* \(#,##0\);_("$"* "-"??_);_(@_)</c:formatCode>
                <c:ptCount val="4"/>
                <c:pt idx="0">
                  <c:v>141353.4398455233</c:v>
                </c:pt>
                <c:pt idx="1">
                  <c:v>599140.98601179349</c:v>
                </c:pt>
                <c:pt idx="2">
                  <c:v>1596093.2096838278</c:v>
                </c:pt>
                <c:pt idx="3">
                  <c:v>3838783.6370834443</c:v>
                </c:pt>
              </c:numCache>
            </c:numRef>
          </c:val>
          <c:smooth val="0"/>
          <c:extLst>
            <c:ext xmlns:c16="http://schemas.microsoft.com/office/drawing/2014/chart" uri="{C3380CC4-5D6E-409C-BE32-E72D297353CC}">
              <c16:uniqueId val="{00000001-89CD-4091-9B9F-8737C8A15EF7}"/>
            </c:ext>
          </c:extLst>
        </c:ser>
        <c:ser>
          <c:idx val="3"/>
          <c:order val="2"/>
          <c:tx>
            <c:strRef>
              <c:f>Results!$B$28</c:f>
              <c:strCache>
                <c:ptCount val="1"/>
                <c:pt idx="0">
                  <c:v>15-Year Mortgage</c:v>
                </c:pt>
              </c:strCache>
            </c:strRef>
          </c:tx>
          <c:spPr>
            <a:ln w="28575" cap="rnd">
              <a:solidFill>
                <a:schemeClr val="accent4">
                  <a:lumMod val="50000"/>
                </a:schemeClr>
              </a:solidFill>
              <a:round/>
            </a:ln>
            <a:effectLst/>
          </c:spPr>
          <c:marker>
            <c:symbol val="none"/>
          </c:marker>
          <c:cat>
            <c:numRef>
              <c:f>Results!$C$26:$F$26</c:f>
              <c:numCache>
                <c:formatCode>General</c:formatCode>
                <c:ptCount val="4"/>
                <c:pt idx="0">
                  <c:v>1</c:v>
                </c:pt>
                <c:pt idx="1">
                  <c:v>11</c:v>
                </c:pt>
                <c:pt idx="2">
                  <c:v>21</c:v>
                </c:pt>
                <c:pt idx="3">
                  <c:v>31</c:v>
                </c:pt>
              </c:numCache>
            </c:numRef>
          </c:cat>
          <c:val>
            <c:numRef>
              <c:f>Results!$C$28:$F$28</c:f>
              <c:numCache>
                <c:formatCode>_("$"* #,##0_);_("$"* \(#,##0\);_("$"* "-"??_);_(@_)</c:formatCode>
                <c:ptCount val="4"/>
                <c:pt idx="0">
                  <c:v>123884.93204922938</c:v>
                </c:pt>
                <c:pt idx="1">
                  <c:v>645872.52571607265</c:v>
                </c:pt>
                <c:pt idx="2">
                  <c:v>1542778.9879655908</c:v>
                </c:pt>
                <c:pt idx="3">
                  <c:v>3264928.9147540303</c:v>
                </c:pt>
              </c:numCache>
            </c:numRef>
          </c:val>
          <c:smooth val="0"/>
          <c:extLst>
            <c:ext xmlns:c16="http://schemas.microsoft.com/office/drawing/2014/chart" uri="{C3380CC4-5D6E-409C-BE32-E72D297353CC}">
              <c16:uniqueId val="{00000002-89CD-4091-9B9F-8737C8A15EF7}"/>
            </c:ext>
          </c:extLst>
        </c:ser>
        <c:dLbls>
          <c:showLegendKey val="0"/>
          <c:showVal val="0"/>
          <c:showCatName val="0"/>
          <c:showSerName val="0"/>
          <c:showPercent val="0"/>
          <c:showBubbleSize val="0"/>
        </c:dLbls>
        <c:smooth val="0"/>
        <c:axId val="508674927"/>
        <c:axId val="508680207"/>
      </c:lineChart>
      <c:catAx>
        <c:axId val="50867492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680207"/>
        <c:crosses val="autoZero"/>
        <c:auto val="0"/>
        <c:lblAlgn val="ctr"/>
        <c:lblOffset val="100"/>
        <c:noMultiLvlLbl val="0"/>
      </c:catAx>
      <c:valAx>
        <c:axId val="508680207"/>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674927"/>
        <c:crossesAt val="1"/>
        <c:crossBetween val="midCat"/>
        <c:dispUnits>
          <c:builtInUnit val="thousands"/>
        </c:dispUnits>
      </c:valAx>
      <c:spPr>
        <a:noFill/>
        <a:ln>
          <a:noFill/>
        </a:ln>
        <a:effectLst/>
      </c:spPr>
    </c:plotArea>
    <c:legend>
      <c:legendPos val="t"/>
      <c:layout>
        <c:manualLayout>
          <c:xMode val="edge"/>
          <c:yMode val="edge"/>
          <c:x val="0.18098859593770289"/>
          <c:y val="0.11469532200485874"/>
          <c:w val="0.63802280812459422"/>
          <c:h val="6.912489662584167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Figure 3.</a:t>
            </a:r>
            <a:r>
              <a:rPr lang="en-US" b="1" baseline="0"/>
              <a:t> </a:t>
            </a:r>
            <a:r>
              <a:rPr lang="en-US"/>
              <a:t>Internal</a:t>
            </a:r>
            <a:r>
              <a:rPr lang="en-US" baseline="0"/>
              <a:t> Rate of Return (IRR) by Model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Results!$C$45</c:f>
              <c:strCache>
                <c:ptCount val="1"/>
                <c:pt idx="0">
                  <c:v>IRR</c:v>
                </c:pt>
              </c:strCache>
            </c:strRef>
          </c:tx>
          <c:spPr>
            <a:solidFill>
              <a:schemeClr val="accent4">
                <a:lumMod val="75000"/>
              </a:schemeClr>
            </a:solidFill>
            <a:ln>
              <a:noFill/>
            </a:ln>
            <a:effectLst/>
          </c:spPr>
          <c:invertIfNegative val="0"/>
          <c:dPt>
            <c:idx val="0"/>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1-7DC0-4E05-A669-6301BA6812F3}"/>
              </c:ext>
            </c:extLst>
          </c:dPt>
          <c:dPt>
            <c:idx val="2"/>
            <c:invertIfNegative val="0"/>
            <c:bubble3D val="0"/>
            <c:spPr>
              <a:solidFill>
                <a:schemeClr val="accent5">
                  <a:lumMod val="75000"/>
                </a:schemeClr>
              </a:solidFill>
              <a:ln>
                <a:noFill/>
              </a:ln>
              <a:effectLst/>
            </c:spPr>
            <c:extLst>
              <c:ext xmlns:c16="http://schemas.microsoft.com/office/drawing/2014/chart" uri="{C3380CC4-5D6E-409C-BE32-E72D297353CC}">
                <c16:uniqueId val="{00000003-7DC0-4E05-A669-6301BA6812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Results!$B$46:$B$49</c:f>
              <c:strCache>
                <c:ptCount val="3"/>
                <c:pt idx="0">
                  <c:v>30-Year Mortgage</c:v>
                </c:pt>
                <c:pt idx="1">
                  <c:v>15-Year Mortgage</c:v>
                </c:pt>
                <c:pt idx="2">
                  <c:v>Renter</c:v>
                </c:pt>
              </c:strCache>
            </c:strRef>
          </c:cat>
          <c:val>
            <c:numRef>
              <c:f>Results!$C$46:$C$48</c:f>
              <c:numCache>
                <c:formatCode>0.0%</c:formatCode>
                <c:ptCount val="3"/>
                <c:pt idx="0">
                  <c:v>0.12177011337581489</c:v>
                </c:pt>
                <c:pt idx="1">
                  <c:v>0.11996995626188056</c:v>
                </c:pt>
                <c:pt idx="2">
                  <c:v>8.5033238510569209E-2</c:v>
                </c:pt>
              </c:numCache>
            </c:numRef>
          </c:val>
          <c:extLst>
            <c:ext xmlns:c16="http://schemas.microsoft.com/office/drawing/2014/chart" uri="{C3380CC4-5D6E-409C-BE32-E72D297353CC}">
              <c16:uniqueId val="{00000004-7DC0-4E05-A669-6301BA6812F3}"/>
            </c:ext>
          </c:extLst>
        </c:ser>
        <c:dLbls>
          <c:showLegendKey val="0"/>
          <c:showVal val="0"/>
          <c:showCatName val="0"/>
          <c:showSerName val="0"/>
          <c:showPercent val="0"/>
          <c:showBubbleSize val="0"/>
        </c:dLbls>
        <c:gapWidth val="75"/>
        <c:overlap val="-27"/>
        <c:axId val="211711791"/>
        <c:axId val="211712271"/>
      </c:barChart>
      <c:catAx>
        <c:axId val="211711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712271"/>
        <c:crosses val="autoZero"/>
        <c:auto val="1"/>
        <c:lblAlgn val="ctr"/>
        <c:lblOffset val="100"/>
        <c:noMultiLvlLbl val="0"/>
      </c:catAx>
      <c:valAx>
        <c:axId val="211712271"/>
        <c:scaling>
          <c:orientation val="minMax"/>
          <c:min val="0"/>
        </c:scaling>
        <c:delete val="1"/>
        <c:axPos val="l"/>
        <c:numFmt formatCode="0.0%" sourceLinked="1"/>
        <c:majorTickMark val="out"/>
        <c:minorTickMark val="none"/>
        <c:tickLblPos val="nextTo"/>
        <c:crossAx val="211711791"/>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7">
  <a:schemeClr val="accent4"/>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chart" Target="../charts/chart9.xml"/><Relationship Id="rId7" Type="http://schemas.openxmlformats.org/officeDocument/2006/relationships/image" Target="../media/image2.emf"/><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image" Target="../media/image1.emf"/><Relationship Id="rId5" Type="http://schemas.openxmlformats.org/officeDocument/2006/relationships/chart" Target="../charts/chart11.xml"/><Relationship Id="rId10" Type="http://schemas.openxmlformats.org/officeDocument/2006/relationships/chart" Target="../charts/chart12.xml"/><Relationship Id="rId4" Type="http://schemas.openxmlformats.org/officeDocument/2006/relationships/chart" Target="../charts/chart10.xml"/><Relationship Id="rId9"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600075</xdr:colOff>
      <xdr:row>3</xdr:row>
      <xdr:rowOff>0</xdr:rowOff>
    </xdr:from>
    <xdr:to>
      <xdr:col>17</xdr:col>
      <xdr:colOff>600075</xdr:colOff>
      <xdr:row>14</xdr:row>
      <xdr:rowOff>47625</xdr:rowOff>
    </xdr:to>
    <xdr:sp macro="" textlink="">
      <xdr:nvSpPr>
        <xdr:cNvPr id="2" name="TextBox 1">
          <a:extLst>
            <a:ext uri="{FF2B5EF4-FFF2-40B4-BE49-F238E27FC236}">
              <a16:creationId xmlns:a16="http://schemas.microsoft.com/office/drawing/2014/main" id="{F8C17F27-424B-131F-8D20-9C2863FD015A}"/>
            </a:ext>
          </a:extLst>
        </xdr:cNvPr>
        <xdr:cNvSpPr txBox="1"/>
      </xdr:nvSpPr>
      <xdr:spPr>
        <a:xfrm>
          <a:off x="600075" y="619125"/>
          <a:ext cx="10363200" cy="214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600"/>
            </a:spcAft>
          </a:pPr>
          <a:r>
            <a:rPr lang="en-US" sz="1100"/>
            <a:t>This analysis</a:t>
          </a:r>
          <a:r>
            <a:rPr lang="en-US" sz="1100" baseline="0"/>
            <a:t> pits three scenarios against one another—the purchaser of a home with a 30-year mortgage, the purchaser of a home of a 15-year mortgage, and a lifelong renter—over the course of several decades. </a:t>
          </a:r>
        </a:p>
        <a:p>
          <a:pPr marL="0" marR="0" lvl="0" indent="0" defTabSz="914400" eaLnBrk="1" fontAlgn="auto" latinLnBrk="0" hangingPunct="1">
            <a:lnSpc>
              <a:spcPct val="100000"/>
            </a:lnSpc>
            <a:spcBef>
              <a:spcPts val="0"/>
            </a:spcBef>
            <a:spcAft>
              <a:spcPts val="600"/>
            </a:spcAft>
            <a:buClrTx/>
            <a:buSzTx/>
            <a:buFontTx/>
            <a:buNone/>
            <a:tabLst/>
            <a:defRPr/>
          </a:pPr>
          <a:r>
            <a:rPr lang="en-US" sz="1100" baseline="0"/>
            <a:t>In each scenario, the individual has </a:t>
          </a:r>
          <a:r>
            <a:rPr lang="en-US" sz="1100" i="1" u="sng" baseline="0"/>
            <a:t>the same amount of money</a:t>
          </a:r>
          <a:r>
            <a:rPr lang="en-US" sz="1100" i="0" u="none" baseline="0"/>
            <a:t> each month to devote to housing costs, repairs and maintenance, taxes, insurance, and to his or her investment portofolio. </a:t>
          </a:r>
          <a:r>
            <a:rPr lang="en-US" sz="1100" b="0" i="0" baseline="0">
              <a:solidFill>
                <a:schemeClr val="dk1"/>
              </a:solidFill>
              <a:effectLst/>
              <a:latin typeface="+mn-lt"/>
              <a:ea typeface="+mn-ea"/>
              <a:cs typeface="+mn-cs"/>
            </a:rPr>
            <a:t>All funds not used for mortgage/rent and related expenses, are used for the investment portfolio. </a:t>
          </a:r>
          <a:r>
            <a:rPr lang="en-US" sz="1100" i="0" baseline="0">
              <a:solidFill>
                <a:schemeClr val="dk1"/>
              </a:solidFill>
              <a:effectLst/>
              <a:latin typeface="+mn-lt"/>
              <a:ea typeface="+mn-ea"/>
              <a:cs typeface="+mn-cs"/>
            </a:rPr>
            <a:t>This keeps even footing for all three scenarios and makes them directly comparable to one another.</a:t>
          </a:r>
        </a:p>
        <a:p>
          <a:pPr marL="0" marR="0" lvl="0" indent="0" defTabSz="914400" eaLnBrk="1" fontAlgn="auto" latinLnBrk="0" hangingPunct="1">
            <a:lnSpc>
              <a:spcPct val="100000"/>
            </a:lnSpc>
            <a:spcBef>
              <a:spcPts val="0"/>
            </a:spcBef>
            <a:spcAft>
              <a:spcPts val="600"/>
            </a:spcAft>
            <a:buClrTx/>
            <a:buSzTx/>
            <a:buFontTx/>
            <a:buNone/>
            <a:tabLst/>
            <a:defRPr/>
          </a:pPr>
          <a:r>
            <a:rPr lang="en-US" sz="1100" b="0" i="0" baseline="0">
              <a:solidFill>
                <a:schemeClr val="dk1"/>
              </a:solidFill>
              <a:effectLst/>
              <a:latin typeface="+mn-lt"/>
              <a:ea typeface="+mn-ea"/>
              <a:cs typeface="+mn-cs"/>
            </a:rPr>
            <a:t>The </a:t>
          </a:r>
          <a:r>
            <a:rPr lang="en-US" sz="1100" b="1" i="1" baseline="0">
              <a:solidFill>
                <a:schemeClr val="dk1"/>
              </a:solidFill>
              <a:effectLst/>
              <a:latin typeface="+mn-lt"/>
              <a:ea typeface="+mn-ea"/>
              <a:cs typeface="+mn-cs"/>
            </a:rPr>
            <a:t>Overview </a:t>
          </a:r>
          <a:r>
            <a:rPr lang="en-US" sz="1100" b="0" i="0" baseline="0">
              <a:solidFill>
                <a:schemeClr val="dk1"/>
              </a:solidFill>
              <a:effectLst/>
              <a:latin typeface="+mn-lt"/>
              <a:ea typeface="+mn-ea"/>
              <a:cs typeface="+mn-cs"/>
            </a:rPr>
            <a:t>tab gives a high-level synopsis of what the model represents.</a:t>
          </a:r>
        </a:p>
        <a:p>
          <a:pPr marL="0" marR="0" lvl="0" indent="0" defTabSz="914400" eaLnBrk="1" fontAlgn="auto" latinLnBrk="0" hangingPunct="1">
            <a:lnSpc>
              <a:spcPct val="100000"/>
            </a:lnSpc>
            <a:spcBef>
              <a:spcPts val="0"/>
            </a:spcBef>
            <a:spcAft>
              <a:spcPts val="600"/>
            </a:spcAft>
            <a:buClrTx/>
            <a:buSzTx/>
            <a:buFontTx/>
            <a:buNone/>
            <a:tabLst/>
            <a:defRPr/>
          </a:pPr>
          <a:r>
            <a:rPr lang="en-US" sz="1100" baseline="0"/>
            <a:t>The models are driven by several key assumptions, which are inputed on the </a:t>
          </a:r>
          <a:r>
            <a:rPr lang="en-US" sz="1100" b="1" i="1" baseline="0"/>
            <a:t>Assumptions </a:t>
          </a:r>
          <a:r>
            <a:rPr lang="en-US" sz="1100" b="0" i="0" baseline="0"/>
            <a:t>tab. The modeling, performed invididually for each scenario in their respective tabs, executes the scenarios based on the assumptions over the course of up to 45 years.</a:t>
          </a:r>
        </a:p>
        <a:p>
          <a:pPr>
            <a:spcAft>
              <a:spcPts val="600"/>
            </a:spcAft>
          </a:pPr>
          <a:r>
            <a:rPr lang="en-US" sz="1100" b="0" i="0" baseline="0"/>
            <a:t>The </a:t>
          </a:r>
          <a:r>
            <a:rPr lang="en-US" sz="1100" b="1" i="1" baseline="0"/>
            <a:t>Results </a:t>
          </a:r>
          <a:r>
            <a:rPr lang="en-US" sz="1100" b="0" i="0" baseline="0"/>
            <a:t>tab shows the outcomes of the three scenarios along with several visualizations for clarity. This dashboard allows the user to select an ending year (between 0 and 45) to see the financial results for each competing model as of that selected year.</a:t>
          </a:r>
        </a:p>
        <a:p>
          <a:pPr>
            <a:spcAft>
              <a:spcPts val="600"/>
            </a:spcAft>
          </a:pPr>
          <a:endParaRPr lang="en-US" sz="1100" b="0" i="0"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733424</xdr:colOff>
      <xdr:row>4</xdr:row>
      <xdr:rowOff>147637</xdr:rowOff>
    </xdr:from>
    <xdr:to>
      <xdr:col>14</xdr:col>
      <xdr:colOff>361949</xdr:colOff>
      <xdr:row>19</xdr:row>
      <xdr:rowOff>123825</xdr:rowOff>
    </xdr:to>
    <xdr:graphicFrame macro="">
      <xdr:nvGraphicFramePr>
        <xdr:cNvPr id="3" name="Chart 2">
          <a:extLst>
            <a:ext uri="{FF2B5EF4-FFF2-40B4-BE49-F238E27FC236}">
              <a16:creationId xmlns:a16="http://schemas.microsoft.com/office/drawing/2014/main" id="{2A9015D3-A01B-9D77-8B4B-411C4C6BEB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19049</xdr:colOff>
      <xdr:row>23</xdr:row>
      <xdr:rowOff>166688</xdr:rowOff>
    </xdr:from>
    <xdr:to>
      <xdr:col>14</xdr:col>
      <xdr:colOff>342899</xdr:colOff>
      <xdr:row>40</xdr:row>
      <xdr:rowOff>28576</xdr:rowOff>
    </xdr:to>
    <xdr:graphicFrame macro="">
      <xdr:nvGraphicFramePr>
        <xdr:cNvPr id="42" name="Chart 4">
          <a:extLst>
            <a:ext uri="{FF2B5EF4-FFF2-40B4-BE49-F238E27FC236}">
              <a16:creationId xmlns:a16="http://schemas.microsoft.com/office/drawing/2014/main" id="{23720E93-C942-0C56-588B-FD86F4A016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304800</xdr:colOff>
      <xdr:row>43</xdr:row>
      <xdr:rowOff>123825</xdr:rowOff>
    </xdr:from>
    <xdr:to>
      <xdr:col>13</xdr:col>
      <xdr:colOff>600075</xdr:colOff>
      <xdr:row>52</xdr:row>
      <xdr:rowOff>47625</xdr:rowOff>
    </xdr:to>
    <xdr:graphicFrame macro="">
      <xdr:nvGraphicFramePr>
        <xdr:cNvPr id="34" name="Chart 6">
          <a:extLst>
            <a:ext uri="{FF2B5EF4-FFF2-40B4-BE49-F238E27FC236}">
              <a16:creationId xmlns:a16="http://schemas.microsoft.com/office/drawing/2014/main" id="{56340E0E-9E40-FA67-5FBA-B137FBDFE8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56</xdr:row>
      <xdr:rowOff>14287</xdr:rowOff>
    </xdr:from>
    <xdr:to>
      <xdr:col>14</xdr:col>
      <xdr:colOff>381000</xdr:colOff>
      <xdr:row>72</xdr:row>
      <xdr:rowOff>180975</xdr:rowOff>
    </xdr:to>
    <xdr:graphicFrame macro="">
      <xdr:nvGraphicFramePr>
        <xdr:cNvPr id="35" name="Chart 5">
          <a:extLst>
            <a:ext uri="{FF2B5EF4-FFF2-40B4-BE49-F238E27FC236}">
              <a16:creationId xmlns:a16="http://schemas.microsoft.com/office/drawing/2014/main" id="{6062FBC5-E75C-FC1F-45D8-4557A5A301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300037</xdr:colOff>
      <xdr:row>111</xdr:row>
      <xdr:rowOff>80962</xdr:rowOff>
    </xdr:from>
    <xdr:to>
      <xdr:col>14</xdr:col>
      <xdr:colOff>585787</xdr:colOff>
      <xdr:row>123</xdr:row>
      <xdr:rowOff>76200</xdr:rowOff>
    </xdr:to>
    <xdr:graphicFrame macro="">
      <xdr:nvGraphicFramePr>
        <xdr:cNvPr id="11" name="Chart 10">
          <a:extLst>
            <a:ext uri="{FF2B5EF4-FFF2-40B4-BE49-F238E27FC236}">
              <a16:creationId xmlns:a16="http://schemas.microsoft.com/office/drawing/2014/main" id="{1779F6D7-D562-F954-72F8-5798478B85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252412</xdr:colOff>
      <xdr:row>76</xdr:row>
      <xdr:rowOff>152399</xdr:rowOff>
    </xdr:from>
    <xdr:to>
      <xdr:col>14</xdr:col>
      <xdr:colOff>666750</xdr:colOff>
      <xdr:row>93</xdr:row>
      <xdr:rowOff>142874</xdr:rowOff>
    </xdr:to>
    <xdr:graphicFrame macro="">
      <xdr:nvGraphicFramePr>
        <xdr:cNvPr id="4" name="Chart 3">
          <a:extLst>
            <a:ext uri="{FF2B5EF4-FFF2-40B4-BE49-F238E27FC236}">
              <a16:creationId xmlns:a16="http://schemas.microsoft.com/office/drawing/2014/main" id="{5D82DFCC-B6C6-7785-3A87-0A09DC3811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19050</xdr:colOff>
      <xdr:row>59</xdr:row>
      <xdr:rowOff>180975</xdr:rowOff>
    </xdr:from>
    <xdr:to>
      <xdr:col>18</xdr:col>
      <xdr:colOff>161925</xdr:colOff>
      <xdr:row>74</xdr:row>
      <xdr:rowOff>157163</xdr:rowOff>
    </xdr:to>
    <xdr:graphicFrame macro="">
      <xdr:nvGraphicFramePr>
        <xdr:cNvPr id="4" name="Chart 3">
          <a:extLst>
            <a:ext uri="{FF2B5EF4-FFF2-40B4-BE49-F238E27FC236}">
              <a16:creationId xmlns:a16="http://schemas.microsoft.com/office/drawing/2014/main" id="{6F549AA5-A4C3-425E-8371-5A4DC3A70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xdr:colOff>
      <xdr:row>75</xdr:row>
      <xdr:rowOff>57150</xdr:rowOff>
    </xdr:from>
    <xdr:to>
      <xdr:col>18</xdr:col>
      <xdr:colOff>0</xdr:colOff>
      <xdr:row>91</xdr:row>
      <xdr:rowOff>109538</xdr:rowOff>
    </xdr:to>
    <xdr:graphicFrame macro="">
      <xdr:nvGraphicFramePr>
        <xdr:cNvPr id="5" name="Chart 4">
          <a:extLst>
            <a:ext uri="{FF2B5EF4-FFF2-40B4-BE49-F238E27FC236}">
              <a16:creationId xmlns:a16="http://schemas.microsoft.com/office/drawing/2014/main" id="{D9F59A33-C2B1-473A-987C-9880BA312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92</xdr:row>
      <xdr:rowOff>0</xdr:rowOff>
    </xdr:from>
    <xdr:to>
      <xdr:col>16</xdr:col>
      <xdr:colOff>314325</xdr:colOff>
      <xdr:row>100</xdr:row>
      <xdr:rowOff>114300</xdr:rowOff>
    </xdr:to>
    <xdr:graphicFrame macro="">
      <xdr:nvGraphicFramePr>
        <xdr:cNvPr id="6" name="Chart 6">
          <a:extLst>
            <a:ext uri="{FF2B5EF4-FFF2-40B4-BE49-F238E27FC236}">
              <a16:creationId xmlns:a16="http://schemas.microsoft.com/office/drawing/2014/main" id="{9A7871D8-50FD-4090-8879-B41FC9EBB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102</xdr:row>
      <xdr:rowOff>0</xdr:rowOff>
    </xdr:from>
    <xdr:to>
      <xdr:col>18</xdr:col>
      <xdr:colOff>38100</xdr:colOff>
      <xdr:row>118</xdr:row>
      <xdr:rowOff>166688</xdr:rowOff>
    </xdr:to>
    <xdr:graphicFrame macro="">
      <xdr:nvGraphicFramePr>
        <xdr:cNvPr id="7" name="Chart 5">
          <a:extLst>
            <a:ext uri="{FF2B5EF4-FFF2-40B4-BE49-F238E27FC236}">
              <a16:creationId xmlns:a16="http://schemas.microsoft.com/office/drawing/2014/main" id="{3404279E-AB52-4687-A4C7-8E47F79E1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495300</xdr:colOff>
      <xdr:row>139</xdr:row>
      <xdr:rowOff>66675</xdr:rowOff>
    </xdr:from>
    <xdr:to>
      <xdr:col>16</xdr:col>
      <xdr:colOff>190500</xdr:colOff>
      <xdr:row>151</xdr:row>
      <xdr:rowOff>100013</xdr:rowOff>
    </xdr:to>
    <xdr:graphicFrame macro="">
      <xdr:nvGraphicFramePr>
        <xdr:cNvPr id="11" name="Chart 10">
          <a:extLst>
            <a:ext uri="{FF2B5EF4-FFF2-40B4-BE49-F238E27FC236}">
              <a16:creationId xmlns:a16="http://schemas.microsoft.com/office/drawing/2014/main" id="{91B118EA-4FB4-4499-AA9C-175632A7C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1</xdr:row>
      <xdr:rowOff>0</xdr:rowOff>
    </xdr:from>
    <xdr:to>
      <xdr:col>13</xdr:col>
      <xdr:colOff>123825</xdr:colOff>
      <xdr:row>60</xdr:row>
      <xdr:rowOff>104775</xdr:rowOff>
    </xdr:to>
    <xdr:pic>
      <xdr:nvPicPr>
        <xdr:cNvPr id="2" name="Picture 1">
          <a:extLst>
            <a:ext uri="{FF2B5EF4-FFF2-40B4-BE49-F238E27FC236}">
              <a16:creationId xmlns:a16="http://schemas.microsoft.com/office/drawing/2014/main" id="{A3377D57-7C1E-E726-7476-3955791F1AE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190500"/>
          <a:ext cx="7439025" cy="11344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62</xdr:row>
      <xdr:rowOff>9525</xdr:rowOff>
    </xdr:from>
    <xdr:to>
      <xdr:col>9</xdr:col>
      <xdr:colOff>76200</xdr:colOff>
      <xdr:row>68</xdr:row>
      <xdr:rowOff>19050</xdr:rowOff>
    </xdr:to>
    <xdr:pic>
      <xdr:nvPicPr>
        <xdr:cNvPr id="3" name="Picture 2">
          <a:extLst>
            <a:ext uri="{FF2B5EF4-FFF2-40B4-BE49-F238E27FC236}">
              <a16:creationId xmlns:a16="http://schemas.microsoft.com/office/drawing/2014/main" id="{A6A77FD6-18E0-32D2-A243-4C874E3C683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2425" y="11820525"/>
          <a:ext cx="521017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69</xdr:row>
      <xdr:rowOff>66675</xdr:rowOff>
    </xdr:from>
    <xdr:to>
      <xdr:col>8</xdr:col>
      <xdr:colOff>571500</xdr:colOff>
      <xdr:row>100</xdr:row>
      <xdr:rowOff>95250</xdr:rowOff>
    </xdr:to>
    <xdr:pic>
      <xdr:nvPicPr>
        <xdr:cNvPr id="9" name="Picture 8">
          <a:extLst>
            <a:ext uri="{FF2B5EF4-FFF2-40B4-BE49-F238E27FC236}">
              <a16:creationId xmlns:a16="http://schemas.microsoft.com/office/drawing/2014/main" id="{E98F128E-A669-3EBB-B95D-EE1785493EE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13211175"/>
          <a:ext cx="5210175" cy="5934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102</xdr:row>
      <xdr:rowOff>38100</xdr:rowOff>
    </xdr:from>
    <xdr:to>
      <xdr:col>8</xdr:col>
      <xdr:colOff>457200</xdr:colOff>
      <xdr:row>111</xdr:row>
      <xdr:rowOff>66675</xdr:rowOff>
    </xdr:to>
    <xdr:pic>
      <xdr:nvPicPr>
        <xdr:cNvPr id="10" name="Picture 9">
          <a:extLst>
            <a:ext uri="{FF2B5EF4-FFF2-40B4-BE49-F238E27FC236}">
              <a16:creationId xmlns:a16="http://schemas.microsoft.com/office/drawing/2014/main" id="{E5CBD530-6149-1E78-38D8-6A5137BD3CE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825" y="19469100"/>
          <a:ext cx="5210175"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600075</xdr:colOff>
      <xdr:row>119</xdr:row>
      <xdr:rowOff>142875</xdr:rowOff>
    </xdr:from>
    <xdr:to>
      <xdr:col>18</xdr:col>
      <xdr:colOff>61913</xdr:colOff>
      <xdr:row>137</xdr:row>
      <xdr:rowOff>133350</xdr:rowOff>
    </xdr:to>
    <xdr:graphicFrame macro="">
      <xdr:nvGraphicFramePr>
        <xdr:cNvPr id="8" name="Chart 7">
          <a:extLst>
            <a:ext uri="{FF2B5EF4-FFF2-40B4-BE49-F238E27FC236}">
              <a16:creationId xmlns:a16="http://schemas.microsoft.com/office/drawing/2014/main" id="{52192651-E139-486F-98E5-490A4C84D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D64934C-5D03-4F0C-97D9-E3654D1AA785}" name="Model_30y" displayName="Model_30y" ref="A1:AJ542" totalsRowShown="0" headerRowDxfId="90">
  <autoFilter ref="A1:AJ542" xr:uid="{CD64934C-5D03-4F0C-97D9-E3654D1AA785}"/>
  <tableColumns count="36">
    <tableColumn id="1" xr3:uid="{7944DB0B-7A73-4D2D-B8CE-9F9CA4CCDBC2}" name="Period" dataDxfId="89">
      <calculatedColumnFormula>A1+1</calculatedColumnFormula>
    </tableColumn>
    <tableColumn id="2" xr3:uid="{DBCC396F-0C0B-4BB7-B5CF-4EE0652B237F}" name="Year" dataDxfId="88">
      <calculatedColumnFormula>ROUNDUP(A2/12,0)</calculatedColumnFormula>
    </tableColumn>
    <tableColumn id="3" xr3:uid="{BD414086-288D-4BA2-885C-0581708C1D3B}" name="Interest Payment" dataDxfId="87" dataCellStyle="Currency">
      <calculatedColumnFormula>IFERROR(IPMT(Assumptions!$D$16/12,Model_30y!A2, 360,Assumptions!$D$8), 0)</calculatedColumnFormula>
    </tableColumn>
    <tableColumn id="4" xr3:uid="{28D66394-29FF-4744-B58A-EA6F3D60602B}" name="Principal Payment" dataDxfId="86" dataCellStyle="Currency">
      <calculatedColumnFormula>IFERROR(PPMT(Assumptions!$D$16/12, Model_30y!A2, 360, Assumptions!$D$8), 0)</calculatedColumnFormula>
    </tableColumn>
    <tableColumn id="5" xr3:uid="{BD67B05A-FA6E-4FAB-94C9-DB8AEB0E5F84}" name="Interest + Principle" dataDxfId="85" dataCellStyle="Currency">
      <calculatedColumnFormula>SUM(C2:D2)</calculatedColumnFormula>
    </tableColumn>
    <tableColumn id="6" xr3:uid="{2E0B3340-62A1-4464-B82B-48903B7125A4}" name="Mortgage Payment" dataDxfId="84" dataCellStyle="Currency">
      <calculatedColumnFormula>IF(I1&gt;1, Assumptions!$E$18, 0)*-1</calculatedColumnFormula>
    </tableColumn>
    <tableColumn id="7" xr3:uid="{AACED143-F7A3-4453-8297-5B6F334C2DA2}" name="Payment Check" dataDxfId="83" dataCellStyle="Currency">
      <calculatedColumnFormula>IF(E2+F2&lt;1, 1, 0)</calculatedColumnFormula>
    </tableColumn>
    <tableColumn id="8" xr3:uid="{7078AE2C-605A-4BDB-B648-7B7A1F7C816C}" name="Principle Paid" dataDxfId="82">
      <calculatedColumnFormula>H1+D2*-1</calculatedColumnFormula>
    </tableColumn>
    <tableColumn id="9" xr3:uid="{C99AC057-A363-4872-BC1F-879295CD7551}" name="Outstanding Principle" dataDxfId="81" dataCellStyle="Currency">
      <calculatedColumnFormula>MAX(Assumptions!$D$8-SUM(Model_30y!H2), 0)</calculatedColumnFormula>
    </tableColumn>
    <tableColumn id="10" xr3:uid="{CAC11905-D434-479C-9BCB-361E4F2910E4}" name="Home Value" dataDxfId="80" dataCellStyle="Currency">
      <calculatedColumnFormula>J1*(1+(Assumptions!$E$51))</calculatedColumnFormula>
    </tableColumn>
    <tableColumn id="11" xr3:uid="{B72EE14D-A7F4-4F1B-9CA5-E2E952D41EEB}" name="Net Home Equity" dataDxfId="79">
      <calculatedColumnFormula>(J2-I2)</calculatedColumnFormula>
    </tableColumn>
    <tableColumn id="12" xr3:uid="{E3655D07-B10A-4CD4-A0BE-1AC70D0C3784}" name="PMI Equity" dataDxfId="78">
      <calculatedColumnFormula>L1+D2*-1</calculatedColumnFormula>
    </tableColumn>
    <tableColumn id="13" xr3:uid="{A6E1B4A1-E233-48BC-A237-F77ECF50E23F}" name="Home Equity Ratio" dataDxfId="77" dataCellStyle="Percent">
      <calculatedColumnFormula>L2/Assumptions!$D$6</calculatedColumnFormula>
    </tableColumn>
    <tableColumn id="14" xr3:uid="{3CBDD44D-8F93-4EB6-B622-E6BAB6CF7A7C}" name="PMI Applicable?" dataDxfId="76" dataCellStyle="Currency">
      <calculatedColumnFormula>IF(M2&lt;0.2, 1, 0)</calculatedColumnFormula>
    </tableColumn>
    <tableColumn id="15" xr3:uid="{7C773BD0-5AFC-4B07-80A7-36635265039F}" name="PMI Payment" dataDxfId="75">
      <calculatedColumnFormula>N2*Assumptions!$E$25*-1</calculatedColumnFormula>
    </tableColumn>
    <tableColumn id="16" xr3:uid="{42C9E8D1-8913-431E-A325-992D9143CCA1}" name="Repairs &amp; Maintenance" dataDxfId="74">
      <calculatedColumnFormula>Assumptions!$E$35*J2*-1</calculatedColumnFormula>
    </tableColumn>
    <tableColumn id="17" xr3:uid="{5B534478-0685-4C2E-A3F5-6FFE1C11654B}" name="Property Tax" dataDxfId="73">
      <calculatedColumnFormula>J2*Assumptions!$E$36*-1</calculatedColumnFormula>
    </tableColumn>
    <tableColumn id="18" xr3:uid="{AA970024-11CC-4369-BC72-1A6F25814C71}" name="Homeowners Insurance" dataDxfId="72"/>
    <tableColumn id="19" xr3:uid="{85F79B9B-550E-4F86-9D86-7DDF7628E7B8}" name="HOA Fees" dataDxfId="71"/>
    <tableColumn id="20" xr3:uid="{052C9313-52A6-4158-B5BE-B33E1BD06D59}" name="PMI" dataDxfId="70">
      <calculatedColumnFormula>O2</calculatedColumnFormula>
    </tableColumn>
    <tableColumn id="21" xr3:uid="{EEA39FEE-1D4E-492A-8ACF-C1AF5245A085}" name="Total Upkeep" dataDxfId="69">
      <calculatedColumnFormula>SUM(P2:T2)</calculatedColumnFormula>
    </tableColumn>
    <tableColumn id="22" xr3:uid="{D8406680-3157-4CB6-984A-5641E75105F6}" name="Investable Funds" dataDxfId="68">
      <calculatedColumnFormula>MAX(Assumptions!$E$18:$E$19)-U2</calculatedColumnFormula>
    </tableColumn>
    <tableColumn id="23" xr3:uid="{BB4328F3-ADC2-432B-AC79-CF06C448A5F3}" name="Less Mortgage Payment" dataDxfId="67">
      <calculatedColumnFormula>F2</calculatedColumnFormula>
    </tableColumn>
    <tableColumn id="24" xr3:uid="{F96FEB28-20E1-40AE-9CB7-FF6B6D551FFD}" name="Less Upkeep" dataDxfId="66">
      <calculatedColumnFormula>U2</calculatedColumnFormula>
    </tableColumn>
    <tableColumn id="25" xr3:uid="{EB383975-85E7-4C5E-A53A-4DBF7BA58595}" name="Plus Credit from Interest Deduction" dataDxfId="65">
      <calculatedColumnFormula>C2*Assumptions!$D$44*-1</calculatedColumnFormula>
    </tableColumn>
    <tableColumn id="26" xr3:uid="{0FFE2277-F391-4146-877D-9F8A817FB9A4}" name="Monthly Investment" dataDxfId="64">
      <calculatedColumnFormula>SUM(V2:Y2)</calculatedColumnFormula>
    </tableColumn>
    <tableColumn id="27" xr3:uid="{B5CDE1E8-0C36-4A85-B6F7-0ABB7861C9F3}" name="Previous Period Portfolio Value" dataDxfId="63">
      <calculatedColumnFormula>AG1</calculatedColumnFormula>
    </tableColumn>
    <tableColumn id="28" xr3:uid="{04D0E385-D39A-4231-8239-039871602459}" name="Portfolio Growth" dataDxfId="62" dataCellStyle="Percent">
      <calculatedColumnFormula>Assumptions!$E$45</calculatedColumnFormula>
    </tableColumn>
    <tableColumn id="29" xr3:uid="{FAF9F00B-7F02-44FA-BFA6-49FCE2CFA3B0}" name="Portfolio Value (Pre Tax &amp; Fees)" dataDxfId="61">
      <calculatedColumnFormula>(AA2+Z2)+(AA2*AB2)</calculatedColumnFormula>
    </tableColumn>
    <tableColumn id="30" xr3:uid="{F18E7F27-007D-45CE-9559-E77F755EB67E}" name="Dividends" dataDxfId="60">
      <calculatedColumnFormula>AC2*Assumptions!$E$43</calculatedColumnFormula>
    </tableColumn>
    <tableColumn id="31" xr3:uid="{661281F3-B47B-474B-8029-4B155EA655E1}" name="Income Tax" dataDxfId="59" dataCellStyle="Currency">
      <calculatedColumnFormula>AD2*Assumptions!$D$44*-1</calculatedColumnFormula>
    </tableColumn>
    <tableColumn id="32" xr3:uid="{1699299E-DDD1-4A7E-BEBC-E60FDACE275F}" name="Investment Fees" dataDxfId="58" dataCellStyle="Currency">
      <calculatedColumnFormula>AC2*Assumptions!$E$46*-1</calculatedColumnFormula>
    </tableColumn>
    <tableColumn id="33" xr3:uid="{30B7303F-D29B-4C05-8479-BC9C310DFDA2}" name="Portfolio Value (After Tax &amp; Fees)" dataDxfId="57">
      <calculatedColumnFormula>AC2+SUM(AE2:AF2)</calculatedColumnFormula>
    </tableColumn>
    <tableColumn id="34" xr3:uid="{9F4CCC3A-F531-4306-AC63-D79BBDF8AE0F}" name="Outflows" dataDxfId="56">
      <calculatedColumnFormula>U2-Z2</calculatedColumnFormula>
    </tableColumn>
    <tableColumn id="35" xr3:uid="{A5272384-9011-46CE-A77E-63D3F7256030}" name="Imputed Rent Savings" dataDxfId="55">
      <calculatedColumnFormula>Model_Renter!D2*-1</calculatedColumnFormula>
    </tableColumn>
    <tableColumn id="36" xr3:uid="{68356333-67BF-4694-856B-9CB849E1C4B8}" name="IRR" dataDxfId="54">
      <calculatedColumnFormula>SUM(AH2:AI2)</calculatedColumnFormula>
    </tableColumn>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3DA5542-2AFB-4C5E-946C-6F188BB364A6}" name="Model_15y" displayName="Model_15y" ref="A1:AJ542" totalsRowShown="0" headerRowDxfId="53">
  <autoFilter ref="A1:AJ542" xr:uid="{13DA5542-2AFB-4C5E-946C-6F188BB364A6}"/>
  <tableColumns count="36">
    <tableColumn id="1" xr3:uid="{F90BB4A2-D9EE-4BF9-9A70-D3D9B8B545C0}" name="Period" dataDxfId="52">
      <calculatedColumnFormula>A1+1</calculatedColumnFormula>
    </tableColumn>
    <tableColumn id="2" xr3:uid="{3BFDD826-41A0-49A9-AFD6-4968FC4AB11F}" name="Year" dataDxfId="51">
      <calculatedColumnFormula>ROUNDUP(A2/12,0)</calculatedColumnFormula>
    </tableColumn>
    <tableColumn id="3" xr3:uid="{4EFC2046-3FFE-4DE3-8B11-B8BB5FDF0757}" name="Interest Payment" dataDxfId="50" dataCellStyle="Currency">
      <calculatedColumnFormula>IFERROR(PPMT(Assumptions!$E$17, A2, 180, Assumptions!$D$8), 0)</calculatedColumnFormula>
    </tableColumn>
    <tableColumn id="4" xr3:uid="{6384259E-1226-4956-BDF9-0849C5A69CA8}" name="Principal Payment" dataDxfId="49" dataCellStyle="Currency">
      <calculatedColumnFormula>IFERROR(IPMT(Assumptions!$E$17,A2,180,Assumptions!$D$8), 0)</calculatedColumnFormula>
    </tableColumn>
    <tableColumn id="5" xr3:uid="{B34B733C-8A28-44B9-9737-94DDB28095AE}" name="Interest + Principle" dataDxfId="48" dataCellStyle="Currency">
      <calculatedColumnFormula>SUM(C2:D2)</calculatedColumnFormula>
    </tableColumn>
    <tableColumn id="6" xr3:uid="{6CCD369F-59DB-4E39-8CCB-BBC63E495696}" name="Mortgage Payment" dataDxfId="47" dataCellStyle="Currency">
      <calculatedColumnFormula>IF(I1&gt;1, Assumptions!$E$19, 0)*-1</calculatedColumnFormula>
    </tableColumn>
    <tableColumn id="7" xr3:uid="{9FFDFB53-8B57-46AB-8BB4-31BB4D8ECC12}" name="Payment Check" dataDxfId="46" dataCellStyle="Currency">
      <calculatedColumnFormula>IF(E2-F2&lt;1, 1, 0)</calculatedColumnFormula>
    </tableColumn>
    <tableColumn id="8" xr3:uid="{1B6B9044-BC7E-4F85-8F6C-0D8AB4BA2504}" name="Principle Paid" dataDxfId="45">
      <calculatedColumnFormula>H1+C2*-1</calculatedColumnFormula>
    </tableColumn>
    <tableColumn id="9" xr3:uid="{6CE16BB9-8A38-45FA-A00A-B9B065B150E7}" name="Outstanding Principle" dataDxfId="44" dataCellStyle="Currency">
      <calculatedColumnFormula>MAX(Assumptions!$D$8-SUM(Model_15y!H2), 0)</calculatedColumnFormula>
    </tableColumn>
    <tableColumn id="10" xr3:uid="{E9EBB1F5-F2A2-4644-8A02-D8449FA8BCF0}" name="Home Value" dataDxfId="43" dataCellStyle="Currency">
      <calculatedColumnFormula>J1*(1+(Assumptions!$E$51))</calculatedColumnFormula>
    </tableColumn>
    <tableColumn id="11" xr3:uid="{716731CC-8737-47E9-BA9C-FE7D7B2A5D31}" name="Net Home Equity" dataDxfId="42">
      <calculatedColumnFormula>J2-I2</calculatedColumnFormula>
    </tableColumn>
    <tableColumn id="12" xr3:uid="{A8DC2525-5D7E-4B89-A044-B3EA7E594FEA}" name="PMI Equity" dataDxfId="41">
      <calculatedColumnFormula>L1+C2*-1</calculatedColumnFormula>
    </tableColumn>
    <tableColumn id="13" xr3:uid="{6E619F29-5CA6-4B49-8951-E9CE12200B86}" name="Home Equity Ratio" dataDxfId="40" dataCellStyle="Percent">
      <calculatedColumnFormula>L2/Assumptions!$D$6</calculatedColumnFormula>
    </tableColumn>
    <tableColumn id="14" xr3:uid="{98236474-860E-43FB-A9E9-B9FF97D8F54A}" name="PMI Applicable?" dataDxfId="39" dataCellStyle="Currency">
      <calculatedColumnFormula>IF(M2&lt;0.2, 1, 0)</calculatedColumnFormula>
    </tableColumn>
    <tableColumn id="15" xr3:uid="{FF615E25-FB57-4D4C-87F7-26C36E2BA8C4}" name="PMI Payment" dataDxfId="38">
      <calculatedColumnFormula>N2*Assumptions!$E$25*-1</calculatedColumnFormula>
    </tableColumn>
    <tableColumn id="16" xr3:uid="{002D8427-4495-4B8D-9BC8-32E69545CB72}" name="Repairs &amp; Maintenance" dataDxfId="37">
      <calculatedColumnFormula>Assumptions!$E$35*J2*-1</calculatedColumnFormula>
    </tableColumn>
    <tableColumn id="17" xr3:uid="{DD7975DD-398C-426C-9DD9-C16AD52989CC}" name="Property Tax" dataDxfId="36">
      <calculatedColumnFormula>J2*Assumptions!$E$36*-1</calculatedColumnFormula>
    </tableColumn>
    <tableColumn id="18" xr3:uid="{97F49D09-DA31-4EDB-AEAE-9439AEB3AC77}" name="Homeowners Insurance" dataDxfId="35"/>
    <tableColumn id="19" xr3:uid="{1E3BA055-6168-41E8-89EE-607C47537A3A}" name="HOA Fees" dataDxfId="34"/>
    <tableColumn id="20" xr3:uid="{24CFC9EB-99A3-4709-937A-BD5056CE3824}" name="PMI" dataDxfId="33">
      <calculatedColumnFormula>O2</calculatedColumnFormula>
    </tableColumn>
    <tableColumn id="21" xr3:uid="{3BCD88E4-ED01-4609-8652-C5261C090AE5}" name="Total Upkeep" dataDxfId="32">
      <calculatedColumnFormula>SUM(P2:T2)</calculatedColumnFormula>
    </tableColumn>
    <tableColumn id="22" xr3:uid="{80B84D40-1651-47D7-9375-5F6B29B90B96}" name="Investable Funds" dataDxfId="31">
      <calculatedColumnFormula>MAX(Assumptions!$E$18:$E$19)-U2</calculatedColumnFormula>
    </tableColumn>
    <tableColumn id="23" xr3:uid="{94803BC6-7ADA-4AB3-BA82-11EDD8BD8AB8}" name="Less Mortgage Payment" dataDxfId="30">
      <calculatedColumnFormula>F2</calculatedColumnFormula>
    </tableColumn>
    <tableColumn id="24" xr3:uid="{6243426D-2100-408E-A93F-C725F7E8C573}" name="Less Upkeep" dataDxfId="29">
      <calculatedColumnFormula>U2</calculatedColumnFormula>
    </tableColumn>
    <tableColumn id="25" xr3:uid="{EC18AF82-FE72-4888-81AA-F989A8EDA69F}" name="Plus Credit from Interest Deduction" dataDxfId="28">
      <calculatedColumnFormula>D2*Assumptions!$D$44*-1</calculatedColumnFormula>
    </tableColumn>
    <tableColumn id="26" xr3:uid="{EED22803-CC88-49DF-84AE-3E16D9321B5E}" name="Monthly Investment" dataDxfId="27">
      <calculatedColumnFormula>SUM(V2:Y2)</calculatedColumnFormula>
    </tableColumn>
    <tableColumn id="27" xr3:uid="{702597B4-7176-4314-BB79-8ACA89A5ECD3}" name="Previous Period Portfolio Value" dataDxfId="26">
      <calculatedColumnFormula>AG1</calculatedColumnFormula>
    </tableColumn>
    <tableColumn id="28" xr3:uid="{B4F06F90-4AB1-4148-9306-011597D08EEE}" name="Portfolio Growth" dataDxfId="25" dataCellStyle="Percent">
      <calculatedColumnFormula>Assumptions!$E$45</calculatedColumnFormula>
    </tableColumn>
    <tableColumn id="29" xr3:uid="{D112575E-6013-4CBA-BB9F-BE74A50EDC8F}" name="Portfolio Value (Pre Tax &amp; Fees)" dataDxfId="24">
      <calculatedColumnFormula>(AA2+Z2)+(AA2*AB2)</calculatedColumnFormula>
    </tableColumn>
    <tableColumn id="30" xr3:uid="{141B8C1A-960C-4E2E-92E1-2CC1A78C46C0}" name="Dividends" dataDxfId="23">
      <calculatedColumnFormula>AC2*Assumptions!$E$43</calculatedColumnFormula>
    </tableColumn>
    <tableColumn id="31" xr3:uid="{254244DD-C6ED-4BB4-8AA4-521FF567B14A}" name="Income Tax" dataDxfId="22" dataCellStyle="Currency">
      <calculatedColumnFormula>AD2*Assumptions!$D$44*-1</calculatedColumnFormula>
    </tableColumn>
    <tableColumn id="32" xr3:uid="{FB118D1B-0EB6-4E16-AA8D-8AEA644C2EF0}" name="Investment Fees" dataDxfId="21" dataCellStyle="Currency">
      <calculatedColumnFormula>AC2*Assumptions!$E$46*-1</calculatedColumnFormula>
    </tableColumn>
    <tableColumn id="33" xr3:uid="{6B86138F-98AE-4C7D-990C-516ECBD837BA}" name="Portfolio Value (After Tax &amp; Fees)" dataDxfId="20">
      <calculatedColumnFormula>AC2+SUM(AE2:AF2)</calculatedColumnFormula>
    </tableColumn>
    <tableColumn id="34" xr3:uid="{96C77DAE-55C9-4CE5-BB2F-B3120C9DE827}" name="Outflows" dataDxfId="19">
      <calculatedColumnFormula>U2-Z2</calculatedColumnFormula>
    </tableColumn>
    <tableColumn id="35" xr3:uid="{AF11F0B3-6087-4576-979D-C84DF3C19EA2}" name="Imputed Rent Savings" dataDxfId="18">
      <calculatedColumnFormula>Model_Renter!D2*-1</calculatedColumnFormula>
    </tableColumn>
    <tableColumn id="36" xr3:uid="{E88F48FC-F350-453F-87B1-7850C64D82D5}" name="IRR" dataDxfId="17">
      <calculatedColumnFormula>SUM(AH2:AI2)</calculatedColumnFormula>
    </tableColumn>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0B083CB-CC94-49F3-BE1F-C8B5EDF81230}" name="Model_Renter" displayName="Model_Renter" ref="A1:P542" totalsRowShown="0" headerRowDxfId="16">
  <autoFilter ref="A1:P542" xr:uid="{20B083CB-CC94-49F3-BE1F-C8B5EDF81230}"/>
  <tableColumns count="16">
    <tableColumn id="1" xr3:uid="{7F65B918-EBF6-418C-B726-C191682B42B8}" name="Period" dataDxfId="15">
      <calculatedColumnFormula>A1+1</calculatedColumnFormula>
    </tableColumn>
    <tableColumn id="2" xr3:uid="{0BB626D1-8BA2-4738-91D2-8E09423D123D}" name="Year" dataDxfId="14">
      <calculatedColumnFormula>ROUNDUP(A2/12, 0)</calculatedColumnFormula>
    </tableColumn>
    <tableColumn id="3" xr3:uid="{B9F42D44-FC75-498C-86D5-A12C92E73699}" name="Investable Funds" dataDxfId="13" dataCellStyle="Currency">
      <calculatedColumnFormula>MAX(Model_30y!V2, Model_15y!V2)</calculatedColumnFormula>
    </tableColumn>
    <tableColumn id="4" xr3:uid="{6A675713-5D86-4936-99E5-3B6BC197DB7C}" name="Less Rent Payment" dataDxfId="12" dataCellStyle="Currency"/>
    <tableColumn id="5" xr3:uid="{6CF5809E-64E6-425E-B151-C210B4B0638F}" name="Less Renter's Insurance" dataDxfId="11" dataCellStyle="Currency"/>
    <tableColumn id="6" xr3:uid="{0C1952D5-64FE-40D9-94AF-B33602BBC1FC}" name="Monthly Investment" dataDxfId="10">
      <calculatedColumnFormula>SUM(C2:E2)</calculatedColumnFormula>
    </tableColumn>
    <tableColumn id="7" xr3:uid="{565E3E89-6EED-475C-ADBA-91B597B0E5D3}" name="Previous Period Portfolio Value" dataDxfId="9">
      <calculatedColumnFormula>N1</calculatedColumnFormula>
    </tableColumn>
    <tableColumn id="8" xr3:uid="{B36CA9D9-1622-4598-BB17-2F980D918DEA}" name="Plus Monthly Investment" dataDxfId="8">
      <calculatedColumnFormula>F2</calculatedColumnFormula>
    </tableColumn>
    <tableColumn id="9" xr3:uid="{92D2DDE4-E789-4BFC-A61E-C90F9B157209}" name="Portfolio Growth" dataDxfId="7" dataCellStyle="Percent">
      <calculatedColumnFormula>Assumptions!$E$45</calculatedColumnFormula>
    </tableColumn>
    <tableColumn id="10" xr3:uid="{ECE413E7-DA4C-48F5-A6C7-E2DDC03AD8FD}" name="Portfolio Value (Pre Tax &amp; Fees)" dataDxfId="6">
      <calculatedColumnFormula>(G2+H2)+(G2*I2)</calculatedColumnFormula>
    </tableColumn>
    <tableColumn id="11" xr3:uid="{506DF8C0-DCA4-43D4-933B-8D697DB27D67}" name="Dividends" dataDxfId="5">
      <calculatedColumnFormula>J2*Assumptions!$E$43</calculatedColumnFormula>
    </tableColumn>
    <tableColumn id="12" xr3:uid="{E77A376C-0172-4635-8CAE-A0A1DFA1FFA9}" name="Income Tax" dataDxfId="4">
      <calculatedColumnFormula>K2*Assumptions!$D$44*-1</calculatedColumnFormula>
    </tableColumn>
    <tableColumn id="13" xr3:uid="{64DEA930-EA88-40B4-8F85-561C32617D29}" name="Investment Fees" dataDxfId="3" dataCellStyle="Currency">
      <calculatedColumnFormula>J2*Assumptions!$E$46*-1</calculatedColumnFormula>
    </tableColumn>
    <tableColumn id="14" xr3:uid="{18EB2332-FC7F-4995-A06D-EDCFFD1BBA86}" name="Portfolio Value (After Tax &amp; Fees)" dataDxfId="2">
      <calculatedColumnFormula>J2+SUM(L2:M2)</calculatedColumnFormula>
    </tableColumn>
    <tableColumn id="15" xr3:uid="{BDF7A6C2-C339-4D40-9681-B7FF27AD9676}" name="Security Deposit" dataDxfId="1">
      <calculatedColumnFormula>Assumptions!$D$30</calculatedColumnFormula>
    </tableColumn>
    <tableColumn id="16" xr3:uid="{56BD95F3-D752-4724-9245-7C142A2A5B51}" name="IRR" dataDxfId="0" dataCellStyle="Currency">
      <calculatedColumnFormula>F2*-1</calculatedColumnFormula>
    </tableColumn>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icholasabeaver.com/portfolio/rent-vs-purchase-of-a-home-projection-over-31-years/" TargetMode="External"/><Relationship Id="rId1" Type="http://schemas.openxmlformats.org/officeDocument/2006/relationships/hyperlink" Target="https://www.nicholasabeaver.com/contac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499984740745262"/>
    <pageSetUpPr fitToPage="1"/>
  </sheetPr>
  <dimension ref="B2:R34"/>
  <sheetViews>
    <sheetView showGridLines="0" showRowColHeaders="0" tabSelected="1" zoomScaleNormal="100" workbookViewId="0"/>
  </sheetViews>
  <sheetFormatPr defaultRowHeight="15" x14ac:dyDescent="0.25"/>
  <sheetData>
    <row r="2" spans="2:18" ht="18.75" x14ac:dyDescent="0.3">
      <c r="B2" s="75" t="str">
        <f>"Rent vs. Purchase of a Home: Projection Over "&amp;Results!$D$2&amp;" Years"</f>
        <v>Rent vs. Purchase of a Home: Projection Over 31 Years</v>
      </c>
      <c r="C2" s="76"/>
      <c r="D2" s="76"/>
      <c r="E2" s="76"/>
      <c r="F2" s="76"/>
      <c r="G2" s="76"/>
      <c r="H2" s="76"/>
      <c r="I2" s="76"/>
      <c r="J2" s="76"/>
      <c r="K2" s="76"/>
      <c r="L2" s="76"/>
      <c r="M2" s="76"/>
      <c r="N2" s="76"/>
      <c r="O2" s="76"/>
      <c r="P2" s="76"/>
      <c r="Q2" s="76"/>
      <c r="R2" s="77"/>
    </row>
    <row r="3" spans="2:18" x14ac:dyDescent="0.25">
      <c r="B3" s="78"/>
      <c r="C3" s="8"/>
      <c r="D3" s="8"/>
      <c r="E3" s="8"/>
      <c r="F3" s="8"/>
      <c r="G3" s="8"/>
      <c r="H3" s="8"/>
      <c r="I3" s="8"/>
      <c r="J3" s="8"/>
      <c r="K3" s="8"/>
      <c r="L3" s="8"/>
      <c r="M3" s="8"/>
      <c r="N3" s="8"/>
      <c r="O3" s="8"/>
      <c r="P3" s="8"/>
      <c r="Q3" s="8"/>
      <c r="R3" s="79"/>
    </row>
    <row r="4" spans="2:18" x14ac:dyDescent="0.25">
      <c r="B4" s="80"/>
      <c r="C4" s="8"/>
      <c r="D4" s="8"/>
      <c r="E4" s="8"/>
      <c r="F4" s="8"/>
      <c r="G4" s="8"/>
      <c r="H4" s="8"/>
      <c r="I4" s="8"/>
      <c r="J4" s="8"/>
      <c r="K4" s="8"/>
      <c r="L4" s="8"/>
      <c r="M4" s="8"/>
      <c r="N4" s="8"/>
      <c r="O4" s="8"/>
      <c r="P4" s="8"/>
      <c r="Q4" s="8"/>
      <c r="R4" s="79"/>
    </row>
    <row r="5" spans="2:18" x14ac:dyDescent="0.25">
      <c r="B5" s="80"/>
      <c r="C5" s="8"/>
      <c r="D5" s="8"/>
      <c r="E5" s="8"/>
      <c r="F5" s="8"/>
      <c r="G5" s="8"/>
      <c r="H5" s="8"/>
      <c r="I5" s="8"/>
      <c r="J5" s="8"/>
      <c r="K5" s="8"/>
      <c r="L5" s="8"/>
      <c r="M5" s="8"/>
      <c r="N5" s="8"/>
      <c r="O5" s="8"/>
      <c r="P5" s="8"/>
      <c r="Q5" s="8"/>
      <c r="R5" s="79"/>
    </row>
    <row r="6" spans="2:18" x14ac:dyDescent="0.25">
      <c r="B6" s="80"/>
      <c r="C6" s="8"/>
      <c r="D6" s="8"/>
      <c r="E6" s="8"/>
      <c r="F6" s="8"/>
      <c r="G6" s="8"/>
      <c r="H6" s="8"/>
      <c r="I6" s="8"/>
      <c r="J6" s="8"/>
      <c r="K6" s="8"/>
      <c r="L6" s="8"/>
      <c r="M6" s="8"/>
      <c r="N6" s="8"/>
      <c r="O6" s="8"/>
      <c r="P6" s="8"/>
      <c r="Q6" s="8"/>
      <c r="R6" s="79"/>
    </row>
    <row r="7" spans="2:18" x14ac:dyDescent="0.25">
      <c r="B7" s="80"/>
      <c r="C7" s="8"/>
      <c r="D7" s="8"/>
      <c r="E7" s="8"/>
      <c r="F7" s="8"/>
      <c r="G7" s="8"/>
      <c r="H7" s="8"/>
      <c r="I7" s="8"/>
      <c r="J7" s="8"/>
      <c r="K7" s="8"/>
      <c r="L7" s="8"/>
      <c r="M7" s="8"/>
      <c r="N7" s="8"/>
      <c r="O7" s="8"/>
      <c r="P7" s="8"/>
      <c r="Q7" s="8"/>
      <c r="R7" s="79"/>
    </row>
    <row r="8" spans="2:18" x14ac:dyDescent="0.25">
      <c r="B8" s="80"/>
      <c r="C8" s="8"/>
      <c r="D8" s="8"/>
      <c r="E8" s="8"/>
      <c r="F8" s="8"/>
      <c r="G8" s="8"/>
      <c r="H8" s="8"/>
      <c r="I8" s="8"/>
      <c r="J8" s="8"/>
      <c r="K8" s="8"/>
      <c r="L8" s="8"/>
      <c r="M8" s="8"/>
      <c r="N8" s="8"/>
      <c r="O8" s="8"/>
      <c r="P8" s="8"/>
      <c r="Q8" s="8"/>
      <c r="R8" s="79"/>
    </row>
    <row r="9" spans="2:18" x14ac:dyDescent="0.25">
      <c r="B9" s="80"/>
      <c r="C9" s="8"/>
      <c r="D9" s="8"/>
      <c r="E9" s="8"/>
      <c r="F9" s="8"/>
      <c r="G9" s="8"/>
      <c r="H9" s="8"/>
      <c r="I9" s="8"/>
      <c r="J9" s="8"/>
      <c r="K9" s="8"/>
      <c r="L9" s="8"/>
      <c r="M9" s="8"/>
      <c r="N9" s="8"/>
      <c r="O9" s="8"/>
      <c r="P9" s="8"/>
      <c r="Q9" s="8"/>
      <c r="R9" s="79"/>
    </row>
    <row r="10" spans="2:18" x14ac:dyDescent="0.25">
      <c r="B10" s="80"/>
      <c r="C10" s="8"/>
      <c r="D10" s="8"/>
      <c r="E10" s="8"/>
      <c r="F10" s="8"/>
      <c r="G10" s="8"/>
      <c r="H10" s="8"/>
      <c r="I10" s="8"/>
      <c r="J10" s="8"/>
      <c r="K10" s="8"/>
      <c r="L10" s="8"/>
      <c r="M10" s="8"/>
      <c r="N10" s="8"/>
      <c r="O10" s="8"/>
      <c r="P10" s="8"/>
      <c r="Q10" s="8"/>
      <c r="R10" s="79"/>
    </row>
    <row r="11" spans="2:18" x14ac:dyDescent="0.25">
      <c r="B11" s="80"/>
      <c r="C11" s="8"/>
      <c r="D11" s="8"/>
      <c r="E11" s="8"/>
      <c r="F11" s="8"/>
      <c r="G11" s="8"/>
      <c r="H11" s="8"/>
      <c r="I11" s="8"/>
      <c r="J11" s="8"/>
      <c r="K11" s="8"/>
      <c r="L11" s="8"/>
      <c r="M11" s="8"/>
      <c r="N11" s="8"/>
      <c r="O11" s="8"/>
      <c r="P11" s="8"/>
      <c r="Q11" s="8"/>
      <c r="R11" s="79"/>
    </row>
    <row r="12" spans="2:18" x14ac:dyDescent="0.25">
      <c r="B12" s="80"/>
      <c r="C12" s="8"/>
      <c r="D12" s="8"/>
      <c r="E12" s="8"/>
      <c r="F12" s="8"/>
      <c r="G12" s="8"/>
      <c r="H12" s="8"/>
      <c r="I12" s="8"/>
      <c r="J12" s="8"/>
      <c r="K12" s="8"/>
      <c r="L12" s="8"/>
      <c r="M12" s="8"/>
      <c r="N12" s="8"/>
      <c r="O12" s="8"/>
      <c r="P12" s="8"/>
      <c r="Q12" s="8"/>
      <c r="R12" s="79"/>
    </row>
    <row r="13" spans="2:18" x14ac:dyDescent="0.25">
      <c r="B13" s="80"/>
      <c r="C13" s="8"/>
      <c r="D13" s="8"/>
      <c r="E13" s="8"/>
      <c r="F13" s="8"/>
      <c r="G13" s="8"/>
      <c r="H13" s="8"/>
      <c r="I13" s="8"/>
      <c r="J13" s="8"/>
      <c r="K13" s="8"/>
      <c r="L13" s="8"/>
      <c r="M13" s="8"/>
      <c r="N13" s="8"/>
      <c r="O13" s="8"/>
      <c r="P13" s="8"/>
      <c r="Q13" s="8"/>
      <c r="R13" s="79"/>
    </row>
    <row r="14" spans="2:18" x14ac:dyDescent="0.25">
      <c r="B14" s="81"/>
      <c r="C14" s="8"/>
      <c r="D14" s="8"/>
      <c r="E14" s="8"/>
      <c r="F14" s="8"/>
      <c r="G14" s="8"/>
      <c r="H14" s="8"/>
      <c r="I14" s="8"/>
      <c r="J14" s="8"/>
      <c r="K14" s="8"/>
      <c r="L14" s="8"/>
      <c r="M14" s="8"/>
      <c r="N14" s="8"/>
      <c r="O14" s="8"/>
      <c r="P14" s="8"/>
      <c r="Q14" s="8"/>
      <c r="R14" s="79"/>
    </row>
    <row r="15" spans="2:18" x14ac:dyDescent="0.25">
      <c r="B15" s="81"/>
      <c r="C15" s="8"/>
      <c r="D15" s="8"/>
      <c r="E15" s="8"/>
      <c r="F15" s="8"/>
      <c r="G15" s="8"/>
      <c r="H15" s="8"/>
      <c r="I15" s="8"/>
      <c r="J15" s="8"/>
      <c r="K15" s="8"/>
      <c r="L15" s="8"/>
      <c r="M15" s="8"/>
      <c r="N15" s="8"/>
      <c r="O15" s="8"/>
      <c r="P15" s="8"/>
      <c r="Q15" s="8"/>
      <c r="R15" s="79"/>
    </row>
    <row r="16" spans="2:18" x14ac:dyDescent="0.25">
      <c r="B16" s="82" t="s">
        <v>41</v>
      </c>
      <c r="C16" s="8"/>
      <c r="D16" s="8"/>
      <c r="E16" s="8"/>
      <c r="F16" s="8"/>
      <c r="G16" s="8"/>
      <c r="H16" s="8"/>
      <c r="I16" s="8"/>
      <c r="J16" s="71" t="s">
        <v>47</v>
      </c>
      <c r="K16" s="8"/>
      <c r="L16" s="8"/>
      <c r="M16" s="8"/>
      <c r="N16" s="8"/>
      <c r="O16" s="8"/>
      <c r="P16" s="8"/>
      <c r="Q16" s="8"/>
      <c r="R16" s="79"/>
    </row>
    <row r="17" spans="2:18" x14ac:dyDescent="0.25">
      <c r="B17" s="83" t="s">
        <v>177</v>
      </c>
      <c r="C17" s="72"/>
      <c r="D17" s="72"/>
      <c r="E17" s="73"/>
      <c r="F17" s="70"/>
      <c r="G17" s="8"/>
      <c r="H17" s="8"/>
      <c r="I17" s="8"/>
      <c r="J17" s="8"/>
      <c r="K17" s="8"/>
      <c r="L17" s="8"/>
      <c r="M17" s="28" t="s">
        <v>39</v>
      </c>
      <c r="N17" s="28" t="s">
        <v>40</v>
      </c>
      <c r="O17" s="28" t="s">
        <v>31</v>
      </c>
      <c r="P17" s="8"/>
      <c r="Q17" s="8"/>
      <c r="R17" s="79"/>
    </row>
    <row r="18" spans="2:18" x14ac:dyDescent="0.25">
      <c r="B18" s="83" t="s">
        <v>42</v>
      </c>
      <c r="C18" s="72"/>
      <c r="D18" s="72"/>
      <c r="E18" s="73"/>
      <c r="F18" s="70"/>
      <c r="G18" s="8"/>
      <c r="H18" s="8"/>
      <c r="I18" s="8"/>
      <c r="J18" s="8" t="s">
        <v>38</v>
      </c>
      <c r="K18" s="8"/>
      <c r="L18" s="8"/>
      <c r="M18" s="40">
        <f>IF(SUM(Model_30y!$G$2:$G$542)=541, 1, 0)</f>
        <v>1</v>
      </c>
      <c r="N18" s="40">
        <f>IF(SUM(Model_15y!$G$2:$G$542)=541, 1, 0)</f>
        <v>1</v>
      </c>
      <c r="O18" s="6" t="s">
        <v>21</v>
      </c>
      <c r="P18" s="8"/>
      <c r="Q18" s="8"/>
      <c r="R18" s="79"/>
    </row>
    <row r="19" spans="2:18" x14ac:dyDescent="0.25">
      <c r="B19" s="83" t="s">
        <v>43</v>
      </c>
      <c r="C19" s="72"/>
      <c r="D19" s="72"/>
      <c r="E19" s="73"/>
      <c r="F19" s="70"/>
      <c r="G19" s="8"/>
      <c r="H19" s="8"/>
      <c r="I19" s="8"/>
      <c r="J19" s="8" t="s">
        <v>49</v>
      </c>
      <c r="K19" s="8"/>
      <c r="L19" s="8"/>
      <c r="M19" s="40">
        <f>IF((SUM(Monthly_Investment_Check!F3:F542))=MAX(Monthly_Investment_Check!A:A), 1, 0)</f>
        <v>1</v>
      </c>
      <c r="N19" s="40">
        <f>M19</f>
        <v>1</v>
      </c>
      <c r="O19" s="40">
        <f>N19</f>
        <v>1</v>
      </c>
      <c r="P19" s="8"/>
      <c r="Q19" s="8"/>
      <c r="R19" s="79"/>
    </row>
    <row r="20" spans="2:18" x14ac:dyDescent="0.25">
      <c r="B20" s="83" t="s">
        <v>44</v>
      </c>
      <c r="C20" s="72"/>
      <c r="D20" s="72"/>
      <c r="E20" s="73"/>
      <c r="F20" s="70"/>
      <c r="G20" s="8"/>
      <c r="H20" s="8"/>
      <c r="I20" s="8"/>
      <c r="J20" s="8" t="s">
        <v>28</v>
      </c>
      <c r="K20" s="8"/>
      <c r="L20" s="8"/>
      <c r="M20" s="40">
        <f>IF(MAX(Net_Worth_Calculations!$C:$C)=(MAX(Model_30y!$K:$K)+MAX(Model_30y!$AG:$AG)), 1, 0)</f>
        <v>1</v>
      </c>
      <c r="N20" s="40">
        <f>IF(MAX(Net_Worth_Calculations!$D:$D)=(MAX(Model_15y!$K:$K)+MAX(Model_15y!$AG:$AG)), 1, 0)</f>
        <v>1</v>
      </c>
      <c r="O20" s="40">
        <f>IF(MAX(Net_Worth_Calculations!$E:$E)=((MAX(Model_Renter!N:N)+Assumptions!$D$30)), 1, 0)</f>
        <v>1</v>
      </c>
      <c r="P20" s="8"/>
      <c r="Q20" s="8"/>
      <c r="R20" s="79"/>
    </row>
    <row r="21" spans="2:18" x14ac:dyDescent="0.25">
      <c r="B21" s="83" t="s">
        <v>45</v>
      </c>
      <c r="C21" s="72"/>
      <c r="D21" s="72"/>
      <c r="E21" s="73"/>
      <c r="F21" s="70"/>
      <c r="G21" s="8"/>
      <c r="H21" s="8"/>
      <c r="I21" s="8"/>
      <c r="J21" s="8" t="s">
        <v>68</v>
      </c>
      <c r="K21" s="8"/>
      <c r="L21" s="8"/>
      <c r="M21" s="40">
        <f>IF(SUM(IRR_Calculations!F2:F47)=46, 1, 0)</f>
        <v>1</v>
      </c>
      <c r="N21" s="40">
        <f>IF(SUM(IRR_Calculations!K2:K47)=46, 1, 0)</f>
        <v>1</v>
      </c>
      <c r="O21" s="40">
        <f>IF(SUM(IRR_Calculations!P2:P47)=46, 1, 0)</f>
        <v>1</v>
      </c>
      <c r="P21" s="8"/>
      <c r="Q21" s="8"/>
      <c r="R21" s="79"/>
    </row>
    <row r="22" spans="2:18" x14ac:dyDescent="0.25">
      <c r="B22" s="83" t="s">
        <v>46</v>
      </c>
      <c r="C22" s="72"/>
      <c r="D22" s="72"/>
      <c r="E22" s="73"/>
      <c r="F22" s="70"/>
      <c r="G22" s="8"/>
      <c r="H22" s="8"/>
      <c r="I22" s="8"/>
      <c r="J22" s="8"/>
      <c r="K22" s="8"/>
      <c r="L22" s="8"/>
      <c r="M22" s="8"/>
      <c r="N22" s="8"/>
      <c r="O22" s="8"/>
      <c r="P22" s="8"/>
      <c r="Q22" s="8"/>
      <c r="R22" s="79"/>
    </row>
    <row r="23" spans="2:18" x14ac:dyDescent="0.25">
      <c r="B23" s="80"/>
      <c r="C23" s="8"/>
      <c r="D23" s="8"/>
      <c r="E23" s="8"/>
      <c r="F23" s="8"/>
      <c r="G23" s="8"/>
      <c r="H23" s="8"/>
      <c r="I23" s="8"/>
      <c r="J23" s="8"/>
      <c r="K23" s="8"/>
      <c r="L23" s="8"/>
      <c r="M23" s="8"/>
      <c r="N23" s="8"/>
      <c r="O23" s="8"/>
      <c r="P23" s="8"/>
      <c r="Q23" s="8"/>
      <c r="R23" s="79"/>
    </row>
    <row r="24" spans="2:18" x14ac:dyDescent="0.25">
      <c r="B24" s="80"/>
      <c r="C24" s="8"/>
      <c r="D24" s="8"/>
      <c r="E24" s="8"/>
      <c r="F24" s="8"/>
      <c r="G24" s="8"/>
      <c r="H24" s="8"/>
      <c r="I24" s="8"/>
      <c r="J24" s="8"/>
      <c r="K24" s="8"/>
      <c r="L24" s="8"/>
      <c r="M24" s="8"/>
      <c r="N24" s="8"/>
      <c r="O24" s="8"/>
      <c r="P24" s="8"/>
      <c r="Q24" s="8"/>
      <c r="R24" s="79"/>
    </row>
    <row r="25" spans="2:18" x14ac:dyDescent="0.25">
      <c r="B25" s="80"/>
      <c r="C25" s="8"/>
      <c r="D25" s="8"/>
      <c r="E25" s="8"/>
      <c r="F25" s="8"/>
      <c r="G25" s="8"/>
      <c r="H25" s="8"/>
      <c r="I25" s="8"/>
      <c r="J25" s="8"/>
      <c r="K25" s="8"/>
      <c r="L25" s="8"/>
      <c r="M25" s="8"/>
      <c r="N25" s="8"/>
      <c r="O25" s="8"/>
      <c r="P25" s="8"/>
      <c r="Q25" s="8"/>
      <c r="R25" s="79"/>
    </row>
    <row r="26" spans="2:18" x14ac:dyDescent="0.25">
      <c r="B26" s="83" t="s">
        <v>61</v>
      </c>
      <c r="C26" s="74"/>
      <c r="D26" s="74"/>
      <c r="E26" s="74"/>
      <c r="F26" s="74"/>
      <c r="G26" s="8"/>
      <c r="H26" s="8"/>
      <c r="I26" s="8"/>
      <c r="J26" s="8"/>
      <c r="K26" s="8"/>
      <c r="L26" s="8"/>
      <c r="M26" s="8"/>
      <c r="N26" s="8"/>
      <c r="O26" s="8"/>
      <c r="P26" s="8"/>
      <c r="Q26" s="8"/>
      <c r="R26" s="79"/>
    </row>
    <row r="27" spans="2:18" x14ac:dyDescent="0.25">
      <c r="B27" s="84"/>
      <c r="C27" s="8"/>
      <c r="D27" s="8"/>
      <c r="E27" s="8"/>
      <c r="F27" s="8"/>
      <c r="G27" s="8"/>
      <c r="H27" s="8"/>
      <c r="I27" s="8"/>
      <c r="J27" s="8"/>
      <c r="K27" s="8"/>
      <c r="L27" s="8"/>
      <c r="M27" s="8"/>
      <c r="N27" s="8"/>
      <c r="O27" s="8"/>
      <c r="P27" s="8"/>
      <c r="Q27" s="8"/>
      <c r="R27" s="79"/>
    </row>
    <row r="28" spans="2:18" x14ac:dyDescent="0.25">
      <c r="B28" s="83" t="s">
        <v>62</v>
      </c>
      <c r="C28" s="74"/>
      <c r="D28" s="74"/>
      <c r="E28" s="74"/>
      <c r="F28" s="74"/>
      <c r="G28" s="8"/>
      <c r="H28" s="8"/>
      <c r="I28" s="8"/>
      <c r="J28" s="8"/>
      <c r="K28" s="8"/>
      <c r="L28" s="8"/>
      <c r="M28" s="8"/>
      <c r="N28" s="8"/>
      <c r="O28" s="8"/>
      <c r="P28" s="8"/>
      <c r="Q28" s="8"/>
      <c r="R28" s="79"/>
    </row>
    <row r="29" spans="2:18" x14ac:dyDescent="0.25">
      <c r="B29" s="80"/>
      <c r="C29" s="8"/>
      <c r="D29" s="8"/>
      <c r="E29" s="8"/>
      <c r="F29" s="8"/>
      <c r="G29" s="8"/>
      <c r="H29" s="8"/>
      <c r="I29" s="8"/>
      <c r="J29" s="8"/>
      <c r="K29" s="8"/>
      <c r="L29" s="8"/>
      <c r="M29" s="8"/>
      <c r="N29" s="8"/>
      <c r="O29" s="8"/>
      <c r="P29" s="8"/>
      <c r="Q29" s="8"/>
      <c r="R29" s="79"/>
    </row>
    <row r="30" spans="2:18" x14ac:dyDescent="0.25">
      <c r="B30" s="80"/>
      <c r="C30" s="8"/>
      <c r="D30" s="8"/>
      <c r="E30" s="8"/>
      <c r="F30" s="8"/>
      <c r="G30" s="8"/>
      <c r="H30" s="8"/>
      <c r="I30" s="8"/>
      <c r="J30" s="8"/>
      <c r="K30" s="8"/>
      <c r="L30" s="8"/>
      <c r="M30" s="8"/>
      <c r="N30" s="8"/>
      <c r="O30" s="8"/>
      <c r="P30" s="8"/>
      <c r="Q30" s="8"/>
      <c r="R30" s="79"/>
    </row>
    <row r="31" spans="2:18" x14ac:dyDescent="0.25">
      <c r="B31" s="110" t="s">
        <v>71</v>
      </c>
      <c r="C31" s="8"/>
      <c r="D31" s="8"/>
      <c r="E31" s="8"/>
      <c r="F31" s="8"/>
      <c r="G31" s="8"/>
      <c r="H31" s="8"/>
      <c r="I31" s="8"/>
      <c r="J31" s="8"/>
      <c r="K31" s="8"/>
      <c r="L31" s="8"/>
      <c r="M31" s="8"/>
      <c r="N31" s="8"/>
      <c r="O31" s="50" t="s">
        <v>179</v>
      </c>
      <c r="P31" s="8"/>
      <c r="Q31" s="8"/>
      <c r="R31" s="79"/>
    </row>
    <row r="32" spans="2:18" x14ac:dyDescent="0.25">
      <c r="B32" s="80"/>
      <c r="C32" s="8"/>
      <c r="D32" s="8"/>
      <c r="E32" s="8"/>
      <c r="F32" s="8"/>
      <c r="G32" s="8"/>
      <c r="H32" s="8"/>
      <c r="I32" s="8"/>
      <c r="J32" s="8"/>
      <c r="K32" s="8"/>
      <c r="L32" s="8"/>
      <c r="M32" s="8"/>
      <c r="N32" s="8"/>
      <c r="O32" s="8"/>
      <c r="P32" s="8"/>
      <c r="Q32" s="8"/>
      <c r="R32" s="79"/>
    </row>
    <row r="33" spans="2:18" x14ac:dyDescent="0.25">
      <c r="B33" s="110" t="s">
        <v>189</v>
      </c>
      <c r="C33" s="8"/>
      <c r="D33" s="8"/>
      <c r="E33" s="8"/>
      <c r="F33" s="8"/>
      <c r="G33" s="8"/>
      <c r="H33" s="8"/>
      <c r="I33" s="8"/>
      <c r="J33" s="8"/>
      <c r="K33" s="8"/>
      <c r="L33" s="8"/>
      <c r="M33" s="8"/>
      <c r="N33" s="8"/>
      <c r="O33" s="50"/>
      <c r="P33" s="8"/>
      <c r="Q33" s="8"/>
      <c r="R33" s="79"/>
    </row>
    <row r="34" spans="2:18" x14ac:dyDescent="0.25">
      <c r="B34" s="109"/>
      <c r="C34" s="85"/>
      <c r="D34" s="85"/>
      <c r="E34" s="85"/>
      <c r="F34" s="85"/>
      <c r="G34" s="85"/>
      <c r="H34" s="85"/>
      <c r="I34" s="85"/>
      <c r="J34" s="85"/>
      <c r="K34" s="85"/>
      <c r="L34" s="85"/>
      <c r="M34" s="85"/>
      <c r="N34" s="85"/>
      <c r="O34" s="86"/>
      <c r="P34" s="86"/>
      <c r="Q34" s="86"/>
      <c r="R34" s="102"/>
    </row>
  </sheetData>
  <sheetProtection algorithmName="SHA-512" hashValue="nz99f0qAuIuJOOVKxzKbdpFgrhapSGdjJJ9/0ZOwA0k/OYROQeKMfEc0C7QNotg/4pk6YIpcKBiwcR1a7Pv9JA==" saltValue="JjiPvL75eZGbtt6oUEqtlQ==" spinCount="100000" sheet="1" objects="1" scenarios="1"/>
  <hyperlinks>
    <hyperlink ref="B28:F28" r:id="rId1" display="Questions and comments are welcome here." xr:uid="{C51CAB42-80DA-4164-87E5-808BDF6B8BE1}"/>
    <hyperlink ref="B18:D18" location="Assumptions!A1" display="Assumptions" xr:uid="{DAC253C1-A111-4E53-814E-634005D3526E}"/>
    <hyperlink ref="B19:D19" location="Results!A1" display="Results" xr:uid="{0C24453E-989D-48A2-A515-548CBD9C5550}"/>
    <hyperlink ref="B20:D20" location="Model_30y!A1" display="Model: 30-Year Mortgage" xr:uid="{504C15B7-1E8E-4BE7-BB13-215C09E47618}"/>
    <hyperlink ref="B21:D21" location="Model_15y!A1" display="Model: 15-Year Mortgage" xr:uid="{442D11F7-A856-487D-A692-1CABEF5A6020}"/>
    <hyperlink ref="B22:D22" location="Model_Renter!A1" display="Model: Renter" xr:uid="{5555FDA9-D6A2-4D62-93BA-DD1D62B4B72C}"/>
    <hyperlink ref="B17:D17" location="Overview!A1" display="Model Overview" xr:uid="{F9CE6208-C734-4F5D-9B7F-CEA24F1C7F22}"/>
    <hyperlink ref="B26:F26" r:id="rId2" display="You can find the companion project post here." xr:uid="{741686B3-7EC0-46C6-8A69-025782B9C51B}"/>
  </hyperlinks>
  <printOptions horizontalCentered="1"/>
  <pageMargins left="0.25" right="0.25" top="0.75" bottom="0.75" header="0.3" footer="0.3"/>
  <pageSetup scale="81" fitToHeight="0" orientation="landscape" r:id="rId3"/>
  <headerFooter>
    <oddHeader>&amp;L&amp;A&amp;CRent vs. Purchase of a Home&amp;R&amp;D, &amp;T</oddHeader>
    <oddFooter>&amp;L© Copyright 2025 Nicholas A. Beaver. All rights reserved.&amp;CPage &amp;P of &amp;N&amp;Rwww.nicholasabeaver.com</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AB3E-E32A-440B-AD1B-7B32E1BC54B3}">
  <sheetPr>
    <tabColor rgb="FFC00000"/>
  </sheetPr>
  <dimension ref="A1:E542"/>
  <sheetViews>
    <sheetView workbookViewId="0"/>
  </sheetViews>
  <sheetFormatPr defaultRowHeight="15" x14ac:dyDescent="0.25"/>
  <cols>
    <col min="1" max="6" width="14.28515625" customWidth="1"/>
  </cols>
  <sheetData>
    <row r="1" spans="1:5" ht="30" x14ac:dyDescent="0.25">
      <c r="A1" s="21" t="s">
        <v>15</v>
      </c>
      <c r="B1" s="21" t="s">
        <v>0</v>
      </c>
      <c r="C1" s="18" t="s">
        <v>32</v>
      </c>
      <c r="D1" s="18" t="s">
        <v>30</v>
      </c>
      <c r="E1" s="18" t="s">
        <v>31</v>
      </c>
    </row>
    <row r="2" spans="1:5" x14ac:dyDescent="0.25">
      <c r="A2" s="31">
        <v>0</v>
      </c>
      <c r="B2" s="33">
        <f>A2/12</f>
        <v>0</v>
      </c>
      <c r="C2" s="5">
        <f>Model_30y!K2+Model_30y!AG2</f>
        <v>85000</v>
      </c>
      <c r="D2" s="5">
        <f>Model_15y!K2+Model_15y!AG2</f>
        <v>85000</v>
      </c>
      <c r="E2" s="2">
        <f>Model_Renter!N2+Model_Renter!O2</f>
        <v>111571.5</v>
      </c>
    </row>
    <row r="3" spans="1:5" x14ac:dyDescent="0.25">
      <c r="A3" s="31">
        <f>A2+1</f>
        <v>1</v>
      </c>
      <c r="B3" s="33">
        <f>ROUNDUP(A3/12, 0)</f>
        <v>1</v>
      </c>
      <c r="C3" s="5">
        <f>Model_30y!K3+Model_30y!AG3</f>
        <v>87954.579898073251</v>
      </c>
      <c r="D3" s="5">
        <f>Model_15y!K3+Model_15y!AG3</f>
        <v>88164.218934499455</v>
      </c>
      <c r="E3" s="2">
        <f>Model_Renter!N3+Model_Renter!O3</f>
        <v>113934.00424330683</v>
      </c>
    </row>
    <row r="4" spans="1:5" x14ac:dyDescent="0.25">
      <c r="A4" s="31">
        <f t="shared" ref="A4:A67" si="0">A3+1</f>
        <v>2</v>
      </c>
      <c r="B4" s="33">
        <f t="shared" ref="B4:B67" si="1">ROUNDUP(A4/12, 0)</f>
        <v>1</v>
      </c>
      <c r="C4" s="5">
        <f>Model_30y!K4+Model_30y!AG4</f>
        <v>90923.950000591387</v>
      </c>
      <c r="D4" s="5">
        <f>Model_15y!K4+Model_15y!AG4</f>
        <v>91342.094727902149</v>
      </c>
      <c r="E4" s="2">
        <f>Model_Renter!N4+Model_Renter!O4</f>
        <v>116317.64581605578</v>
      </c>
    </row>
    <row r="5" spans="1:5" x14ac:dyDescent="0.25">
      <c r="A5" s="31">
        <f t="shared" si="0"/>
        <v>3</v>
      </c>
      <c r="B5" s="33">
        <f t="shared" si="1"/>
        <v>1</v>
      </c>
      <c r="C5" s="5">
        <f>Model_30y!K5+Model_30y!AG5</f>
        <v>93908.188416301404</v>
      </c>
      <c r="D5" s="5">
        <f>Model_15y!K5+Model_15y!AG5</f>
        <v>94533.685702151037</v>
      </c>
      <c r="E5" s="2">
        <f>Model_Renter!N5+Model_Renter!O5</f>
        <v>118722.58935994105</v>
      </c>
    </row>
    <row r="6" spans="1:5" x14ac:dyDescent="0.25">
      <c r="A6" s="31">
        <f t="shared" si="0"/>
        <v>4</v>
      </c>
      <c r="B6" s="33">
        <f t="shared" si="1"/>
        <v>1</v>
      </c>
      <c r="C6" s="5">
        <f>Model_30y!K6+Model_30y!AG6</f>
        <v>96907.373688756765</v>
      </c>
      <c r="D6" s="5">
        <f>Model_15y!K6+Model_15y!AG6</f>
        <v>97739.050422718035</v>
      </c>
      <c r="E6" s="2">
        <f>Model_Renter!N6+Model_Renter!O6</f>
        <v>121149.00072305684</v>
      </c>
    </row>
    <row r="7" spans="1:5" x14ac:dyDescent="0.25">
      <c r="A7" s="31">
        <f t="shared" si="0"/>
        <v>5</v>
      </c>
      <c r="B7" s="33">
        <f t="shared" si="1"/>
        <v>1</v>
      </c>
      <c r="C7" s="5">
        <f>Model_30y!K7+Model_30y!AG7</f>
        <v>99921.584798855169</v>
      </c>
      <c r="D7" s="5">
        <f>Model_15y!K7+Model_15y!AG7</f>
        <v>100958.2476995766</v>
      </c>
      <c r="E7" s="2">
        <f>Model_Renter!N7+Model_Renter!O7</f>
        <v>123597.04696846593</v>
      </c>
    </row>
    <row r="8" spans="1:5" x14ac:dyDescent="0.25">
      <c r="A8" s="31">
        <f t="shared" si="0"/>
        <v>6</v>
      </c>
      <c r="B8" s="33">
        <f t="shared" si="1"/>
        <v>1</v>
      </c>
      <c r="C8" s="5">
        <f>Model_30y!K8+Model_30y!AG8</f>
        <v>102950.90116739135</v>
      </c>
      <c r="D8" s="5">
        <f>Model_15y!K8+Model_15y!AG8</f>
        <v>104191.33658817723</v>
      </c>
      <c r="E8" s="2">
        <f>Model_Renter!N8+Model_Renter!O8</f>
        <v>126066.89638282811</v>
      </c>
    </row>
    <row r="9" spans="1:5" x14ac:dyDescent="0.25">
      <c r="A9" s="31">
        <f t="shared" si="0"/>
        <v>7</v>
      </c>
      <c r="B9" s="33">
        <f t="shared" si="1"/>
        <v>1</v>
      </c>
      <c r="C9" s="5">
        <f>Model_30y!K9+Model_30y!AG9</f>
        <v>105995.40265762577</v>
      </c>
      <c r="D9" s="5">
        <f>Model_15y!K9+Model_15y!AG9</f>
        <v>107438.37639042671</v>
      </c>
      <c r="E9" s="2">
        <f>Model_Renter!N9+Model_Renter!O9</f>
        <v>128558.71848508887</v>
      </c>
    </row>
    <row r="10" spans="1:5" x14ac:dyDescent="0.25">
      <c r="A10" s="31">
        <f t="shared" si="0"/>
        <v>8</v>
      </c>
      <c r="B10" s="33">
        <f t="shared" si="1"/>
        <v>1</v>
      </c>
      <c r="C10" s="5">
        <f>Model_30y!K10+Model_30y!AG10</f>
        <v>109055.16957786879</v>
      </c>
      <c r="D10" s="5">
        <f>Model_15y!K10+Model_15y!AG10</f>
        <v>110699.42665567121</v>
      </c>
      <c r="E10" s="2">
        <f>Model_Renter!N10+Model_Renter!O10</f>
        <v>131072.68403522874</v>
      </c>
    </row>
    <row r="11" spans="1:5" x14ac:dyDescent="0.25">
      <c r="A11" s="31">
        <f t="shared" si="0"/>
        <v>9</v>
      </c>
      <c r="B11" s="33">
        <f t="shared" si="1"/>
        <v>1</v>
      </c>
      <c r="C11" s="5">
        <f>Model_30y!K11+Model_30y!AG11</f>
        <v>112130.28268408029</v>
      </c>
      <c r="D11" s="5">
        <f>Model_15y!K11+Model_15y!AG11</f>
        <v>113974.54718168228</v>
      </c>
      <c r="E11" s="2">
        <f>Model_Renter!N11+Model_Renter!O11</f>
        <v>133608.96504307361</v>
      </c>
    </row>
    <row r="12" spans="1:5" x14ac:dyDescent="0.25">
      <c r="A12" s="31">
        <f t="shared" si="0"/>
        <v>10</v>
      </c>
      <c r="B12" s="33">
        <f t="shared" si="1"/>
        <v>1</v>
      </c>
      <c r="C12" s="5">
        <f>Model_30y!K12+Model_30y!AG12</f>
        <v>115220.82318248544</v>
      </c>
      <c r="D12" s="5">
        <f>Model_15y!K12+Model_15y!AG12</f>
        <v>117263.79801564717</v>
      </c>
      <c r="E12" s="2">
        <f>Model_Renter!N12+Model_Renter!O12</f>
        <v>136167.7347771668</v>
      </c>
    </row>
    <row r="13" spans="1:5" x14ac:dyDescent="0.25">
      <c r="A13" s="31">
        <f t="shared" si="0"/>
        <v>11</v>
      </c>
      <c r="B13" s="33">
        <f t="shared" si="1"/>
        <v>1</v>
      </c>
      <c r="C13" s="5">
        <f>Model_30y!K13+Model_30y!AG13</f>
        <v>118326.87273220613</v>
      </c>
      <c r="D13" s="5">
        <f>Model_15y!K13+Model_15y!AG13</f>
        <v>120567.2394551621</v>
      </c>
      <c r="E13" s="2">
        <f>Model_Renter!N13+Model_Renter!O13</f>
        <v>138749.16777370273</v>
      </c>
    </row>
    <row r="14" spans="1:5" x14ac:dyDescent="0.25">
      <c r="A14" s="31">
        <f t="shared" si="0"/>
        <v>12</v>
      </c>
      <c r="B14" s="33">
        <f t="shared" si="1"/>
        <v>1</v>
      </c>
      <c r="C14" s="5">
        <f>Model_30y!K14+Model_30y!AG14</f>
        <v>121448.51344790851</v>
      </c>
      <c r="D14" s="5">
        <f>Model_15y!K14+Model_15y!AG14</f>
        <v>123884.93204922938</v>
      </c>
      <c r="E14" s="2">
        <f>Model_Renter!N14+Model_Renter!O14</f>
        <v>141353.4398455233</v>
      </c>
    </row>
    <row r="15" spans="1:5" x14ac:dyDescent="0.25">
      <c r="A15" s="31">
        <f t="shared" si="0"/>
        <v>13</v>
      </c>
      <c r="B15" s="33">
        <f t="shared" si="1"/>
        <v>2</v>
      </c>
      <c r="C15" s="5">
        <f>Model_30y!K15+Model_30y!AG15</f>
        <v>124585.8279024665</v>
      </c>
      <c r="D15" s="5">
        <f>Model_15y!K15+Model_15y!AG15</f>
        <v>127216.93659925836</v>
      </c>
      <c r="E15" s="2">
        <f>Model_Renter!N15+Model_Renter!O15</f>
        <v>143893.05402671982</v>
      </c>
    </row>
    <row r="16" spans="1:5" x14ac:dyDescent="0.25">
      <c r="A16" s="31">
        <f t="shared" si="0"/>
        <v>14</v>
      </c>
      <c r="B16" s="33">
        <f t="shared" si="1"/>
        <v>2</v>
      </c>
      <c r="C16" s="5">
        <f>Model_30y!K16+Model_30y!AG16</f>
        <v>127738.89912964171</v>
      </c>
      <c r="D16" s="5">
        <f>Model_15y!K16+Model_15y!AG16</f>
        <v>130563.31416006957</v>
      </c>
      <c r="E16" s="2">
        <f>Model_Renter!N16+Model_Renter!O16</f>
        <v>146455.26474334532</v>
      </c>
    </row>
    <row r="17" spans="1:5" x14ac:dyDescent="0.25">
      <c r="A17" s="31">
        <f t="shared" si="0"/>
        <v>15</v>
      </c>
      <c r="B17" s="33">
        <f t="shared" si="1"/>
        <v>2</v>
      </c>
      <c r="C17" s="5">
        <f>Model_30y!K17+Model_30y!AG17</f>
        <v>130907.81062677935</v>
      </c>
      <c r="D17" s="5">
        <f>Model_15y!K17+Model_15y!AG17</f>
        <v>133924.12604090277</v>
      </c>
      <c r="E17" s="2">
        <f>Model_Renter!N17+Model_Renter!O17</f>
        <v>149040.24761356864</v>
      </c>
    </row>
    <row r="18" spans="1:5" x14ac:dyDescent="0.25">
      <c r="A18" s="31">
        <f t="shared" si="0"/>
        <v>16</v>
      </c>
      <c r="B18" s="33">
        <f t="shared" si="1"/>
        <v>2</v>
      </c>
      <c r="C18" s="5">
        <f>Model_30y!K18+Model_30y!AG18</f>
        <v>134092.64635752072</v>
      </c>
      <c r="D18" s="5">
        <f>Model_15y!K18+Model_15y!AG18</f>
        <v>137299.43380642857</v>
      </c>
      <c r="E18" s="2">
        <f>Model_Renter!N18+Model_Renter!O18</f>
        <v>151648.17954099827</v>
      </c>
    </row>
    <row r="19" spans="1:5" x14ac:dyDescent="0.25">
      <c r="A19" s="31">
        <f t="shared" si="0"/>
        <v>17</v>
      </c>
      <c r="B19" s="33">
        <f t="shared" si="1"/>
        <v>2</v>
      </c>
      <c r="C19" s="5">
        <f>Model_30y!K19+Model_30y!AG19</f>
        <v>137293.4907545321</v>
      </c>
      <c r="D19" s="5">
        <f>Model_15y!K19+Model_15y!AG19</f>
        <v>140689.29927776332</v>
      </c>
      <c r="E19" s="2">
        <f>Model_Renter!N19+Model_Renter!O19</f>
        <v>154279.2387238071</v>
      </c>
    </row>
    <row r="20" spans="1:5" x14ac:dyDescent="0.25">
      <c r="A20" s="31">
        <f t="shared" si="0"/>
        <v>18</v>
      </c>
      <c r="B20" s="33">
        <f t="shared" si="1"/>
        <v>2</v>
      </c>
      <c r="C20" s="5">
        <f>Model_30y!K20+Model_30y!AG20</f>
        <v>140510.4287222506</v>
      </c>
      <c r="D20" s="5">
        <f>Model_15y!K20+Model_15y!AG20</f>
        <v>144093.78453348848</v>
      </c>
      <c r="E20" s="2">
        <f>Model_Renter!N20+Model_Renter!O20</f>
        <v>156933.60466392085</v>
      </c>
    </row>
    <row r="21" spans="1:5" x14ac:dyDescent="0.25">
      <c r="A21" s="31">
        <f t="shared" si="0"/>
        <v>19</v>
      </c>
      <c r="B21" s="33">
        <f t="shared" si="1"/>
        <v>2</v>
      </c>
      <c r="C21" s="5">
        <f>Model_30y!K21+Model_30y!AG21</f>
        <v>143743.54563964598</v>
      </c>
      <c r="D21" s="5">
        <f>Model_15y!K21+Model_15y!AG21</f>
        <v>147512.95191067285</v>
      </c>
      <c r="E21" s="2">
        <f>Model_Renter!N21+Model_Renter!O21</f>
        <v>159611.45817627062</v>
      </c>
    </row>
    <row r="22" spans="1:5" x14ac:dyDescent="0.25">
      <c r="A22" s="31">
        <f t="shared" si="0"/>
        <v>20</v>
      </c>
      <c r="B22" s="33">
        <f t="shared" si="1"/>
        <v>2</v>
      </c>
      <c r="C22" s="5">
        <f>Model_30y!K22+Model_30y!AG22</f>
        <v>146992.92736300011</v>
      </c>
      <c r="D22" s="5">
        <f>Model_15y!K22+Model_15y!AG22</f>
        <v>150946.864005899</v>
      </c>
      <c r="E22" s="2">
        <f>Model_Renter!N22+Model_Renter!O22</f>
        <v>162312.98139810999</v>
      </c>
    </row>
    <row r="23" spans="1:5" x14ac:dyDescent="0.25">
      <c r="A23" s="31">
        <f t="shared" si="0"/>
        <v>21</v>
      </c>
      <c r="B23" s="33">
        <f t="shared" si="1"/>
        <v>2</v>
      </c>
      <c r="C23" s="5">
        <f>Model_30y!K23+Model_30y!AG23</f>
        <v>150258.66022870265</v>
      </c>
      <c r="D23" s="5">
        <f>Model_15y!K23+Model_15y!AG23</f>
        <v>154395.58367629274</v>
      </c>
      <c r="E23" s="2">
        <f>Model_Renter!N23+Model_Renter!O23</f>
        <v>165038.35779839713</v>
      </c>
    </row>
    <row r="24" spans="1:5" x14ac:dyDescent="0.25">
      <c r="A24" s="31">
        <f t="shared" si="0"/>
        <v>22</v>
      </c>
      <c r="B24" s="33">
        <f t="shared" si="1"/>
        <v>2</v>
      </c>
      <c r="C24" s="5">
        <f>Model_30y!K24+Model_30y!AG24</f>
        <v>153540.83105606429</v>
      </c>
      <c r="D24" s="5">
        <f>Model_15y!K24+Model_15y!AG24</f>
        <v>157859.17404055718</v>
      </c>
      <c r="E24" s="2">
        <f>Model_Renter!N24+Model_Renter!O24</f>
        <v>167787.77218724243</v>
      </c>
    </row>
    <row r="25" spans="1:5" x14ac:dyDescent="0.25">
      <c r="A25" s="31">
        <f t="shared" si="0"/>
        <v>23</v>
      </c>
      <c r="B25" s="33">
        <f t="shared" si="1"/>
        <v>2</v>
      </c>
      <c r="C25" s="5">
        <f>Model_30y!K25+Model_30y!AG25</f>
        <v>156839.52715014675</v>
      </c>
      <c r="D25" s="5">
        <f>Model_15y!K25+Model_15y!AG25</f>
        <v>161337.6984800098</v>
      </c>
      <c r="E25" s="2">
        <f>Model_Renter!N25+Model_Renter!O25</f>
        <v>170561.41072542203</v>
      </c>
    </row>
    <row r="26" spans="1:5" x14ac:dyDescent="0.25">
      <c r="A26" s="31">
        <f t="shared" si="0"/>
        <v>24</v>
      </c>
      <c r="B26" s="33">
        <f t="shared" si="1"/>
        <v>2</v>
      </c>
      <c r="C26" s="5">
        <f>Model_30y!K26+Model_30y!AG26</f>
        <v>160154.83630461013</v>
      </c>
      <c r="D26" s="5">
        <f>Model_15y!K26+Model_15y!AG26</f>
        <v>164831.22063962332</v>
      </c>
      <c r="E26" s="2">
        <f>Model_Renter!N26+Model_Renter!O26</f>
        <v>173359.46093395783</v>
      </c>
    </row>
    <row r="27" spans="1:5" x14ac:dyDescent="0.25">
      <c r="A27" s="31">
        <f t="shared" si="0"/>
        <v>25</v>
      </c>
      <c r="B27" s="33">
        <f t="shared" si="1"/>
        <v>3</v>
      </c>
      <c r="C27" s="5">
        <f>Model_30y!K27+Model_30y!AG27</f>
        <v>163486.84680457777</v>
      </c>
      <c r="D27" s="5">
        <f>Model_15y!K27+Model_15y!AG27</f>
        <v>168339.80442907082</v>
      </c>
      <c r="E27" s="2">
        <f>Model_Renter!N27+Model_Renter!O27</f>
        <v>176091.36329247628</v>
      </c>
    </row>
    <row r="28" spans="1:5" x14ac:dyDescent="0.25">
      <c r="A28" s="31">
        <f t="shared" si="0"/>
        <v>26</v>
      </c>
      <c r="B28" s="33">
        <f t="shared" si="1"/>
        <v>3</v>
      </c>
      <c r="C28" s="5">
        <f>Model_30y!K28+Model_30y!AG28</f>
        <v>166835.64742951826</v>
      </c>
      <c r="D28" s="5">
        <f>Model_15y!K28+Model_15y!AG28</f>
        <v>171863.51402377366</v>
      </c>
      <c r="E28" s="2">
        <f>Model_Renter!N28+Model_Renter!O28</f>
        <v>178847.43748064066</v>
      </c>
    </row>
    <row r="29" spans="1:5" x14ac:dyDescent="0.25">
      <c r="A29" s="31">
        <f t="shared" si="0"/>
        <v>27</v>
      </c>
      <c r="B29" s="33">
        <f t="shared" si="1"/>
        <v>3</v>
      </c>
      <c r="C29" s="5">
        <f>Model_30y!K29+Model_30y!AG29</f>
        <v>170201.32745614508</v>
      </c>
      <c r="D29" s="5">
        <f>Model_15y!K29+Model_15y!AG29</f>
        <v>175402.41386595397</v>
      </c>
      <c r="E29" s="2">
        <f>Model_Renter!N29+Model_Renter!O29</f>
        <v>181627.8709360972</v>
      </c>
    </row>
    <row r="30" spans="1:5" x14ac:dyDescent="0.25">
      <c r="A30" s="31">
        <f t="shared" si="0"/>
        <v>28</v>
      </c>
      <c r="B30" s="33">
        <f t="shared" si="1"/>
        <v>3</v>
      </c>
      <c r="C30" s="5">
        <f>Model_30y!K30+Model_30y!AG30</f>
        <v>173583.97666133434</v>
      </c>
      <c r="D30" s="5">
        <f>Model_15y!K30+Model_15y!AG30</f>
        <v>178956.56866569075</v>
      </c>
      <c r="E30" s="2">
        <f>Model_Renter!N30+Model_Renter!O30</f>
        <v>184432.85246693005</v>
      </c>
    </row>
    <row r="31" spans="1:5" x14ac:dyDescent="0.25">
      <c r="A31" s="31">
        <f t="shared" si="0"/>
        <v>29</v>
      </c>
      <c r="B31" s="33">
        <f t="shared" si="1"/>
        <v>3</v>
      </c>
      <c r="C31" s="5">
        <f>Model_30y!K31+Model_30y!AG31</f>
        <v>176983.68532505943</v>
      </c>
      <c r="D31" s="5">
        <f>Model_15y!K31+Model_15y!AG31</f>
        <v>182526.04340197891</v>
      </c>
      <c r="E31" s="2">
        <f>Model_Renter!N31+Model_Renter!O31</f>
        <v>187262.57226138373</v>
      </c>
    </row>
    <row r="32" spans="1:5" x14ac:dyDescent="0.25">
      <c r="A32" s="31">
        <f t="shared" si="0"/>
        <v>30</v>
      </c>
      <c r="B32" s="33">
        <f t="shared" si="1"/>
        <v>3</v>
      </c>
      <c r="C32" s="5">
        <f>Model_30y!K32+Model_30y!AG32</f>
        <v>180400.54423334476</v>
      </c>
      <c r="D32" s="5">
        <f>Model_15y!K32+Model_15y!AG32</f>
        <v>186110.90332379373</v>
      </c>
      <c r="E32" s="2">
        <f>Model_Renter!N32+Model_Renter!O32</f>
        <v>190117.22189765327</v>
      </c>
    </row>
    <row r="33" spans="1:5" x14ac:dyDescent="0.25">
      <c r="A33" s="31">
        <f t="shared" si="0"/>
        <v>31</v>
      </c>
      <c r="B33" s="33">
        <f t="shared" si="1"/>
        <v>3</v>
      </c>
      <c r="C33" s="5">
        <f>Model_30y!K33+Model_30y!AG33</f>
        <v>183834.64468123615</v>
      </c>
      <c r="D33" s="5">
        <f>Model_15y!K33+Model_15y!AG33</f>
        <v>189711.21395115723</v>
      </c>
      <c r="E33" s="2">
        <f>Model_Renter!N33+Model_Renter!O33</f>
        <v>192996.99435374269</v>
      </c>
    </row>
    <row r="34" spans="1:5" x14ac:dyDescent="0.25">
      <c r="A34" s="31">
        <f t="shared" si="0"/>
        <v>32</v>
      </c>
      <c r="B34" s="33">
        <f t="shared" si="1"/>
        <v>3</v>
      </c>
      <c r="C34" s="5">
        <f>Model_30y!K34+Model_30y!AG34</f>
        <v>187286.07847579045</v>
      </c>
      <c r="D34" s="5">
        <f>Model_15y!K34+Model_15y!AG34</f>
        <v>193327.04107620963</v>
      </c>
      <c r="E34" s="2">
        <f>Model_Renter!N34+Model_Renter!O34</f>
        <v>195902.08401739213</v>
      </c>
    </row>
    <row r="35" spans="1:5" x14ac:dyDescent="0.25">
      <c r="A35" s="31">
        <f t="shared" si="0"/>
        <v>33</v>
      </c>
      <c r="B35" s="33">
        <f t="shared" si="1"/>
        <v>3</v>
      </c>
      <c r="C35" s="5">
        <f>Model_30y!K35+Model_30y!AG35</f>
        <v>190754.93793908285</v>
      </c>
      <c r="D35" s="5">
        <f>Model_15y!K35+Model_15y!AG35</f>
        <v>196958.45076428421</v>
      </c>
      <c r="E35" s="2">
        <f>Model_Renter!N35+Model_Renter!O35</f>
        <v>198832.68669607464</v>
      </c>
    </row>
    <row r="36" spans="1:5" x14ac:dyDescent="0.25">
      <c r="A36" s="31">
        <f t="shared" si="0"/>
        <v>34</v>
      </c>
      <c r="B36" s="33">
        <f t="shared" si="1"/>
        <v>3</v>
      </c>
      <c r="C36" s="5">
        <f>Model_30y!K36+Model_30y!AG36</f>
        <v>194241.31591123267</v>
      </c>
      <c r="D36" s="5">
        <f>Model_15y!K36+Model_15y!AG36</f>
        <v>200605.50935498564</v>
      </c>
      <c r="E36" s="2">
        <f>Model_Renter!N36+Model_Renter!O36</f>
        <v>201788.99962706221</v>
      </c>
    </row>
    <row r="37" spans="1:5" x14ac:dyDescent="0.25">
      <c r="A37" s="31">
        <f t="shared" si="0"/>
        <v>35</v>
      </c>
      <c r="B37" s="33">
        <f t="shared" si="1"/>
        <v>3</v>
      </c>
      <c r="C37" s="5">
        <f>Model_30y!K37+Model_30y!AG37</f>
        <v>197745.30575344755</v>
      </c>
      <c r="D37" s="5">
        <f>Model_15y!K37+Model_15y!AG37</f>
        <v>204268.28346327296</v>
      </c>
      <c r="E37" s="2">
        <f>Model_Renter!N37+Model_Renter!O37</f>
        <v>204771.22148756229</v>
      </c>
    </row>
    <row r="38" spans="1:5" x14ac:dyDescent="0.25">
      <c r="A38" s="31">
        <f t="shared" si="0"/>
        <v>36</v>
      </c>
      <c r="B38" s="33">
        <f t="shared" si="1"/>
        <v>3</v>
      </c>
      <c r="C38" s="5">
        <f>Model_30y!K38+Model_30y!AG38</f>
        <v>201267.00135108639</v>
      </c>
      <c r="D38" s="5">
        <f>Model_15y!K38+Model_15y!AG38</f>
        <v>207946.83998054566</v>
      </c>
      <c r="E38" s="2">
        <f>Model_Renter!N38+Model_Renter!O38</f>
        <v>207779.55240492508</v>
      </c>
    </row>
    <row r="39" spans="1:5" x14ac:dyDescent="0.25">
      <c r="A39" s="31">
        <f t="shared" si="0"/>
        <v>37</v>
      </c>
      <c r="B39" s="33">
        <f t="shared" si="1"/>
        <v>4</v>
      </c>
      <c r="C39" s="5">
        <f>Model_30y!K39+Model_30y!AG39</f>
        <v>204806.49711674068</v>
      </c>
      <c r="D39" s="5">
        <f>Model_15y!K39+Model_15y!AG39</f>
        <v>211641.24607573356</v>
      </c>
      <c r="E39" s="2">
        <f>Model_Renter!N39+Model_Renter!O39</f>
        <v>210720.26646139036</v>
      </c>
    </row>
    <row r="40" spans="1:5" x14ac:dyDescent="0.25">
      <c r="A40" s="31">
        <f t="shared" si="0"/>
        <v>38</v>
      </c>
      <c r="B40" s="33">
        <f t="shared" si="1"/>
        <v>4</v>
      </c>
      <c r="C40" s="5">
        <f>Model_30y!K40+Model_30y!AG40</f>
        <v>208363.88799333488</v>
      </c>
      <c r="D40" s="5">
        <f>Model_15y!K40+Model_15y!AG40</f>
        <v>215351.56919639118</v>
      </c>
      <c r="E40" s="2">
        <f>Model_Renter!N40+Model_Renter!O40</f>
        <v>213686.85353403131</v>
      </c>
    </row>
    <row r="41" spans="1:5" x14ac:dyDescent="0.25">
      <c r="A41" s="31">
        <f t="shared" si="0"/>
        <v>39</v>
      </c>
      <c r="B41" s="33">
        <f t="shared" si="1"/>
        <v>4</v>
      </c>
      <c r="C41" s="5">
        <f>Model_30y!K41+Model_30y!AG41</f>
        <v>211939.26945724577</v>
      </c>
      <c r="D41" s="5">
        <f>Model_15y!K41+Model_15y!AG41</f>
        <v>219077.87706979539</v>
      </c>
      <c r="E41" s="2">
        <f>Model_Renter!N41+Model_Renter!O41</f>
        <v>216679.51379240648</v>
      </c>
    </row>
    <row r="42" spans="1:5" x14ac:dyDescent="0.25">
      <c r="A42" s="31">
        <f t="shared" si="0"/>
        <v>40</v>
      </c>
      <c r="B42" s="33">
        <f t="shared" si="1"/>
        <v>4</v>
      </c>
      <c r="C42" s="5">
        <f>Model_30y!K42+Model_30y!AG42</f>
        <v>215532.73752144072</v>
      </c>
      <c r="D42" s="5">
        <f>Model_15y!K42+Model_15y!AG42</f>
        <v>222820.23770404738</v>
      </c>
      <c r="E42" s="2">
        <f>Model_Renter!N42+Model_Renter!O42</f>
        <v>219698.44886795338</v>
      </c>
    </row>
    <row r="43" spans="1:5" x14ac:dyDescent="0.25">
      <c r="A43" s="31">
        <f t="shared" si="0"/>
        <v>41</v>
      </c>
      <c r="B43" s="33">
        <f t="shared" si="1"/>
        <v>4</v>
      </c>
      <c r="C43" s="5">
        <f>Model_30y!K43+Model_30y!AG43</f>
        <v>219144.38873863517</v>
      </c>
      <c r="D43" s="5">
        <f>Model_15y!K43+Model_15y!AG43</f>
        <v>226578.71938917806</v>
      </c>
      <c r="E43" s="2">
        <f>Model_Renter!N43+Model_Renter!O43</f>
        <v>222743.86186435324</v>
      </c>
    </row>
    <row r="44" spans="1:5" x14ac:dyDescent="0.25">
      <c r="A44" s="31">
        <f t="shared" si="0"/>
        <v>42</v>
      </c>
      <c r="B44" s="33">
        <f t="shared" si="1"/>
        <v>4</v>
      </c>
      <c r="C44" s="5">
        <f>Model_30y!K44+Model_30y!AG44</f>
        <v>222774.32020446938</v>
      </c>
      <c r="D44" s="5">
        <f>Model_15y!K44+Model_15y!AG44</f>
        <v>230353.3906982576</v>
      </c>
      <c r="E44" s="2">
        <f>Model_Renter!N44+Model_Renter!O44</f>
        <v>225815.95736796802</v>
      </c>
    </row>
    <row r="45" spans="1:5" x14ac:dyDescent="0.25">
      <c r="A45" s="31">
        <f t="shared" si="0"/>
        <v>43</v>
      </c>
      <c r="B45" s="33">
        <f t="shared" si="1"/>
        <v>4</v>
      </c>
      <c r="C45" s="5">
        <f>Model_30y!K45+Model_30y!AG45</f>
        <v>226422.62956070446</v>
      </c>
      <c r="D45" s="5">
        <f>Model_15y!K45+Model_15y!AG45</f>
        <v>234144.32048850891</v>
      </c>
      <c r="E45" s="2">
        <f>Model_Renter!N45+Model_Renter!O45</f>
        <v>228914.94145835043</v>
      </c>
    </row>
    <row r="46" spans="1:5" x14ac:dyDescent="0.25">
      <c r="A46" s="31">
        <f t="shared" si="0"/>
        <v>44</v>
      </c>
      <c r="B46" s="33">
        <f t="shared" si="1"/>
        <v>4</v>
      </c>
      <c r="C46" s="5">
        <f>Model_30y!K46+Model_30y!AG46</f>
        <v>230089.41499843835</v>
      </c>
      <c r="D46" s="5">
        <f>Model_15y!K46+Model_15y!AG46</f>
        <v>237951.57790242494</v>
      </c>
      <c r="E46" s="2">
        <f>Model_Renter!N46+Model_Renter!O46</f>
        <v>232041.02171882693</v>
      </c>
    </row>
    <row r="47" spans="1:5" x14ac:dyDescent="0.25">
      <c r="A47" s="31">
        <f t="shared" si="0"/>
        <v>45</v>
      </c>
      <c r="B47" s="33">
        <f t="shared" si="1"/>
        <v>4</v>
      </c>
      <c r="C47" s="5">
        <f>Model_30y!K47+Model_30y!AG47</f>
        <v>233774.77526134107</v>
      </c>
      <c r="D47" s="5">
        <f>Model_15y!K47+Model_15y!AG47</f>
        <v>241775.23236888982</v>
      </c>
      <c r="E47" s="2">
        <f>Model_Renter!N47+Model_Renter!O47</f>
        <v>235194.40724715489</v>
      </c>
    </row>
    <row r="48" spans="1:5" x14ac:dyDescent="0.25">
      <c r="A48" s="31">
        <f t="shared" si="0"/>
        <v>46</v>
      </c>
      <c r="B48" s="33">
        <f t="shared" si="1"/>
        <v>4</v>
      </c>
      <c r="C48" s="5">
        <f>Model_30y!K48+Model_30y!AG48</f>
        <v>237478.80964890987</v>
      </c>
      <c r="D48" s="5">
        <f>Model_15y!K48+Model_15y!AG48</f>
        <v>245615.35360430425</v>
      </c>
      <c r="E48" s="2">
        <f>Model_Renter!N48+Model_Renter!O48</f>
        <v>238375.30866625372</v>
      </c>
    </row>
    <row r="49" spans="1:5" x14ac:dyDescent="0.25">
      <c r="A49" s="31">
        <f t="shared" si="0"/>
        <v>47</v>
      </c>
      <c r="B49" s="33">
        <f t="shared" si="1"/>
        <v>4</v>
      </c>
      <c r="C49" s="5">
        <f>Model_30y!K49+Model_30y!AG49</f>
        <v>241201.6180197442</v>
      </c>
      <c r="D49" s="5">
        <f>Model_15y!K49+Model_15y!AG49</f>
        <v>249472.0116137143</v>
      </c>
      <c r="E49" s="2">
        <f>Model_Renter!N49+Model_Renter!O49</f>
        <v>241583.93813501118</v>
      </c>
    </row>
    <row r="50" spans="1:5" x14ac:dyDescent="0.25">
      <c r="A50" s="31">
        <f t="shared" si="0"/>
        <v>48</v>
      </c>
      <c r="B50" s="33">
        <f t="shared" si="1"/>
        <v>4</v>
      </c>
      <c r="C50" s="5">
        <f>Model_30y!K50+Model_30y!AG50</f>
        <v>244943.30079484099</v>
      </c>
      <c r="D50" s="5">
        <f>Model_15y!K50+Model_15y!AG50</f>
        <v>253345.27669194504</v>
      </c>
      <c r="E50" s="2">
        <f>Model_Renter!N50+Model_Renter!O50</f>
        <v>244820.50935916475</v>
      </c>
    </row>
    <row r="51" spans="1:5" x14ac:dyDescent="0.25">
      <c r="A51" s="31">
        <f t="shared" si="0"/>
        <v>49</v>
      </c>
      <c r="B51" s="33">
        <f t="shared" si="1"/>
        <v>5</v>
      </c>
      <c r="C51" s="5">
        <f>Model_30y!K51+Model_30y!AG51</f>
        <v>248703.95896090975</v>
      </c>
      <c r="D51" s="5">
        <f>Model_15y!K51+Model_15y!AG51</f>
        <v>257235.21942473669</v>
      </c>
      <c r="E51" s="2">
        <f>Model_Renter!N51+Model_Renter!O51</f>
        <v>247988.02284917643</v>
      </c>
    </row>
    <row r="52" spans="1:5" x14ac:dyDescent="0.25">
      <c r="A52" s="31">
        <f t="shared" si="0"/>
        <v>50</v>
      </c>
      <c r="B52" s="33">
        <f t="shared" si="1"/>
        <v>5</v>
      </c>
      <c r="C52" s="5">
        <f>Model_30y!K52+Model_30y!AG52</f>
        <v>252483.69407370817</v>
      </c>
      <c r="D52" s="5">
        <f>Model_15y!K52+Model_15y!AG52</f>
        <v>261141.91068988648</v>
      </c>
      <c r="E52" s="2">
        <f>Model_Renter!N52+Model_Renter!O52</f>
        <v>251183.24708093636</v>
      </c>
    </row>
    <row r="53" spans="1:5" x14ac:dyDescent="0.25">
      <c r="A53" s="31">
        <f t="shared" si="0"/>
        <v>51</v>
      </c>
      <c r="B53" s="33">
        <f t="shared" si="1"/>
        <v>5</v>
      </c>
      <c r="C53" s="5">
        <f>Model_30y!K53+Model_30y!AG53</f>
        <v>256282.60826139789</v>
      </c>
      <c r="D53" s="5">
        <f>Model_15y!K53+Model_15y!AG53</f>
        <v>265065.42165839317</v>
      </c>
      <c r="E53" s="2">
        <f>Model_Renter!N53+Model_Renter!O53</f>
        <v>254406.39594365837</v>
      </c>
    </row>
    <row r="54" spans="1:5" x14ac:dyDescent="0.25">
      <c r="A54" s="31">
        <f t="shared" si="0"/>
        <v>52</v>
      </c>
      <c r="B54" s="33">
        <f t="shared" si="1"/>
        <v>5</v>
      </c>
      <c r="C54" s="5">
        <f>Model_30y!K54+Model_30y!AG54</f>
        <v>260100.80422792133</v>
      </c>
      <c r="D54" s="5">
        <f>Model_15y!K54+Model_15y!AG54</f>
        <v>269005.82379560603</v>
      </c>
      <c r="E54" s="2">
        <f>Model_Renter!N54+Model_Renter!O54</f>
        <v>257657.68488684334</v>
      </c>
    </row>
    <row r="55" spans="1:5" x14ac:dyDescent="0.25">
      <c r="A55" s="31">
        <f t="shared" si="0"/>
        <v>53</v>
      </c>
      <c r="B55" s="33">
        <f t="shared" si="1"/>
        <v>5</v>
      </c>
      <c r="C55" s="5">
        <f>Model_30y!K55+Model_30y!AG55</f>
        <v>263938.38525639847</v>
      </c>
      <c r="D55" s="5">
        <f>Model_15y!K55+Model_15y!AG55</f>
        <v>272963.18886237801</v>
      </c>
      <c r="E55" s="2">
        <f>Model_Renter!N55+Model_Renter!O55</f>
        <v>260937.33093133505</v>
      </c>
    </row>
    <row r="56" spans="1:5" x14ac:dyDescent="0.25">
      <c r="A56" s="31">
        <f t="shared" si="0"/>
        <v>54</v>
      </c>
      <c r="B56" s="33">
        <f t="shared" si="1"/>
        <v>5</v>
      </c>
      <c r="C56" s="5">
        <f>Model_30y!K56+Model_30y!AG56</f>
        <v>267795.455212545</v>
      </c>
      <c r="D56" s="5">
        <f>Model_15y!K56+Model_15y!AG56</f>
        <v>276937.58891622256</v>
      </c>
      <c r="E56" s="2">
        <f>Model_Renter!N56+Model_Renter!O56</f>
        <v>264245.55268045282</v>
      </c>
    </row>
    <row r="57" spans="1:5" x14ac:dyDescent="0.25">
      <c r="A57" s="31">
        <f t="shared" si="0"/>
        <v>55</v>
      </c>
      <c r="B57" s="33">
        <f t="shared" si="1"/>
        <v>5</v>
      </c>
      <c r="C57" s="5">
        <f>Model_30y!K57+Model_30y!AG57</f>
        <v>271672.11854811106</v>
      </c>
      <c r="D57" s="5">
        <f>Model_15y!K57+Model_15y!AG57</f>
        <v>280929.09631247481</v>
      </c>
      <c r="E57" s="2">
        <f>Model_Renter!N57+Model_Renter!O57</f>
        <v>267582.57033120189</v>
      </c>
    </row>
    <row r="58" spans="1:5" x14ac:dyDescent="0.25">
      <c r="A58" s="31">
        <f t="shared" si="0"/>
        <v>56</v>
      </c>
      <c r="B58" s="33">
        <f t="shared" si="1"/>
        <v>5</v>
      </c>
      <c r="C58" s="5">
        <f>Model_30y!K58+Model_30y!AG58</f>
        <v>275568.4803043413</v>
      </c>
      <c r="D58" s="5">
        <f>Model_15y!K58+Model_15y!AG58</f>
        <v>284937.78370545595</v>
      </c>
      <c r="E58" s="2">
        <f>Model_Renter!N58+Model_Renter!O58</f>
        <v>270948.60568556219</v>
      </c>
    </row>
    <row r="59" spans="1:5" x14ac:dyDescent="0.25">
      <c r="A59" s="31">
        <f t="shared" si="0"/>
        <v>57</v>
      </c>
      <c r="B59" s="33">
        <f t="shared" si="1"/>
        <v>5</v>
      </c>
      <c r="C59" s="5">
        <f>Model_30y!K59+Model_30y!AG59</f>
        <v>279484.64611545601</v>
      </c>
      <c r="D59" s="5">
        <f>Model_15y!K59+Model_15y!AG59</f>
        <v>288963.7240496435</v>
      </c>
      <c r="E59" s="2">
        <f>Model_Renter!N59+Model_Renter!O59</f>
        <v>274343.88216185535</v>
      </c>
    </row>
    <row r="60" spans="1:5" x14ac:dyDescent="0.25">
      <c r="A60" s="31">
        <f t="shared" si="0"/>
        <v>58</v>
      </c>
      <c r="B60" s="33">
        <f t="shared" si="1"/>
        <v>5</v>
      </c>
      <c r="C60" s="5">
        <f>Model_30y!K60+Model_30y!AG60</f>
        <v>283420.72221215349</v>
      </c>
      <c r="D60" s="5">
        <f>Model_15y!K60+Model_15y!AG60</f>
        <v>293006.99060084339</v>
      </c>
      <c r="E60" s="2">
        <f>Model_Renter!N60+Model_Renter!O60</f>
        <v>277768.62480619142</v>
      </c>
    </row>
    <row r="61" spans="1:5" x14ac:dyDescent="0.25">
      <c r="A61" s="31">
        <f t="shared" si="0"/>
        <v>59</v>
      </c>
      <c r="B61" s="33">
        <f t="shared" si="1"/>
        <v>5</v>
      </c>
      <c r="C61" s="5">
        <f>Model_30y!K61+Model_30y!AG61</f>
        <v>287376.81542513397</v>
      </c>
      <c r="D61" s="5">
        <f>Model_15y!K61+Model_15y!AG61</f>
        <v>297067.65691736742</v>
      </c>
      <c r="E61" s="2">
        <f>Model_Renter!N61+Model_Renter!O61</f>
        <v>281223.06030399492</v>
      </c>
    </row>
    <row r="62" spans="1:5" x14ac:dyDescent="0.25">
      <c r="A62" s="31">
        <f t="shared" si="0"/>
        <v>60</v>
      </c>
      <c r="B62" s="33">
        <f t="shared" si="1"/>
        <v>5</v>
      </c>
      <c r="C62" s="5">
        <f>Model_30y!K62+Model_30y!AG62</f>
        <v>291353.03318864544</v>
      </c>
      <c r="D62" s="5">
        <f>Model_15y!K62+Model_15y!AG62</f>
        <v>301145.7968612148</v>
      </c>
      <c r="E62" s="2">
        <f>Model_Renter!N62+Model_Renter!O62</f>
        <v>284707.41699161188</v>
      </c>
    </row>
    <row r="63" spans="1:5" x14ac:dyDescent="0.25">
      <c r="A63" s="31">
        <f t="shared" si="0"/>
        <v>61</v>
      </c>
      <c r="B63" s="33">
        <f t="shared" si="1"/>
        <v>6</v>
      </c>
      <c r="C63" s="5">
        <f>Model_30y!K63+Model_30y!AG63</f>
        <v>295349.48354405037</v>
      </c>
      <c r="D63" s="5">
        <f>Model_15y!K63+Model_15y!AG63</f>
        <v>305241.48459925718</v>
      </c>
      <c r="E63" s="2">
        <f>Model_Renter!N63+Model_Renter!O63</f>
        <v>288121.31120636244</v>
      </c>
    </row>
    <row r="64" spans="1:5" x14ac:dyDescent="0.25">
      <c r="A64" s="31">
        <f t="shared" si="0"/>
        <v>62</v>
      </c>
      <c r="B64" s="33">
        <f t="shared" si="1"/>
        <v>6</v>
      </c>
      <c r="C64" s="5">
        <f>Model_30y!K64+Model_30y!AG64</f>
        <v>299366.2751434152</v>
      </c>
      <c r="D64" s="5">
        <f>Model_15y!K64+Model_15y!AG64</f>
        <v>309354.794604428</v>
      </c>
      <c r="E64" s="2">
        <f>Model_Renter!N64+Model_Renter!O64</f>
        <v>291564.90198940964</v>
      </c>
    </row>
    <row r="65" spans="1:5" x14ac:dyDescent="0.25">
      <c r="A65" s="31">
        <f t="shared" si="0"/>
        <v>63</v>
      </c>
      <c r="B65" s="33">
        <f t="shared" si="1"/>
        <v>6</v>
      </c>
      <c r="C65" s="5">
        <f>Model_30y!K65+Model_30y!AG65</f>
        <v>303403.51725312142</v>
      </c>
      <c r="D65" s="5">
        <f>Model_15y!K65+Model_15y!AG65</f>
        <v>313485.80165691633</v>
      </c>
      <c r="E65" s="2">
        <f>Model_Renter!N65+Model_Renter!O65</f>
        <v>295038.41801905021</v>
      </c>
    </row>
    <row r="66" spans="1:5" x14ac:dyDescent="0.25">
      <c r="A66" s="31">
        <f t="shared" si="0"/>
        <v>64</v>
      </c>
      <c r="B66" s="33">
        <f t="shared" si="1"/>
        <v>6</v>
      </c>
      <c r="C66" s="5">
        <f>Model_30y!K66+Model_30y!AG66</f>
        <v>307461.3197574988</v>
      </c>
      <c r="D66" s="5">
        <f>Model_15y!K66+Model_15y!AG66</f>
        <v>317634.58084536443</v>
      </c>
      <c r="E66" s="2">
        <f>Model_Renter!N66+Model_Renter!O66</f>
        <v>298542.08963981218</v>
      </c>
    </row>
    <row r="67" spans="1:5" x14ac:dyDescent="0.25">
      <c r="A67" s="31">
        <f t="shared" si="0"/>
        <v>65</v>
      </c>
      <c r="B67" s="33">
        <f t="shared" si="1"/>
        <v>6</v>
      </c>
      <c r="C67" s="5">
        <f>Model_30y!K67+Model_30y!AG67</f>
        <v>311539.79316248093</v>
      </c>
      <c r="D67" s="5">
        <f>Model_15y!K67+Model_15y!AG67</f>
        <v>321801.20756806887</v>
      </c>
      <c r="E67" s="2">
        <f>Model_Renter!N67+Model_Renter!O67</f>
        <v>302076.14887425367</v>
      </c>
    </row>
    <row r="68" spans="1:5" x14ac:dyDescent="0.25">
      <c r="A68" s="31">
        <f t="shared" ref="A68:A131" si="2">A67+1</f>
        <v>66</v>
      </c>
      <c r="B68" s="33">
        <f t="shared" ref="B68:B131" si="3">ROUNDUP(A68/12, 0)</f>
        <v>6</v>
      </c>
      <c r="C68" s="5">
        <f>Model_30y!K68+Model_30y!AG68</f>
        <v>315639.04859928344</v>
      </c>
      <c r="D68" s="5">
        <f>Model_15y!K68+Model_15y!AG68</f>
        <v>325985.75753418746</v>
      </c>
      <c r="E68" s="2">
        <f>Model_Renter!N68+Model_Renter!O68</f>
        <v>305640.82943484426</v>
      </c>
    </row>
    <row r="69" spans="1:5" x14ac:dyDescent="0.25">
      <c r="A69" s="31">
        <f t="shared" si="2"/>
        <v>67</v>
      </c>
      <c r="B69" s="33">
        <f t="shared" si="3"/>
        <v>6</v>
      </c>
      <c r="C69" s="5">
        <f>Model_30y!K69+Model_30y!AG69</f>
        <v>319759.19782810431</v>
      </c>
      <c r="D69" s="5">
        <f>Model_15y!K69+Model_15y!AG69</f>
        <v>330188.30676494841</v>
      </c>
      <c r="E69" s="2">
        <f>Model_Renter!N69+Model_Renter!O69</f>
        <v>309236.3667359291</v>
      </c>
    </row>
    <row r="70" spans="1:5" x14ac:dyDescent="0.25">
      <c r="A70" s="31">
        <f t="shared" si="2"/>
        <v>68</v>
      </c>
      <c r="B70" s="33">
        <f t="shared" si="3"/>
        <v>6</v>
      </c>
      <c r="C70" s="5">
        <f>Model_30y!K70+Model_30y!AG70</f>
        <v>323900.35324184707</v>
      </c>
      <c r="D70" s="5">
        <f>Model_15y!K70+Model_15y!AG70</f>
        <v>334408.9315948647</v>
      </c>
      <c r="E70" s="2">
        <f>Model_Renter!N70+Model_Renter!O70</f>
        <v>312862.99790577614</v>
      </c>
    </row>
    <row r="71" spans="1:5" x14ac:dyDescent="0.25">
      <c r="A71" s="31">
        <f t="shared" si="2"/>
        <v>69</v>
      </c>
      <c r="B71" s="33">
        <f t="shared" si="3"/>
        <v>6</v>
      </c>
      <c r="C71" s="5">
        <f>Model_30y!K71+Model_30y!AG71</f>
        <v>328062.62786986749</v>
      </c>
      <c r="D71" s="5">
        <f>Model_15y!K71+Model_15y!AG71</f>
        <v>338647.70867295272</v>
      </c>
      <c r="E71" s="2">
        <f>Model_Renter!N71+Model_Renter!O71</f>
        <v>316520.96179870761</v>
      </c>
    </row>
    <row r="72" spans="1:5" x14ac:dyDescent="0.25">
      <c r="A72" s="31">
        <f t="shared" si="2"/>
        <v>70</v>
      </c>
      <c r="B72" s="33">
        <f t="shared" si="3"/>
        <v>6</v>
      </c>
      <c r="C72" s="5">
        <f>Model_30y!K72+Model_30y!AG72</f>
        <v>332246.13538174197</v>
      </c>
      <c r="D72" s="5">
        <f>Model_15y!K72+Model_15y!AG72</f>
        <v>342904.71496395423</v>
      </c>
      <c r="E72" s="2">
        <f>Model_Renter!N72+Model_Renter!O72</f>
        <v>320210.49900731596</v>
      </c>
    </row>
    <row r="73" spans="1:5" x14ac:dyDescent="0.25">
      <c r="A73" s="31">
        <f t="shared" si="2"/>
        <v>71</v>
      </c>
      <c r="B73" s="33">
        <f t="shared" si="3"/>
        <v>6</v>
      </c>
      <c r="C73" s="5">
        <f>Model_30y!K73+Model_30y!AG73</f>
        <v>336450.99009106029</v>
      </c>
      <c r="D73" s="5">
        <f>Model_15y!K73+Model_15y!AG73</f>
        <v>347180.02774956339</v>
      </c>
      <c r="E73" s="2">
        <f>Model_Renter!N73+Model_Renter!O73</f>
        <v>323931.85187476501</v>
      </c>
    </row>
    <row r="74" spans="1:5" x14ac:dyDescent="0.25">
      <c r="A74" s="31">
        <f t="shared" si="2"/>
        <v>72</v>
      </c>
      <c r="B74" s="33">
        <f t="shared" si="3"/>
        <v>6</v>
      </c>
      <c r="C74" s="5">
        <f>Model_30y!K74+Model_30y!AG74</f>
        <v>340677.30695924116</v>
      </c>
      <c r="D74" s="5">
        <f>Model_15y!K74+Model_15y!AG74</f>
        <v>351473.72462965752</v>
      </c>
      <c r="E74" s="2">
        <f>Model_Renter!N74+Model_Renter!O74</f>
        <v>327685.26450717653</v>
      </c>
    </row>
    <row r="75" spans="1:5" x14ac:dyDescent="0.25">
      <c r="A75" s="31">
        <f t="shared" si="2"/>
        <v>73</v>
      </c>
      <c r="B75" s="33">
        <f t="shared" si="3"/>
        <v>7</v>
      </c>
      <c r="C75" s="5">
        <f>Model_30y!K75+Model_30y!AG75</f>
        <v>344925.20159937115</v>
      </c>
      <c r="D75" s="5">
        <f>Model_15y!K75+Model_15y!AG75</f>
        <v>355785.88352353178</v>
      </c>
      <c r="E75" s="2">
        <f>Model_Renter!N75+Model_Renter!O75</f>
        <v>331366.85494289803</v>
      </c>
    </row>
    <row r="76" spans="1:5" x14ac:dyDescent="0.25">
      <c r="A76" s="31">
        <f t="shared" si="2"/>
        <v>74</v>
      </c>
      <c r="B76" s="33">
        <f t="shared" si="3"/>
        <v>7</v>
      </c>
      <c r="C76" s="5">
        <f>Model_30y!K76+Model_30y!AG76</f>
        <v>349194.79028006719</v>
      </c>
      <c r="D76" s="5">
        <f>Model_15y!K76+Model_15y!AG76</f>
        <v>360116.58267113898</v>
      </c>
      <c r="E76" s="2">
        <f>Model_Renter!N76+Model_Renter!O76</f>
        <v>335080.28843036253</v>
      </c>
    </row>
    <row r="77" spans="1:5" x14ac:dyDescent="0.25">
      <c r="A77" s="31">
        <f t="shared" si="2"/>
        <v>75</v>
      </c>
      <c r="B77" s="33">
        <f t="shared" si="3"/>
        <v>7</v>
      </c>
      <c r="C77" s="5">
        <f>Model_30y!K77+Model_30y!AG77</f>
        <v>353486.18992936297</v>
      </c>
      <c r="D77" s="5">
        <f>Model_15y!K77+Model_15y!AG77</f>
        <v>364465.90063433273</v>
      </c>
      <c r="E77" s="2">
        <f>Model_Renter!N77+Model_Renter!O77</f>
        <v>338825.80959498329</v>
      </c>
    </row>
    <row r="78" spans="1:5" x14ac:dyDescent="0.25">
      <c r="A78" s="31">
        <f t="shared" si="2"/>
        <v>76</v>
      </c>
      <c r="B78" s="33">
        <f t="shared" si="3"/>
        <v>7</v>
      </c>
      <c r="C78" s="5">
        <f>Model_30y!K78+Model_30y!AG78</f>
        <v>357799.51813861926</v>
      </c>
      <c r="D78" s="5">
        <f>Model_15y!K78+Model_15y!AG78</f>
        <v>368833.91629811504</v>
      </c>
      <c r="E78" s="2">
        <f>Model_Renter!N78+Model_Renter!O78</f>
        <v>342603.6648425014</v>
      </c>
    </row>
    <row r="79" spans="1:5" x14ac:dyDescent="0.25">
      <c r="A79" s="31">
        <f t="shared" si="2"/>
        <v>77</v>
      </c>
      <c r="B79" s="33">
        <f t="shared" si="3"/>
        <v>7</v>
      </c>
      <c r="C79" s="5">
        <f>Model_30y!K79+Model_30y!AG79</f>
        <v>362134.89316645806</v>
      </c>
      <c r="D79" s="5">
        <f>Model_15y!K79+Model_15y!AG79</f>
        <v>373220.70887188823</v>
      </c>
      <c r="E79" s="2">
        <f>Model_Renter!N79+Model_Renter!O79</f>
        <v>346414.10237158427</v>
      </c>
    </row>
    <row r="80" spans="1:5" x14ac:dyDescent="0.25">
      <c r="A80" s="31">
        <f t="shared" si="2"/>
        <v>78</v>
      </c>
      <c r="B80" s="33">
        <f t="shared" si="3"/>
        <v>7</v>
      </c>
      <c r="C80" s="5">
        <f>Model_30y!K80+Model_30y!AG80</f>
        <v>366492.43394272099</v>
      </c>
      <c r="D80" s="5">
        <f>Model_15y!K80+Model_15y!AG80</f>
        <v>377626.35789071146</v>
      </c>
      <c r="E80" s="2">
        <f>Model_Renter!N80+Model_Renter!O80</f>
        <v>350257.37218651298</v>
      </c>
    </row>
    <row r="81" spans="1:5" x14ac:dyDescent="0.25">
      <c r="A81" s="31">
        <f t="shared" si="2"/>
        <v>79</v>
      </c>
      <c r="B81" s="33">
        <f t="shared" si="3"/>
        <v>7</v>
      </c>
      <c r="C81" s="5">
        <f>Model_30y!K81+Model_30y!AG81</f>
        <v>370872.26007245219</v>
      </c>
      <c r="D81" s="5">
        <f>Model_15y!K81+Model_15y!AG81</f>
        <v>382050.94321656041</v>
      </c>
      <c r="E81" s="2">
        <f>Model_Renter!N81+Model_Renter!O81</f>
        <v>354133.72610995668</v>
      </c>
    </row>
    <row r="82" spans="1:5" x14ac:dyDescent="0.25">
      <c r="A82" s="31">
        <f t="shared" si="2"/>
        <v>80</v>
      </c>
      <c r="B82" s="33">
        <f t="shared" si="3"/>
        <v>7</v>
      </c>
      <c r="C82" s="5">
        <f>Model_30y!K82+Model_30y!AG82</f>
        <v>375274.49183990556</v>
      </c>
      <c r="D82" s="5">
        <f>Model_15y!K82+Model_15y!AG82</f>
        <v>386494.54503959266</v>
      </c>
      <c r="E82" s="2">
        <f>Model_Renter!N82+Model_Renter!O82</f>
        <v>358043.41779583739</v>
      </c>
    </row>
    <row r="83" spans="1:5" x14ac:dyDescent="0.25">
      <c r="A83" s="31">
        <f t="shared" si="2"/>
        <v>81</v>
      </c>
      <c r="B83" s="33">
        <f t="shared" si="3"/>
        <v>7</v>
      </c>
      <c r="C83" s="5">
        <f>Model_30y!K83+Model_30y!AG83</f>
        <v>379699.25021257653</v>
      </c>
      <c r="D83" s="5">
        <f>Model_15y!K83+Model_15y!AG83</f>
        <v>390957.24387941614</v>
      </c>
      <c r="E83" s="2">
        <f>Model_Renter!N83+Model_Renter!O83</f>
        <v>361986.70274228317</v>
      </c>
    </row>
    <row r="84" spans="1:5" x14ac:dyDescent="0.25">
      <c r="A84" s="31">
        <f t="shared" si="2"/>
        <v>82</v>
      </c>
      <c r="B84" s="33">
        <f t="shared" si="3"/>
        <v>7</v>
      </c>
      <c r="C84" s="5">
        <f>Model_30y!K84+Model_30y!AG84</f>
        <v>384146.65684525901</v>
      </c>
      <c r="D84" s="5">
        <f>Model_15y!K84+Model_15y!AG84</f>
        <v>395439.12058636261</v>
      </c>
      <c r="E84" s="2">
        <f>Model_Renter!N84+Model_Renter!O84</f>
        <v>365963.83830467233</v>
      </c>
    </row>
    <row r="85" spans="1:5" x14ac:dyDescent="0.25">
      <c r="A85" s="31">
        <f t="shared" si="2"/>
        <v>83</v>
      </c>
      <c r="B85" s="33">
        <f t="shared" si="3"/>
        <v>7</v>
      </c>
      <c r="C85" s="5">
        <f>Model_30y!K85+Model_30y!AG85</f>
        <v>388616.83408412704</v>
      </c>
      <c r="D85" s="5">
        <f>Model_15y!K85+Model_15y!AG85</f>
        <v>399940.256342765</v>
      </c>
      <c r="E85" s="2">
        <f>Model_Renter!N85+Model_Renter!O85</f>
        <v>369975.0837087683</v>
      </c>
    </row>
    <row r="86" spans="1:5" x14ac:dyDescent="0.25">
      <c r="A86" s="31">
        <f t="shared" si="2"/>
        <v>84</v>
      </c>
      <c r="B86" s="33">
        <f t="shared" si="3"/>
        <v>7</v>
      </c>
      <c r="C86" s="5">
        <f>Model_30y!K86+Model_30y!AG86</f>
        <v>393109.90497084125</v>
      </c>
      <c r="D86" s="5">
        <f>Model_15y!K86+Model_15y!AG86</f>
        <v>404460.73266423913</v>
      </c>
      <c r="E86" s="2">
        <f>Model_Renter!N86+Model_Renter!O86</f>
        <v>374020.7000639459</v>
      </c>
    </row>
    <row r="87" spans="1:5" x14ac:dyDescent="0.25">
      <c r="A87" s="31">
        <f t="shared" si="2"/>
        <v>85</v>
      </c>
      <c r="B87" s="33">
        <f t="shared" si="3"/>
        <v>8</v>
      </c>
      <c r="C87" s="5">
        <f>Model_30y!K87+Model_30y!AG87</f>
        <v>397625.99324668158</v>
      </c>
      <c r="D87" s="5">
        <f>Model_15y!K87+Model_15y!AG87</f>
        <v>409000.63140097016</v>
      </c>
      <c r="E87" s="2">
        <f>Model_Renter!N87+Model_Renter!O87</f>
        <v>377993.18935981125</v>
      </c>
    </row>
    <row r="88" spans="1:5" x14ac:dyDescent="0.25">
      <c r="A88" s="31">
        <f t="shared" si="2"/>
        <v>86</v>
      </c>
      <c r="B88" s="33">
        <f t="shared" si="3"/>
        <v>8</v>
      </c>
      <c r="C88" s="5">
        <f>Model_30y!K88+Model_30y!AG88</f>
        <v>402165.22335670423</v>
      </c>
      <c r="D88" s="5">
        <f>Model_15y!K88+Model_15y!AG88</f>
        <v>413560.03473900253</v>
      </c>
      <c r="E88" s="2">
        <f>Model_Renter!N88+Model_Renter!O88</f>
        <v>381999.84248322633</v>
      </c>
    </row>
    <row r="89" spans="1:5" x14ac:dyDescent="0.25">
      <c r="A89" s="31">
        <f t="shared" si="2"/>
        <v>87</v>
      </c>
      <c r="B89" s="33">
        <f t="shared" si="3"/>
        <v>8</v>
      </c>
      <c r="C89" s="5">
        <f>Model_30y!K89+Model_30y!AG89</f>
        <v>406727.72045392508</v>
      </c>
      <c r="D89" s="5">
        <f>Model_15y!K89+Model_15y!AG89</f>
        <v>418139.02520153526</v>
      </c>
      <c r="E89" s="2">
        <f>Model_Renter!N89+Model_Renter!O89</f>
        <v>386040.92126087216</v>
      </c>
    </row>
    <row r="90" spans="1:5" x14ac:dyDescent="0.25">
      <c r="A90" s="31">
        <f t="shared" si="2"/>
        <v>88</v>
      </c>
      <c r="B90" s="33">
        <f t="shared" si="3"/>
        <v>8</v>
      </c>
      <c r="C90" s="5">
        <f>Model_30y!K90+Model_30y!AG90</f>
        <v>411313.6104035285</v>
      </c>
      <c r="D90" s="5">
        <f>Model_15y!K90+Model_15y!AG90</f>
        <v>422737.6856502202</v>
      </c>
      <c r="E90" s="2">
        <f>Model_Renter!N90+Model_Renter!O90</f>
        <v>390116.68942267454</v>
      </c>
    </row>
    <row r="91" spans="1:5" x14ac:dyDescent="0.25">
      <c r="A91" s="31">
        <f t="shared" si="2"/>
        <v>89</v>
      </c>
      <c r="B91" s="33">
        <f t="shared" si="3"/>
        <v>8</v>
      </c>
      <c r="C91" s="5">
        <f>Model_30y!K91+Model_30y!AG91</f>
        <v>415923.01978710212</v>
      </c>
      <c r="D91" s="5">
        <f>Model_15y!K91+Model_15y!AG91</f>
        <v>427356.09928646672</v>
      </c>
      <c r="E91" s="2">
        <f>Model_Renter!N91+Model_Renter!O91</f>
        <v>394227.41261526418</v>
      </c>
    </row>
    <row r="92" spans="1:5" x14ac:dyDescent="0.25">
      <c r="A92" s="31">
        <f t="shared" si="2"/>
        <v>90</v>
      </c>
      <c r="B92" s="33">
        <f t="shared" si="3"/>
        <v>8</v>
      </c>
      <c r="C92" s="5">
        <f>Model_30y!K92+Model_30y!AG92</f>
        <v>420556.07590689784</v>
      </c>
      <c r="D92" s="5">
        <f>Model_15y!K92+Model_15y!AG92</f>
        <v>431994.34965274786</v>
      </c>
      <c r="E92" s="2">
        <f>Model_Renter!N92+Model_Renter!O92</f>
        <v>398373.3584155307</v>
      </c>
    </row>
    <row r="93" spans="1:5" x14ac:dyDescent="0.25">
      <c r="A93" s="31">
        <f t="shared" si="2"/>
        <v>91</v>
      </c>
      <c r="B93" s="33">
        <f t="shared" si="3"/>
        <v>8</v>
      </c>
      <c r="C93" s="5">
        <f>Model_30y!K93+Model_30y!AG93</f>
        <v>425212.90679011884</v>
      </c>
      <c r="D93" s="5">
        <f>Model_15y!K93+Model_15y!AG93</f>
        <v>436652.52063391416</v>
      </c>
      <c r="E93" s="2">
        <f>Model_Renter!N93+Model_Renter!O93</f>
        <v>402554.79634427058</v>
      </c>
    </row>
    <row r="94" spans="1:5" x14ac:dyDescent="0.25">
      <c r="A94" s="31">
        <f t="shared" si="2"/>
        <v>92</v>
      </c>
      <c r="B94" s="33">
        <f t="shared" si="3"/>
        <v>8</v>
      </c>
      <c r="C94" s="5">
        <f>Model_30y!K94+Model_30y!AG94</f>
        <v>429893.64119323331</v>
      </c>
      <c r="D94" s="5">
        <f>Model_15y!K94+Model_15y!AG94</f>
        <v>441330.6964585089</v>
      </c>
      <c r="E94" s="2">
        <f>Model_Renter!N94+Model_Renter!O94</f>
        <v>406771.99787993077</v>
      </c>
    </row>
    <row r="95" spans="1:5" x14ac:dyDescent="0.25">
      <c r="A95" s="31">
        <f t="shared" si="2"/>
        <v>93</v>
      </c>
      <c r="B95" s="33">
        <f t="shared" si="3"/>
        <v>8</v>
      </c>
      <c r="C95" s="5">
        <f>Model_30y!K95+Model_30y!AG95</f>
        <v>434598.40860631433</v>
      </c>
      <c r="D95" s="5">
        <f>Model_15y!K95+Model_15y!AG95</f>
        <v>446028.96170008939</v>
      </c>
      <c r="E95" s="2">
        <f>Model_Renter!N95+Model_Renter!O95</f>
        <v>411025.23647244769</v>
      </c>
    </row>
    <row r="96" spans="1:5" x14ac:dyDescent="0.25">
      <c r="A96" s="31">
        <f t="shared" si="2"/>
        <v>94</v>
      </c>
      <c r="B96" s="33">
        <f t="shared" si="3"/>
        <v>8</v>
      </c>
      <c r="C96" s="5">
        <f>Model_30y!K96+Model_30y!AG96</f>
        <v>439327.339257407</v>
      </c>
      <c r="D96" s="5">
        <f>Model_15y!K96+Model_15y!AG96</f>
        <v>450747.40127855237</v>
      </c>
      <c r="E96" s="2">
        <f>Model_Renter!N96+Model_Renter!O96</f>
        <v>415314.78755718243</v>
      </c>
    </row>
    <row r="97" spans="1:5" x14ac:dyDescent="0.25">
      <c r="A97" s="31">
        <f t="shared" si="2"/>
        <v>95</v>
      </c>
      <c r="B97" s="33">
        <f t="shared" si="3"/>
        <v>8</v>
      </c>
      <c r="C97" s="5">
        <f>Model_30y!K97+Model_30y!AG97</f>
        <v>444080.56411692244</v>
      </c>
      <c r="D97" s="5">
        <f>Model_15y!K97+Model_15y!AG97</f>
        <v>455486.10046146373</v>
      </c>
      <c r="E97" s="2">
        <f>Model_Renter!N97+Model_Renter!O97</f>
        <v>419640.92856895342</v>
      </c>
    </row>
    <row r="98" spans="1:5" x14ac:dyDescent="0.25">
      <c r="A98" s="31">
        <f t="shared" si="2"/>
        <v>96</v>
      </c>
      <c r="B98" s="33">
        <f t="shared" si="3"/>
        <v>8</v>
      </c>
      <c r="C98" s="5">
        <f>Model_30y!K98+Model_30y!AG98</f>
        <v>448858.21490205819</v>
      </c>
      <c r="D98" s="5">
        <f>Model_15y!K98+Model_15y!AG98</f>
        <v>460245.14486539218</v>
      </c>
      <c r="E98" s="2">
        <f>Model_Renter!N98+Model_Renter!O98</f>
        <v>424003.9389561665</v>
      </c>
    </row>
    <row r="99" spans="1:5" x14ac:dyDescent="0.25">
      <c r="A99" s="31">
        <f t="shared" si="2"/>
        <v>97</v>
      </c>
      <c r="B99" s="33">
        <f t="shared" si="3"/>
        <v>9</v>
      </c>
      <c r="C99" s="5">
        <f>Model_30y!K99+Model_30y!AG99</f>
        <v>453660.42408124707</v>
      </c>
      <c r="D99" s="5">
        <f>Model_15y!K99+Model_15y!AG99</f>
        <v>465024.62045724859</v>
      </c>
      <c r="E99" s="2">
        <f>Model_Renter!N99+Model_Renter!O99</f>
        <v>428292.58318455517</v>
      </c>
    </row>
    <row r="100" spans="1:5" x14ac:dyDescent="0.25">
      <c r="A100" s="31">
        <f t="shared" si="2"/>
        <v>98</v>
      </c>
      <c r="B100" s="33">
        <f t="shared" si="3"/>
        <v>9</v>
      </c>
      <c r="C100" s="5">
        <f>Model_30y!K100+Model_30y!AG100</f>
        <v>458487.32487863215</v>
      </c>
      <c r="D100" s="5">
        <f>Model_15y!K100+Model_15y!AG100</f>
        <v>469824.61355562741</v>
      </c>
      <c r="E100" s="2">
        <f>Model_Renter!N100+Model_Renter!O100</f>
        <v>432617.90111655771</v>
      </c>
    </row>
    <row r="101" spans="1:5" x14ac:dyDescent="0.25">
      <c r="A101" s="31">
        <f t="shared" si="2"/>
        <v>99</v>
      </c>
      <c r="B101" s="33">
        <f t="shared" si="3"/>
        <v>9</v>
      </c>
      <c r="C101" s="5">
        <f>Model_30y!K101+Model_30y!AG101</f>
        <v>463339.05127857043</v>
      </c>
      <c r="D101" s="5">
        <f>Model_15y!K101+Model_15y!AG101</f>
        <v>474645.21083215589</v>
      </c>
      <c r="E101" s="2">
        <f>Model_Renter!N101+Model_Renter!O101</f>
        <v>436980.17313854425</v>
      </c>
    </row>
    <row r="102" spans="1:5" x14ac:dyDescent="0.25">
      <c r="A102" s="31">
        <f t="shared" si="2"/>
        <v>100</v>
      </c>
      <c r="B102" s="33">
        <f t="shared" si="3"/>
        <v>9</v>
      </c>
      <c r="C102" s="5">
        <f>Model_30y!K102+Model_30y!AG102</f>
        <v>468215.73803016392</v>
      </c>
      <c r="D102" s="5">
        <f>Model_15y!K102+Model_15y!AG102</f>
        <v>479486.4993128443</v>
      </c>
      <c r="E102" s="2">
        <f>Model_Renter!N102+Model_Renter!O102</f>
        <v>441379.68167259212</v>
      </c>
    </row>
    <row r="103" spans="1:5" x14ac:dyDescent="0.25">
      <c r="A103" s="31">
        <f t="shared" si="2"/>
        <v>101</v>
      </c>
      <c r="B103" s="33">
        <f t="shared" si="3"/>
        <v>9</v>
      </c>
      <c r="C103" s="5">
        <f>Model_30y!K103+Model_30y!AG103</f>
        <v>473117.52065181831</v>
      </c>
      <c r="D103" s="5">
        <f>Model_15y!K103+Model_15y!AG103</f>
        <v>484348.56637944328</v>
      </c>
      <c r="E103" s="2">
        <f>Model_Renter!N103+Model_Renter!O103</f>
        <v>445816.71119087347</v>
      </c>
    </row>
    <row r="104" spans="1:5" x14ac:dyDescent="0.25">
      <c r="A104" s="31">
        <f t="shared" si="2"/>
        <v>102</v>
      </c>
      <c r="B104" s="33">
        <f t="shared" si="3"/>
        <v>9</v>
      </c>
      <c r="C104" s="5">
        <f>Model_30y!K104+Model_30y!AG104</f>
        <v>478044.53543583013</v>
      </c>
      <c r="D104" s="5">
        <f>Model_15y!K104+Model_15y!AG104</f>
        <v>489231.49977080378</v>
      </c>
      <c r="E104" s="2">
        <f>Model_Renter!N104+Model_Renter!O104</f>
        <v>450291.54823014251</v>
      </c>
    </row>
    <row r="105" spans="1:5" x14ac:dyDescent="0.25">
      <c r="A105" s="31">
        <f t="shared" si="2"/>
        <v>103</v>
      </c>
      <c r="B105" s="33">
        <f t="shared" si="3"/>
        <v>9</v>
      </c>
      <c r="C105" s="5">
        <f>Model_30y!K105+Model_30y!AG105</f>
        <v>482996.91945300263</v>
      </c>
      <c r="D105" s="5">
        <f>Model_15y!K105+Model_15y!AG105</f>
        <v>494135.38758424245</v>
      </c>
      <c r="E105" s="2">
        <f>Model_Renter!N105+Model_Renter!O105</f>
        <v>454804.48140632478</v>
      </c>
    </row>
    <row r="106" spans="1:5" x14ac:dyDescent="0.25">
      <c r="A106" s="31">
        <f t="shared" si="2"/>
        <v>104</v>
      </c>
      <c r="B106" s="33">
        <f t="shared" si="3"/>
        <v>9</v>
      </c>
      <c r="C106" s="5">
        <f>Model_30y!K106+Model_30y!AG106</f>
        <v>487974.81055728951</v>
      </c>
      <c r="D106" s="5">
        <f>Model_15y!K106+Model_15y!AG106</f>
        <v>499060.31827691174</v>
      </c>
      <c r="E106" s="2">
        <f>Model_Renter!N106+Model_Renter!O106</f>
        <v>459355.8014292068</v>
      </c>
    </row>
    <row r="107" spans="1:5" x14ac:dyDescent="0.25">
      <c r="A107" s="31">
        <f t="shared" si="2"/>
        <v>105</v>
      </c>
      <c r="B107" s="33">
        <f t="shared" si="3"/>
        <v>9</v>
      </c>
      <c r="C107" s="5">
        <f>Model_30y!K107+Model_30y!AG107</f>
        <v>492978.3473904673</v>
      </c>
      <c r="D107" s="5">
        <f>Model_15y!K107+Model_15y!AG107</f>
        <v>504006.38066717336</v>
      </c>
      <c r="E107" s="2">
        <f>Model_Renter!N107+Model_Renter!O107</f>
        <v>463945.80111722858</v>
      </c>
    </row>
    <row r="108" spans="1:5" x14ac:dyDescent="0.25">
      <c r="A108" s="31">
        <f t="shared" si="2"/>
        <v>106</v>
      </c>
      <c r="B108" s="33">
        <f t="shared" si="3"/>
        <v>9</v>
      </c>
      <c r="C108" s="5">
        <f>Model_30y!K108+Model_30y!AG108</f>
        <v>498007.66938683687</v>
      </c>
      <c r="D108" s="5">
        <f>Model_15y!K108+Model_15y!AG108</f>
        <v>508973.66393597715</v>
      </c>
      <c r="E108" s="2">
        <f>Model_Renter!N108+Model_Renter!O108</f>
        <v>468574.77541237936</v>
      </c>
    </row>
    <row r="109" spans="1:5" x14ac:dyDescent="0.25">
      <c r="A109" s="31">
        <f t="shared" si="2"/>
        <v>107</v>
      </c>
      <c r="B109" s="33">
        <f t="shared" si="3"/>
        <v>9</v>
      </c>
      <c r="C109" s="5">
        <f>Model_30y!K109+Model_30y!AG109</f>
        <v>503062.91677795467</v>
      </c>
      <c r="D109" s="5">
        <f>Model_15y!K109+Model_15y!AG109</f>
        <v>513962.25762824464</v>
      </c>
      <c r="E109" s="2">
        <f>Model_Renter!N109+Model_Renter!O109</f>
        <v>473243.02139519609</v>
      </c>
    </row>
    <row r="110" spans="1:5" x14ac:dyDescent="0.25">
      <c r="A110" s="31">
        <f t="shared" si="2"/>
        <v>108</v>
      </c>
      <c r="B110" s="33">
        <f t="shared" si="3"/>
        <v>9</v>
      </c>
      <c r="C110" s="5">
        <f>Model_30y!K110+Model_30y!AG110</f>
        <v>508144.23059739184</v>
      </c>
      <c r="D110" s="5">
        <f>Model_15y!K110+Model_15y!AG110</f>
        <v>518972.2516542559</v>
      </c>
      <c r="E110" s="2">
        <f>Model_Renter!N110+Model_Renter!O110</f>
        <v>477950.83829986752</v>
      </c>
    </row>
    <row r="111" spans="1:5" x14ac:dyDescent="0.25">
      <c r="A111" s="31">
        <f t="shared" si="2"/>
        <v>109</v>
      </c>
      <c r="B111" s="33">
        <f t="shared" si="3"/>
        <v>10</v>
      </c>
      <c r="C111" s="5">
        <f>Model_30y!K111+Model_30y!AG111</f>
        <v>513251.7526855233</v>
      </c>
      <c r="D111" s="5">
        <f>Model_15y!K111+Model_15y!AG111</f>
        <v>524003.73629104241</v>
      </c>
      <c r="E111" s="2">
        <f>Model_Renter!N111+Model_Renter!O111</f>
        <v>482583.12776440865</v>
      </c>
    </row>
    <row r="112" spans="1:5" x14ac:dyDescent="0.25">
      <c r="A112" s="31">
        <f t="shared" si="2"/>
        <v>110</v>
      </c>
      <c r="B112" s="33">
        <f t="shared" si="3"/>
        <v>10</v>
      </c>
      <c r="C112" s="5">
        <f>Model_30y!K112+Model_30y!AG112</f>
        <v>518385.62569434714</v>
      </c>
      <c r="D112" s="5">
        <f>Model_15y!K112+Model_15y!AG112</f>
        <v>529056.80218378315</v>
      </c>
      <c r="E112" s="2">
        <f>Model_Renter!N112+Model_Renter!O112</f>
        <v>487254.80599008326</v>
      </c>
    </row>
    <row r="113" spans="1:5" x14ac:dyDescent="0.25">
      <c r="A113" s="31">
        <f t="shared" si="2"/>
        <v>111</v>
      </c>
      <c r="B113" s="33">
        <f t="shared" si="3"/>
        <v>10</v>
      </c>
      <c r="C113" s="5">
        <f>Model_30y!K113+Model_30y!AG113</f>
        <v>523545.99309233262</v>
      </c>
      <c r="D113" s="5">
        <f>Model_15y!K113+Model_15y!AG113</f>
        <v>534131.54034720664</v>
      </c>
      <c r="E113" s="2">
        <f>Model_Renter!N113+Model_Renter!O113</f>
        <v>491966.17339449102</v>
      </c>
    </row>
    <row r="114" spans="1:5" x14ac:dyDescent="0.25">
      <c r="A114" s="31">
        <f t="shared" si="2"/>
        <v>112</v>
      </c>
      <c r="B114" s="33">
        <f t="shared" si="3"/>
        <v>10</v>
      </c>
      <c r="C114" s="5">
        <f>Model_30y!K114+Model_30y!AG114</f>
        <v>528732.99916929915</v>
      </c>
      <c r="D114" s="5">
        <f>Model_15y!K114+Model_15y!AG114</f>
        <v>539228.04216699547</v>
      </c>
      <c r="E114" s="2">
        <f>Model_Renter!N114+Model_Renter!O114</f>
        <v>496717.53257373185</v>
      </c>
    </row>
    <row r="115" spans="1:5" x14ac:dyDescent="0.25">
      <c r="A115" s="31">
        <f t="shared" si="2"/>
        <v>113</v>
      </c>
      <c r="B115" s="33">
        <f t="shared" si="3"/>
        <v>10</v>
      </c>
      <c r="C115" s="5">
        <f>Model_30y!K115+Model_30y!AG115</f>
        <v>533946.78904132452</v>
      </c>
      <c r="D115" s="5">
        <f>Model_15y!K115+Model_15y!AG115</f>
        <v>544346.39940119768</v>
      </c>
      <c r="E115" s="2">
        <f>Model_Renter!N115+Model_Renter!O115</f>
        <v>501509.18831779237</v>
      </c>
    </row>
    <row r="116" spans="1:5" x14ac:dyDescent="0.25">
      <c r="A116" s="31">
        <f t="shared" si="2"/>
        <v>114</v>
      </c>
      <c r="B116" s="33">
        <f t="shared" si="3"/>
        <v>10</v>
      </c>
      <c r="C116" s="5">
        <f>Model_30y!K116+Model_30y!AG116</f>
        <v>539187.50865568453</v>
      </c>
      <c r="D116" s="5">
        <f>Model_15y!K116+Model_15y!AG116</f>
        <v>549486.70418164134</v>
      </c>
      <c r="E116" s="2">
        <f>Model_Renter!N116+Model_Renter!O116</f>
        <v>506341.44762604003</v>
      </c>
    </row>
    <row r="117" spans="1:5" x14ac:dyDescent="0.25">
      <c r="A117" s="31">
        <f t="shared" si="2"/>
        <v>115</v>
      </c>
      <c r="B117" s="33">
        <f t="shared" si="3"/>
        <v>10</v>
      </c>
      <c r="C117" s="5">
        <f>Model_30y!K117+Model_30y!AG117</f>
        <v>544455.30479582225</v>
      </c>
      <c r="D117" s="5">
        <f>Model_15y!K117+Model_15y!AG117</f>
        <v>554649.04901535378</v>
      </c>
      <c r="E117" s="2">
        <f>Model_Renter!N117+Model_Renter!O117</f>
        <v>511214.61972282419</v>
      </c>
    </row>
    <row r="118" spans="1:5" x14ac:dyDescent="0.25">
      <c r="A118" s="31">
        <f t="shared" si="2"/>
        <v>116</v>
      </c>
      <c r="B118" s="33">
        <f t="shared" si="3"/>
        <v>10</v>
      </c>
      <c r="C118" s="5">
        <f>Model_30y!K118+Model_30y!AG118</f>
        <v>549750.32508634869</v>
      </c>
      <c r="D118" s="5">
        <f>Model_15y!K118+Model_15y!AG118</f>
        <v>559833.5267859858</v>
      </c>
      <c r="E118" s="2">
        <f>Model_Renter!N118+Model_Renter!O118</f>
        <v>516129.01607318671</v>
      </c>
    </row>
    <row r="119" spans="1:5" x14ac:dyDescent="0.25">
      <c r="A119" s="31">
        <f t="shared" si="2"/>
        <v>117</v>
      </c>
      <c r="B119" s="33">
        <f t="shared" si="3"/>
        <v>10</v>
      </c>
      <c r="C119" s="5">
        <f>Model_30y!K119+Model_30y!AG119</f>
        <v>555072.71799807344</v>
      </c>
      <c r="D119" s="5">
        <f>Model_15y!K119+Model_15y!AG119</f>
        <v>565040.23075524007</v>
      </c>
      <c r="E119" s="2">
        <f>Model_Renter!N119+Model_Renter!O119</f>
        <v>521084.9503986811</v>
      </c>
    </row>
    <row r="120" spans="1:5" x14ac:dyDescent="0.25">
      <c r="A120" s="31">
        <f t="shared" si="2"/>
        <v>118</v>
      </c>
      <c r="B120" s="33">
        <f t="shared" si="3"/>
        <v>10</v>
      </c>
      <c r="C120" s="5">
        <f>Model_30y!K120+Model_30y!AG120</f>
        <v>560422.63285306818</v>
      </c>
      <c r="D120" s="5">
        <f>Model_15y!K120+Model_15y!AG120</f>
        <v>570269.25456430449</v>
      </c>
      <c r="E120" s="2">
        <f>Model_Renter!N120+Model_Renter!O120</f>
        <v>526082.73869330215</v>
      </c>
    </row>
    <row r="121" spans="1:5" x14ac:dyDescent="0.25">
      <c r="A121" s="31">
        <f t="shared" si="2"/>
        <v>119</v>
      </c>
      <c r="B121" s="33">
        <f t="shared" si="3"/>
        <v>10</v>
      </c>
      <c r="C121" s="5">
        <f>Model_30y!K121+Model_30y!AG121</f>
        <v>565800.21982975979</v>
      </c>
      <c r="D121" s="5">
        <f>Model_15y!K121+Model_15y!AG121</f>
        <v>575520.69223529031</v>
      </c>
      <c r="E121" s="2">
        <f>Model_Renter!N121+Model_Renter!O121</f>
        <v>531122.69923952641</v>
      </c>
    </row>
    <row r="122" spans="1:5" x14ac:dyDescent="0.25">
      <c r="A122" s="31">
        <f t="shared" si="2"/>
        <v>120</v>
      </c>
      <c r="B122" s="33">
        <f t="shared" si="3"/>
        <v>10</v>
      </c>
      <c r="C122" s="5">
        <f>Model_30y!K122+Model_30y!AG122</f>
        <v>571205.62996805552</v>
      </c>
      <c r="D122" s="5">
        <f>Model_15y!K122+Model_15y!AG122</f>
        <v>580794.63817267376</v>
      </c>
      <c r="E122" s="2">
        <f>Model_Renter!N122+Model_Renter!O122</f>
        <v>536205.15262446424</v>
      </c>
    </row>
    <row r="123" spans="1:5" x14ac:dyDescent="0.25">
      <c r="A123" s="31">
        <f t="shared" si="2"/>
        <v>121</v>
      </c>
      <c r="B123" s="33">
        <f t="shared" si="3"/>
        <v>11</v>
      </c>
      <c r="C123" s="5">
        <f>Model_30y!K123+Model_30y!AG123</f>
        <v>576639.01517450041</v>
      </c>
      <c r="D123" s="5">
        <f>Model_15y!K123+Model_15y!AG123</f>
        <v>586091.18716474343</v>
      </c>
      <c r="E123" s="2">
        <f>Model_Renter!N123+Model_Renter!O123</f>
        <v>541211.00842060708</v>
      </c>
    </row>
    <row r="124" spans="1:5" x14ac:dyDescent="0.25">
      <c r="A124" s="31">
        <f t="shared" si="2"/>
        <v>122</v>
      </c>
      <c r="B124" s="33">
        <f t="shared" si="3"/>
        <v>11</v>
      </c>
      <c r="C124" s="5">
        <f>Model_30y!K124+Model_30y!AG124</f>
        <v>582100.52822746639</v>
      </c>
      <c r="D124" s="5">
        <f>Model_15y!K124+Model_15y!AG124</f>
        <v>591410.43438505218</v>
      </c>
      <c r="E124" s="2">
        <f>Model_Renter!N124+Model_Renter!O124</f>
        <v>546259.19068087847</v>
      </c>
    </row>
    <row r="125" spans="1:5" x14ac:dyDescent="0.25">
      <c r="A125" s="31">
        <f t="shared" si="2"/>
        <v>123</v>
      </c>
      <c r="B125" s="33">
        <f t="shared" si="3"/>
        <v>11</v>
      </c>
      <c r="C125" s="5">
        <f>Model_30y!K125+Model_30y!AG125</f>
        <v>587590.32278237306</v>
      </c>
      <c r="D125" s="5">
        <f>Model_15y!K125+Model_15y!AG125</f>
        <v>596752.47539387317</v>
      </c>
      <c r="E125" s="2">
        <f>Model_Renter!N125+Model_Renter!O125</f>
        <v>551350.0214483703</v>
      </c>
    </row>
    <row r="126" spans="1:5" x14ac:dyDescent="0.25">
      <c r="A126" s="31">
        <f t="shared" si="2"/>
        <v>124</v>
      </c>
      <c r="B126" s="33">
        <f t="shared" si="3"/>
        <v>11</v>
      </c>
      <c r="C126" s="5">
        <f>Model_30y!K126+Model_30y!AG126</f>
        <v>593108.55337694124</v>
      </c>
      <c r="D126" s="5">
        <f>Model_15y!K126+Model_15y!AG126</f>
        <v>602117.40613966051</v>
      </c>
      <c r="E126" s="2">
        <f>Model_Renter!N126+Model_Renter!O126</f>
        <v>556483.82509865041</v>
      </c>
    </row>
    <row r="127" spans="1:5" x14ac:dyDescent="0.25">
      <c r="A127" s="31">
        <f t="shared" si="2"/>
        <v>125</v>
      </c>
      <c r="B127" s="33">
        <f t="shared" si="3"/>
        <v>11</v>
      </c>
      <c r="C127" s="5">
        <f>Model_30y!K127+Model_30y!AG127</f>
        <v>598655.37543647934</v>
      </c>
      <c r="D127" s="5">
        <f>Model_15y!K127+Model_15y!AG127</f>
        <v>607505.32296051539</v>
      </c>
      <c r="E127" s="2">
        <f>Model_Renter!N127+Model_Renter!O127</f>
        <v>561660.92835622572</v>
      </c>
    </row>
    <row r="128" spans="1:5" x14ac:dyDescent="0.25">
      <c r="A128" s="31">
        <f t="shared" si="2"/>
        <v>126</v>
      </c>
      <c r="B128" s="33">
        <f t="shared" si="3"/>
        <v>11</v>
      </c>
      <c r="C128" s="5">
        <f>Model_30y!K128+Model_30y!AG128</f>
        <v>604230.94527920149</v>
      </c>
      <c r="D128" s="5">
        <f>Model_15y!K128+Model_15y!AG128</f>
        <v>612916.32258565561</v>
      </c>
      <c r="E128" s="2">
        <f>Model_Renter!N128+Model_Renter!O128</f>
        <v>566881.66031111986</v>
      </c>
    </row>
    <row r="129" spans="1:5" x14ac:dyDescent="0.25">
      <c r="A129" s="31">
        <f t="shared" si="2"/>
        <v>127</v>
      </c>
      <c r="B129" s="33">
        <f t="shared" si="3"/>
        <v>11</v>
      </c>
      <c r="C129" s="5">
        <f>Model_30y!K129+Model_30y!AG129</f>
        <v>609835.42012158001</v>
      </c>
      <c r="D129" s="5">
        <f>Model_15y!K129+Model_15y!AG129</f>
        <v>618350.50213689066</v>
      </c>
      <c r="E129" s="2">
        <f>Model_Renter!N129+Model_Renter!O129</f>
        <v>572146.3524355666</v>
      </c>
    </row>
    <row r="130" spans="1:5" x14ac:dyDescent="0.25">
      <c r="A130" s="31">
        <f t="shared" si="2"/>
        <v>128</v>
      </c>
      <c r="B130" s="33">
        <f t="shared" si="3"/>
        <v>11</v>
      </c>
      <c r="C130" s="5">
        <f>Model_30y!K130+Model_30y!AG130</f>
        <v>615468.95808372973</v>
      </c>
      <c r="D130" s="5">
        <f>Model_15y!K130+Model_15y!AG130</f>
        <v>623807.95913010207</v>
      </c>
      <c r="E130" s="2">
        <f>Model_Renter!N130+Model_Renter!O130</f>
        <v>577455.338600819</v>
      </c>
    </row>
    <row r="131" spans="1:5" x14ac:dyDescent="0.25">
      <c r="A131" s="31">
        <f t="shared" si="2"/>
        <v>129</v>
      </c>
      <c r="B131" s="33">
        <f t="shared" si="3"/>
        <v>11</v>
      </c>
      <c r="C131" s="5">
        <f>Model_30y!K131+Model_30y!AG131</f>
        <v>621131.71819482674</v>
      </c>
      <c r="D131" s="5">
        <f>Model_15y!K131+Model_15y!AG131</f>
        <v>629288.79147672595</v>
      </c>
      <c r="E131" s="2">
        <f>Model_Renter!N131+Model_Renter!O131</f>
        <v>582808.95509407576</v>
      </c>
    </row>
    <row r="132" spans="1:5" x14ac:dyDescent="0.25">
      <c r="A132" s="31">
        <f t="shared" ref="A132:A195" si="4">A131+1</f>
        <v>130</v>
      </c>
      <c r="B132" s="33">
        <f t="shared" ref="B132:B195" si="5">ROUNDUP(A132/12, 0)</f>
        <v>11</v>
      </c>
      <c r="C132" s="5">
        <f>Model_30y!K132+Model_30y!AG132</f>
        <v>626823.86039856006</v>
      </c>
      <c r="D132" s="5">
        <f>Model_15y!K132+Model_15y!AG132</f>
        <v>634793.09748524381</v>
      </c>
      <c r="E132" s="2">
        <f>Model_Renter!N132+Model_Renter!O132</f>
        <v>588207.54063552478</v>
      </c>
    </row>
    <row r="133" spans="1:5" x14ac:dyDescent="0.25">
      <c r="A133" s="31">
        <f t="shared" si="4"/>
        <v>131</v>
      </c>
      <c r="B133" s="33">
        <f t="shared" si="5"/>
        <v>11</v>
      </c>
      <c r="C133" s="5">
        <f>Model_30y!K133+Model_30y!AG133</f>
        <v>632545.5455586171</v>
      </c>
      <c r="D133" s="5">
        <f>Model_15y!K133+Model_15y!AG133</f>
        <v>640320.97586267418</v>
      </c>
      <c r="E133" s="2">
        <f>Model_Renter!N133+Model_Renter!O133</f>
        <v>593651.43639550603</v>
      </c>
    </row>
    <row r="134" spans="1:5" x14ac:dyDescent="0.25">
      <c r="A134" s="31">
        <f t="shared" si="4"/>
        <v>132</v>
      </c>
      <c r="B134" s="33">
        <f t="shared" si="5"/>
        <v>11</v>
      </c>
      <c r="C134" s="5">
        <f>Model_30y!K134+Model_30y!AG134</f>
        <v>638296.93546420382</v>
      </c>
      <c r="D134" s="5">
        <f>Model_15y!K134+Model_15y!AG134</f>
        <v>645872.52571607265</v>
      </c>
      <c r="E134" s="2">
        <f>Model_Renter!N134+Model_Renter!O134</f>
        <v>599140.98601179349</v>
      </c>
    </row>
    <row r="135" spans="1:5" x14ac:dyDescent="0.25">
      <c r="A135" s="31">
        <f t="shared" si="4"/>
        <v>133</v>
      </c>
      <c r="B135" s="33">
        <f t="shared" si="5"/>
        <v>12</v>
      </c>
      <c r="C135" s="5">
        <f>Model_30y!K135+Model_30y!AG135</f>
        <v>644078.19283559895</v>
      </c>
      <c r="D135" s="5">
        <f>Model_15y!K135+Model_15y!AG135</f>
        <v>651447.84655403334</v>
      </c>
      <c r="E135" s="2">
        <f>Model_Renter!N135+Model_Renter!O135</f>
        <v>604552.97371249693</v>
      </c>
    </row>
    <row r="136" spans="1:5" x14ac:dyDescent="0.25">
      <c r="A136" s="31">
        <f t="shared" si="4"/>
        <v>134</v>
      </c>
      <c r="B136" s="33">
        <f t="shared" si="5"/>
        <v>12</v>
      </c>
      <c r="C136" s="5">
        <f>Model_30y!K136+Model_30y!AG136</f>
        <v>649889.48132974119</v>
      </c>
      <c r="D136" s="5">
        <f>Model_15y!K136+Model_15y!AG136</f>
        <v>657047.03828819795</v>
      </c>
      <c r="E136" s="2">
        <f>Model_Renter!N136+Model_Renter!O136</f>
        <v>610010.46719155612</v>
      </c>
    </row>
    <row r="137" spans="1:5" x14ac:dyDescent="0.25">
      <c r="A137" s="31">
        <f t="shared" si="4"/>
        <v>135</v>
      </c>
      <c r="B137" s="33">
        <f t="shared" si="5"/>
        <v>12</v>
      </c>
      <c r="C137" s="5">
        <f>Model_30y!K137+Model_30y!AG137</f>
        <v>655730.9655458536</v>
      </c>
      <c r="D137" s="5">
        <f>Model_15y!K137+Model_15y!AG137</f>
        <v>662670.20123476663</v>
      </c>
      <c r="E137" s="2">
        <f>Model_Renter!N137+Model_Renter!O137</f>
        <v>615513.81184496428</v>
      </c>
    </row>
    <row r="138" spans="1:5" x14ac:dyDescent="0.25">
      <c r="A138" s="31">
        <f t="shared" si="4"/>
        <v>136</v>
      </c>
      <c r="B138" s="33">
        <f t="shared" si="5"/>
        <v>12</v>
      </c>
      <c r="C138" s="5">
        <f>Model_30y!K138+Model_30y!AG138</f>
        <v>661602.8110311015</v>
      </c>
      <c r="D138" s="5">
        <f>Model_15y!K138+Model_15y!AG138</f>
        <v>668317.43611601694</v>
      </c>
      <c r="E138" s="2">
        <f>Model_Renter!N138+Model_Renter!O138</f>
        <v>621063.35556727182</v>
      </c>
    </row>
    <row r="139" spans="1:5" x14ac:dyDescent="0.25">
      <c r="A139" s="31">
        <f t="shared" si="4"/>
        <v>137</v>
      </c>
      <c r="B139" s="33">
        <f t="shared" si="5"/>
        <v>12</v>
      </c>
      <c r="C139" s="5">
        <f>Model_30y!K139+Model_30y!AG139</f>
        <v>667505.18428628449</v>
      </c>
      <c r="D139" s="5">
        <f>Model_15y!K139+Model_15y!AG139</f>
        <v>673988.84406182391</v>
      </c>
      <c r="E139" s="2">
        <f>Model_Renter!N139+Model_Renter!O139</f>
        <v>626659.4487692106</v>
      </c>
    </row>
    <row r="140" spans="1:5" x14ac:dyDescent="0.25">
      <c r="A140" s="31">
        <f t="shared" si="4"/>
        <v>138</v>
      </c>
      <c r="B140" s="33">
        <f t="shared" si="5"/>
        <v>12</v>
      </c>
      <c r="C140" s="5">
        <f>Model_30y!K140+Model_30y!AG140</f>
        <v>673438.25277156639</v>
      </c>
      <c r="D140" s="5">
        <f>Model_15y!K140+Model_15y!AG140</f>
        <v>679684.52661118796</v>
      </c>
      <c r="E140" s="2">
        <f>Model_Renter!N140+Model_Renter!O140</f>
        <v>632302.44439544005</v>
      </c>
    </row>
    <row r="141" spans="1:5" x14ac:dyDescent="0.25">
      <c r="A141" s="31">
        <f t="shared" si="4"/>
        <v>139</v>
      </c>
      <c r="B141" s="33">
        <f t="shared" si="5"/>
        <v>12</v>
      </c>
      <c r="C141" s="5">
        <f>Model_30y!K141+Model_30y!AG141</f>
        <v>679402.18491223804</v>
      </c>
      <c r="D141" s="5">
        <f>Model_15y!K141+Model_15y!AG141</f>
        <v>685404.58571376535</v>
      </c>
      <c r="E141" s="2">
        <f>Model_Renter!N141+Model_Renter!O141</f>
        <v>637992.69794241735</v>
      </c>
    </row>
    <row r="142" spans="1:5" x14ac:dyDescent="0.25">
      <c r="A142" s="31">
        <f t="shared" si="4"/>
        <v>140</v>
      </c>
      <c r="B142" s="33">
        <f t="shared" si="5"/>
        <v>12</v>
      </c>
      <c r="C142" s="5">
        <f>Model_30y!K142+Model_30y!AG142</f>
        <v>685397.15010451805</v>
      </c>
      <c r="D142" s="5">
        <f>Model_15y!K142+Model_15y!AG142</f>
        <v>691149.12373140489</v>
      </c>
      <c r="E142" s="2">
        <f>Model_Renter!N142+Model_Renter!O142</f>
        <v>643730.56747639074</v>
      </c>
    </row>
    <row r="143" spans="1:5" x14ac:dyDescent="0.25">
      <c r="A143" s="31">
        <f t="shared" si="4"/>
        <v>141</v>
      </c>
      <c r="B143" s="33">
        <f t="shared" si="5"/>
        <v>12</v>
      </c>
      <c r="C143" s="5">
        <f>Model_30y!K143+Model_30y!AG143</f>
        <v>691423.31872138823</v>
      </c>
      <c r="D143" s="5">
        <f>Model_15y!K143+Model_15y!AG143</f>
        <v>696918.24343968846</v>
      </c>
      <c r="E143" s="2">
        <f>Model_Renter!N143+Model_Renter!O143</f>
        <v>649516.41365151934</v>
      </c>
    </row>
    <row r="144" spans="1:5" x14ac:dyDescent="0.25">
      <c r="A144" s="31">
        <f t="shared" si="4"/>
        <v>142</v>
      </c>
      <c r="B144" s="33">
        <f t="shared" si="5"/>
        <v>12</v>
      </c>
      <c r="C144" s="5">
        <f>Model_30y!K144+Model_30y!AG144</f>
        <v>697480.86211846548</v>
      </c>
      <c r="D144" s="5">
        <f>Model_15y!K144+Model_15y!AG144</f>
        <v>702712.04802947631</v>
      </c>
      <c r="E144" s="2">
        <f>Model_Renter!N144+Model_Renter!O144</f>
        <v>655350.59972811816</v>
      </c>
    </row>
    <row r="145" spans="1:5" x14ac:dyDescent="0.25">
      <c r="A145" s="31">
        <f t="shared" si="4"/>
        <v>143</v>
      </c>
      <c r="B145" s="33">
        <f t="shared" si="5"/>
        <v>12</v>
      </c>
      <c r="C145" s="5">
        <f>Model_30y!K145+Model_30y!AG145</f>
        <v>703569.95263991109</v>
      </c>
      <c r="D145" s="5">
        <f>Model_15y!K145+Model_15y!AG145</f>
        <v>708530.6411084584</v>
      </c>
      <c r="E145" s="2">
        <f>Model_Renter!N145+Model_Renter!O145</f>
        <v>661233.4915910298</v>
      </c>
    </row>
    <row r="146" spans="1:5" x14ac:dyDescent="0.25">
      <c r="A146" s="31">
        <f t="shared" si="4"/>
        <v>144</v>
      </c>
      <c r="B146" s="33">
        <f t="shared" si="5"/>
        <v>12</v>
      </c>
      <c r="C146" s="5">
        <f>Model_30y!K146+Model_30y!AG146</f>
        <v>709690.76362437534</v>
      </c>
      <c r="D146" s="5">
        <f>Model_15y!K146+Model_15y!AG146</f>
        <v>714374.12670270843</v>
      </c>
      <c r="E146" s="2">
        <f>Model_Renter!N146+Model_Renter!O146</f>
        <v>667165.45776812488</v>
      </c>
    </row>
    <row r="147" spans="1:5" x14ac:dyDescent="0.25">
      <c r="A147" s="31">
        <f t="shared" si="4"/>
        <v>145</v>
      </c>
      <c r="B147" s="33">
        <f t="shared" si="5"/>
        <v>13</v>
      </c>
      <c r="C147" s="5">
        <f>Model_30y!K147+Model_30y!AG147</f>
        <v>715843.46941098047</v>
      </c>
      <c r="D147" s="5">
        <f>Model_15y!K147+Model_15y!AG147</f>
        <v>720242.60925824463</v>
      </c>
      <c r="E147" s="2">
        <f>Model_Renter!N147+Model_Renter!O147</f>
        <v>673019.01971432916</v>
      </c>
    </row>
    <row r="148" spans="1:5" x14ac:dyDescent="0.25">
      <c r="A148" s="31">
        <f t="shared" si="4"/>
        <v>146</v>
      </c>
      <c r="B148" s="33">
        <f t="shared" si="5"/>
        <v>13</v>
      </c>
      <c r="C148" s="5">
        <f>Model_30y!K148+Model_30y!AG148</f>
        <v>722028.24534533918</v>
      </c>
      <c r="D148" s="5">
        <f>Model_15y!K148+Model_15y!AG148</f>
        <v>726136.1936425938</v>
      </c>
      <c r="E148" s="2">
        <f>Model_Renter!N148+Model_Renter!O148</f>
        <v>678921.52896095556</v>
      </c>
    </row>
    <row r="149" spans="1:5" x14ac:dyDescent="0.25">
      <c r="A149" s="31">
        <f t="shared" si="4"/>
        <v>147</v>
      </c>
      <c r="B149" s="33">
        <f t="shared" si="5"/>
        <v>13</v>
      </c>
      <c r="C149" s="5">
        <f>Model_30y!K149+Model_30y!AG149</f>
        <v>728245.26778561261</v>
      </c>
      <c r="D149" s="5">
        <f>Model_15y!K149+Model_15y!AG149</f>
        <v>732054.98514636129</v>
      </c>
      <c r="E149" s="2">
        <f>Model_Renter!N149+Model_Renter!O149</f>
        <v>684873.35612876597</v>
      </c>
    </row>
    <row r="150" spans="1:5" x14ac:dyDescent="0.25">
      <c r="A150" s="31">
        <f t="shared" si="4"/>
        <v>148</v>
      </c>
      <c r="B150" s="33">
        <f t="shared" si="5"/>
        <v>13</v>
      </c>
      <c r="C150" s="5">
        <f>Model_30y!K150+Model_30y!AG150</f>
        <v>734494.71410860412</v>
      </c>
      <c r="D150" s="5">
        <f>Model_15y!K150+Model_15y!AG150</f>
        <v>737999.08948480536</v>
      </c>
      <c r="E150" s="2">
        <f>Model_Renter!N150+Model_Renter!O150</f>
        <v>690874.87451626931</v>
      </c>
    </row>
    <row r="151" spans="1:5" x14ac:dyDescent="0.25">
      <c r="A151" s="31">
        <f t="shared" si="4"/>
        <v>149</v>
      </c>
      <c r="B151" s="33">
        <f t="shared" si="5"/>
        <v>13</v>
      </c>
      <c r="C151" s="5">
        <f>Model_30y!K151+Model_30y!AG151</f>
        <v>740776.76271589193</v>
      </c>
      <c r="D151" s="5">
        <f>Model_15y!K151+Model_15y!AG151</f>
        <v>743968.61279941571</v>
      </c>
      <c r="E151" s="2">
        <f>Model_Renter!N151+Model_Renter!O151</f>
        <v>696926.46011859633</v>
      </c>
    </row>
    <row r="152" spans="1:5" x14ac:dyDescent="0.25">
      <c r="A152" s="31">
        <f t="shared" si="4"/>
        <v>150</v>
      </c>
      <c r="B152" s="33">
        <f t="shared" si="5"/>
        <v>13</v>
      </c>
      <c r="C152" s="5">
        <f>Model_30y!K152+Model_30y!AG152</f>
        <v>747091.59303999972</v>
      </c>
      <c r="D152" s="5">
        <f>Model_15y!K152+Model_15y!AG152</f>
        <v>749963.66165949812</v>
      </c>
      <c r="E152" s="2">
        <f>Model_Renter!N152+Model_Renter!O152</f>
        <v>703028.49164650624</v>
      </c>
    </row>
    <row r="153" spans="1:5" x14ac:dyDescent="0.25">
      <c r="A153" s="31">
        <f t="shared" si="4"/>
        <v>151</v>
      </c>
      <c r="B153" s="33">
        <f t="shared" si="5"/>
        <v>13</v>
      </c>
      <c r="C153" s="5">
        <f>Model_30y!K153+Model_30y!AG153</f>
        <v>753439.38555060572</v>
      </c>
      <c r="D153" s="5">
        <f>Model_15y!K153+Model_15y!AG153</f>
        <v>755984.34306376264</v>
      </c>
      <c r="E153" s="2">
        <f>Model_Renter!N153+Model_Renter!O153</f>
        <v>709181.35054552462</v>
      </c>
    </row>
    <row r="154" spans="1:5" x14ac:dyDescent="0.25">
      <c r="A154" s="31">
        <f t="shared" si="4"/>
        <v>152</v>
      </c>
      <c r="B154" s="33">
        <f t="shared" si="5"/>
        <v>13</v>
      </c>
      <c r="C154" s="5">
        <f>Model_30y!K154+Model_30y!AG154</f>
        <v>759820.32176079019</v>
      </c>
      <c r="D154" s="5">
        <f>Model_15y!K154+Model_15y!AG154</f>
        <v>762030.76444191777</v>
      </c>
      <c r="E154" s="2">
        <f>Model_Renter!N154+Model_Renter!O154</f>
        <v>715385.42101521569</v>
      </c>
    </row>
    <row r="155" spans="1:5" x14ac:dyDescent="0.25">
      <c r="A155" s="31">
        <f t="shared" si="4"/>
        <v>153</v>
      </c>
      <c r="B155" s="33">
        <f t="shared" si="5"/>
        <v>13</v>
      </c>
      <c r="C155" s="5">
        <f>Model_30y!K155+Model_30y!AG155</f>
        <v>766234.58423332172</v>
      </c>
      <c r="D155" s="5">
        <f>Model_15y!K155+Model_15y!AG155</f>
        <v>768103.03365626803</v>
      </c>
      <c r="E155" s="2">
        <f>Model_Renter!N155+Model_Renter!O155</f>
        <v>721641.09002858703</v>
      </c>
    </row>
    <row r="156" spans="1:5" x14ac:dyDescent="0.25">
      <c r="A156" s="31">
        <f t="shared" si="4"/>
        <v>154</v>
      </c>
      <c r="B156" s="33">
        <f t="shared" si="5"/>
        <v>13</v>
      </c>
      <c r="C156" s="5">
        <f>Model_30y!K156+Model_30y!AG156</f>
        <v>772682.35658698331</v>
      </c>
      <c r="D156" s="5">
        <f>Model_15y!K156+Model_15y!AG156</f>
        <v>774201.25900331803</v>
      </c>
      <c r="E156" s="2">
        <f>Model_Renter!N156+Model_Renter!O156</f>
        <v>727948.74735163036</v>
      </c>
    </row>
    <row r="157" spans="1:5" x14ac:dyDescent="0.25">
      <c r="A157" s="31">
        <f t="shared" si="4"/>
        <v>155</v>
      </c>
      <c r="B157" s="33">
        <f t="shared" si="5"/>
        <v>13</v>
      </c>
      <c r="C157" s="5">
        <f>Model_30y!K157+Model_30y!AG157</f>
        <v>779163.82350293687</v>
      </c>
      <c r="D157" s="5">
        <f>Model_15y!K157+Model_15y!AG157</f>
        <v>780325.54921537964</v>
      </c>
      <c r="E157" s="2">
        <f>Model_Renter!N157+Model_Renter!O157</f>
        <v>734308.7855629978</v>
      </c>
    </row>
    <row r="158" spans="1:5" x14ac:dyDescent="0.25">
      <c r="A158" s="31">
        <f t="shared" si="4"/>
        <v>156</v>
      </c>
      <c r="B158" s="33">
        <f t="shared" si="5"/>
        <v>13</v>
      </c>
      <c r="C158" s="5">
        <f>Model_30y!K158+Model_30y!AG158</f>
        <v>785679.17073112808</v>
      </c>
      <c r="D158" s="5">
        <f>Model_15y!K158+Model_15y!AG158</f>
        <v>786476.01346218598</v>
      </c>
      <c r="E158" s="2">
        <f>Model_Renter!N158+Model_Renter!O158</f>
        <v>740721.60007381462</v>
      </c>
    </row>
    <row r="159" spans="1:5" x14ac:dyDescent="0.25">
      <c r="A159" s="31">
        <f t="shared" si="4"/>
        <v>157</v>
      </c>
      <c r="B159" s="33">
        <f t="shared" si="5"/>
        <v>14</v>
      </c>
      <c r="C159" s="5">
        <f>Model_30y!K159+Model_30y!AG159</f>
        <v>792228.58509673038</v>
      </c>
      <c r="D159" s="5">
        <f>Model_15y!K159+Model_15y!AG159</f>
        <v>792652.76135250833</v>
      </c>
      <c r="E159" s="2">
        <f>Model_Renter!N159+Model_Renter!O159</f>
        <v>747055.30787644628</v>
      </c>
    </row>
    <row r="160" spans="1:5" x14ac:dyDescent="0.25">
      <c r="A160" s="31">
        <f t="shared" si="4"/>
        <v>158</v>
      </c>
      <c r="B160" s="33">
        <f t="shared" si="5"/>
        <v>14</v>
      </c>
      <c r="C160" s="5">
        <f>Model_30y!K160+Model_30y!AG160</f>
        <v>798812.25450663082</v>
      </c>
      <c r="D160" s="5">
        <f>Model_15y!K160+Model_15y!AG160</f>
        <v>798855.90293577884</v>
      </c>
      <c r="E160" s="2">
        <f>Model_Renter!N160+Model_Renter!O160</f>
        <v>753441.68907704588</v>
      </c>
    </row>
    <row r="161" spans="1:5" x14ac:dyDescent="0.25">
      <c r="A161" s="31">
        <f t="shared" si="4"/>
        <v>159</v>
      </c>
      <c r="B161" s="33">
        <f t="shared" si="5"/>
        <v>14</v>
      </c>
      <c r="C161" s="5">
        <f>Model_30y!K161+Model_30y!AG161</f>
        <v>805430.3679559537</v>
      </c>
      <c r="D161" s="5">
        <f>Model_15y!K161+Model_15y!AG161</f>
        <v>805085.54870371846</v>
      </c>
      <c r="E161" s="2">
        <f>Model_Renter!N161+Model_Renter!O161</f>
        <v>759881.14154974988</v>
      </c>
    </row>
    <row r="162" spans="1:5" x14ac:dyDescent="0.25">
      <c r="A162" s="31">
        <f t="shared" si="4"/>
        <v>160</v>
      </c>
      <c r="B162" s="33">
        <f t="shared" si="5"/>
        <v>14</v>
      </c>
      <c r="C162" s="5">
        <f>Model_30y!K162+Model_30y!AG162</f>
        <v>812083.11553462676</v>
      </c>
      <c r="D162" s="5">
        <f>Model_15y!K162+Model_15y!AG162</f>
        <v>811341.80959196901</v>
      </c>
      <c r="E162" s="2">
        <f>Model_Renter!N162+Model_Renter!O162</f>
        <v>766374.06603982463</v>
      </c>
    </row>
    <row r="163" spans="1:5" x14ac:dyDescent="0.25">
      <c r="A163" s="31">
        <f t="shared" si="4"/>
        <v>161</v>
      </c>
      <c r="B163" s="33">
        <f t="shared" si="5"/>
        <v>14</v>
      </c>
      <c r="C163" s="5">
        <f>Model_30y!K163+Model_30y!AG163</f>
        <v>818770.68843398779</v>
      </c>
      <c r="D163" s="5">
        <f>Model_15y!K163+Model_15y!AG163</f>
        <v>817624.79698173015</v>
      </c>
      <c r="E163" s="2">
        <f>Model_Renter!N163+Model_Renter!O163</f>
        <v>772920.86618389131</v>
      </c>
    </row>
    <row r="164" spans="1:5" x14ac:dyDescent="0.25">
      <c r="A164" s="31">
        <f t="shared" si="4"/>
        <v>162</v>
      </c>
      <c r="B164" s="33">
        <f t="shared" si="5"/>
        <v>14</v>
      </c>
      <c r="C164" s="5">
        <f>Model_30y!K164+Model_30y!AG164</f>
        <v>825493.27895343234</v>
      </c>
      <c r="D164" s="5">
        <f>Model_15y!K164+Model_15y!AG164</f>
        <v>823934.62270140182</v>
      </c>
      <c r="E164" s="2">
        <f>Model_Renter!N164+Model_Renter!O164</f>
        <v>779521.94853029086</v>
      </c>
    </row>
    <row r="165" spans="1:5" x14ac:dyDescent="0.25">
      <c r="A165" s="31">
        <f t="shared" si="4"/>
        <v>163</v>
      </c>
      <c r="B165" s="33">
        <f t="shared" si="5"/>
        <v>14</v>
      </c>
      <c r="C165" s="5">
        <f>Model_30y!K165+Model_30y!AG165</f>
        <v>832251.08050710266</v>
      </c>
      <c r="D165" s="5">
        <f>Model_15y!K165+Model_15y!AG165</f>
        <v>830271.39902823069</v>
      </c>
      <c r="E165" s="2">
        <f>Model_Renter!N165+Model_Renter!O165</f>
        <v>786177.72255959094</v>
      </c>
    </row>
    <row r="166" spans="1:5" x14ac:dyDescent="0.25">
      <c r="A166" s="31">
        <f t="shared" si="4"/>
        <v>164</v>
      </c>
      <c r="B166" s="33">
        <f t="shared" si="5"/>
        <v>14</v>
      </c>
      <c r="C166" s="5">
        <f>Model_30y!K166+Model_30y!AG166</f>
        <v>839044.28763061878</v>
      </c>
      <c r="D166" s="5">
        <f>Model_15y!K166+Model_15y!AG166</f>
        <v>836635.23868996324</v>
      </c>
      <c r="E166" s="2">
        <f>Model_Renter!N166+Model_Renter!O166</f>
        <v>792888.60070523503</v>
      </c>
    </row>
    <row r="167" spans="1:5" x14ac:dyDescent="0.25">
      <c r="A167" s="31">
        <f t="shared" si="4"/>
        <v>165</v>
      </c>
      <c r="B167" s="33">
        <f t="shared" si="5"/>
        <v>14</v>
      </c>
      <c r="C167" s="5">
        <f>Model_30y!K167+Model_30y!AG167</f>
        <v>845873.09598785127</v>
      </c>
      <c r="D167" s="5">
        <f>Model_15y!K167+Model_15y!AG167</f>
        <v>843026.25486650085</v>
      </c>
      <c r="E167" s="2">
        <f>Model_Renter!N167+Model_Renter!O167</f>
        <v>799654.99837433512</v>
      </c>
    </row>
    <row r="168" spans="1:5" x14ac:dyDescent="0.25">
      <c r="A168" s="31">
        <f t="shared" si="4"/>
        <v>166</v>
      </c>
      <c r="B168" s="33">
        <f t="shared" si="5"/>
        <v>14</v>
      </c>
      <c r="C168" s="5">
        <f>Model_30y!K168+Model_30y!AG168</f>
        <v>852737.70237773634</v>
      </c>
      <c r="D168" s="5">
        <f>Model_15y!K168+Model_15y!AG168</f>
        <v>849444.56119156198</v>
      </c>
      <c r="E168" s="2">
        <f>Model_Renter!N168+Model_Renter!O168</f>
        <v>806477.33396860934</v>
      </c>
    </row>
    <row r="169" spans="1:5" x14ac:dyDescent="0.25">
      <c r="A169" s="31">
        <f t="shared" si="4"/>
        <v>167</v>
      </c>
      <c r="B169" s="33">
        <f t="shared" si="5"/>
        <v>14</v>
      </c>
      <c r="C169" s="5">
        <f>Model_30y!K169+Model_30y!AG169</f>
        <v>859638.30474113254</v>
      </c>
      <c r="D169" s="5">
        <f>Model_15y!K169+Model_15y!AG169</f>
        <v>855890.27175434958</v>
      </c>
      <c r="E169" s="2">
        <f>Model_Renter!N169+Model_Renter!O169</f>
        <v>813356.02890546422</v>
      </c>
    </row>
    <row r="170" spans="1:5" x14ac:dyDescent="0.25">
      <c r="A170" s="31">
        <f t="shared" si="4"/>
        <v>168</v>
      </c>
      <c r="B170" s="33">
        <f t="shared" si="5"/>
        <v>14</v>
      </c>
      <c r="C170" s="5">
        <f>Model_30y!K170+Model_30y!AG170</f>
        <v>866575.102167723</v>
      </c>
      <c r="D170" s="5">
        <f>Model_15y!K170+Model_15y!AG170</f>
        <v>862363.50110122142</v>
      </c>
      <c r="E170" s="2">
        <f>Model_Renter!N170+Model_Renter!O170</f>
        <v>820291.50763922394</v>
      </c>
    </row>
    <row r="171" spans="1:5" x14ac:dyDescent="0.25">
      <c r="A171" s="31">
        <f t="shared" si="4"/>
        <v>169</v>
      </c>
      <c r="B171" s="33">
        <f t="shared" si="5"/>
        <v>15</v>
      </c>
      <c r="C171" s="5">
        <f>Model_30y!K171+Model_30y!AG171</f>
        <v>873548.29490295658</v>
      </c>
      <c r="D171" s="5">
        <f>Model_15y!K171+Model_15y!AG171</f>
        <v>868864.36423736683</v>
      </c>
      <c r="E171" s="2">
        <f>Model_Renter!N171+Model_Renter!O171</f>
        <v>827147.33663744759</v>
      </c>
    </row>
    <row r="172" spans="1:5" x14ac:dyDescent="0.25">
      <c r="A172" s="31">
        <f t="shared" si="4"/>
        <v>170</v>
      </c>
      <c r="B172" s="33">
        <f t="shared" si="5"/>
        <v>15</v>
      </c>
      <c r="C172" s="5">
        <f>Model_30y!K172+Model_30y!AG172</f>
        <v>880558.08435503545</v>
      </c>
      <c r="D172" s="5">
        <f>Model_15y!K172+Model_15y!AG172</f>
        <v>875392.97662848746</v>
      </c>
      <c r="E172" s="2">
        <f>Model_Renter!N172+Model_Renter!O172</f>
        <v>834059.87399753812</v>
      </c>
    </row>
    <row r="173" spans="1:5" x14ac:dyDescent="0.25">
      <c r="A173" s="31">
        <f t="shared" si="4"/>
        <v>171</v>
      </c>
      <c r="B173" s="33">
        <f t="shared" si="5"/>
        <v>15</v>
      </c>
      <c r="C173" s="5">
        <f>Model_30y!K173+Model_30y!AG173</f>
        <v>887604.67310194601</v>
      </c>
      <c r="D173" s="5">
        <f>Model_15y!K173+Model_15y!AG173</f>
        <v>881949.45420248434</v>
      </c>
      <c r="E173" s="2">
        <f>Model_Renter!N173+Model_Renter!O173</f>
        <v>841029.54704567697</v>
      </c>
    </row>
    <row r="174" spans="1:5" x14ac:dyDescent="0.25">
      <c r="A174" s="31">
        <f t="shared" si="4"/>
        <v>172</v>
      </c>
      <c r="B174" s="33">
        <f t="shared" si="5"/>
        <v>15</v>
      </c>
      <c r="C174" s="5">
        <f>Model_30y!K174+Model_30y!AG174</f>
        <v>894688.26489853184</v>
      </c>
      <c r="D174" s="5">
        <f>Model_15y!K174+Model_15y!AG174</f>
        <v>888533.91335114825</v>
      </c>
      <c r="E174" s="2">
        <f>Model_Renter!N174+Model_Renter!O174</f>
        <v>848056.78618793015</v>
      </c>
    </row>
    <row r="175" spans="1:5" x14ac:dyDescent="0.25">
      <c r="A175" s="31">
        <f t="shared" si="4"/>
        <v>173</v>
      </c>
      <c r="B175" s="33">
        <f t="shared" si="5"/>
        <v>15</v>
      </c>
      <c r="C175" s="5">
        <f>Model_30y!K175+Model_30y!AG175</f>
        <v>901809.06468361302</v>
      </c>
      <c r="D175" s="5">
        <f>Model_15y!K175+Model_15y!AG175</f>
        <v>895146.47093185561</v>
      </c>
      <c r="E175" s="2">
        <f>Model_Renter!N175+Model_Renter!O175</f>
        <v>855142.02493192884</v>
      </c>
    </row>
    <row r="176" spans="1:5" x14ac:dyDescent="0.25">
      <c r="A176" s="31">
        <f t="shared" si="4"/>
        <v>174</v>
      </c>
      <c r="B176" s="33">
        <f t="shared" si="5"/>
        <v>15</v>
      </c>
      <c r="C176" s="5">
        <f>Model_30y!K176+Model_30y!AG176</f>
        <v>908967.27858714759</v>
      </c>
      <c r="D176" s="5">
        <f>Model_15y!K176+Model_15y!AG176</f>
        <v>901787.24426926963</v>
      </c>
      <c r="E176" s="2">
        <f>Model_Renter!N176+Model_Renter!O176</f>
        <v>862285.69990870089</v>
      </c>
    </row>
    <row r="177" spans="1:5" x14ac:dyDescent="0.25">
      <c r="A177" s="31">
        <f t="shared" si="4"/>
        <v>175</v>
      </c>
      <c r="B177" s="33">
        <f t="shared" si="5"/>
        <v>15</v>
      </c>
      <c r="C177" s="5">
        <f>Model_30y!K177+Model_30y!AG177</f>
        <v>916163.11393744021</v>
      </c>
      <c r="D177" s="5">
        <f>Model_15y!K177+Model_15y!AG177</f>
        <v>908456.35115704592</v>
      </c>
      <c r="E177" s="2">
        <f>Model_Renter!N177+Model_Renter!O177</f>
        <v>869488.25089465373</v>
      </c>
    </row>
    <row r="178" spans="1:5" x14ac:dyDescent="0.25">
      <c r="A178" s="31">
        <f t="shared" si="4"/>
        <v>176</v>
      </c>
      <c r="B178" s="33">
        <f t="shared" si="5"/>
        <v>15</v>
      </c>
      <c r="C178" s="5">
        <f>Model_30y!K178+Model_30y!AG178</f>
        <v>923396.77926839399</v>
      </c>
      <c r="D178" s="5">
        <f>Model_15y!K178+Model_15y!AG178</f>
        <v>915153.90985954367</v>
      </c>
      <c r="E178" s="2">
        <f>Model_Renter!N178+Model_Renter!O178</f>
        <v>876750.12083370949</v>
      </c>
    </row>
    <row r="179" spans="1:5" x14ac:dyDescent="0.25">
      <c r="A179" s="31">
        <f t="shared" si="4"/>
        <v>177</v>
      </c>
      <c r="B179" s="33">
        <f t="shared" si="5"/>
        <v>15</v>
      </c>
      <c r="C179" s="5">
        <f>Model_30y!K179+Model_30y!AG179</f>
        <v>930668.48432680801</v>
      </c>
      <c r="D179" s="5">
        <f>Model_15y!K179+Model_15y!AG179</f>
        <v>921880.03911354044</v>
      </c>
      <c r="E179" s="2">
        <f>Model_Renter!N179+Model_Renter!O179</f>
        <v>884071.75585959491</v>
      </c>
    </row>
    <row r="180" spans="1:5" x14ac:dyDescent="0.25">
      <c r="A180" s="31">
        <f t="shared" si="4"/>
        <v>178</v>
      </c>
      <c r="B180" s="33">
        <f t="shared" si="5"/>
        <v>15</v>
      </c>
      <c r="C180" s="5">
        <f>Model_30y!K180+Model_30y!AG180</f>
        <v>937978.44007972185</v>
      </c>
      <c r="D180" s="5">
        <f>Model_15y!K180+Model_15y!AG180</f>
        <v>928634.85812995385</v>
      </c>
      <c r="E180" s="2">
        <f>Model_Renter!N180+Model_Renter!O180</f>
        <v>891453.60531828518</v>
      </c>
    </row>
    <row r="181" spans="1:5" x14ac:dyDescent="0.25">
      <c r="A181" s="31">
        <f t="shared" si="4"/>
        <v>179</v>
      </c>
      <c r="B181" s="33">
        <f t="shared" si="5"/>
        <v>15</v>
      </c>
      <c r="C181" s="5">
        <f>Model_30y!K181+Model_30y!AG181</f>
        <v>945326.85872180259</v>
      </c>
      <c r="D181" s="5">
        <f>Model_15y!K181+Model_15y!AG181</f>
        <v>935418.48659556604</v>
      </c>
      <c r="E181" s="2">
        <f>Model_Renter!N181+Model_Renter!O181</f>
        <v>898896.12179060432</v>
      </c>
    </row>
    <row r="182" spans="1:5" x14ac:dyDescent="0.25">
      <c r="A182" s="31">
        <f t="shared" si="4"/>
        <v>180</v>
      </c>
      <c r="B182" s="33">
        <f t="shared" si="5"/>
        <v>15</v>
      </c>
      <c r="C182" s="5">
        <f>Model_30y!K182+Model_30y!AG182</f>
        <v>952713.95368278213</v>
      </c>
      <c r="D182" s="5">
        <f>Model_15y!K182+Model_15y!AG182</f>
        <v>942231.04467475472</v>
      </c>
      <c r="E182" s="2">
        <f>Model_Renter!N182+Model_Renter!O182</f>
        <v>906399.76111498207</v>
      </c>
    </row>
    <row r="183" spans="1:5" x14ac:dyDescent="0.25">
      <c r="A183" s="31">
        <f t="shared" si="4"/>
        <v>181</v>
      </c>
      <c r="B183" s="33">
        <f t="shared" si="5"/>
        <v>16</v>
      </c>
      <c r="C183" s="5">
        <f>Model_30y!K183+Model_30y!AG183</f>
        <v>960139.93963493849</v>
      </c>
      <c r="D183" s="5">
        <f>Model_15y!K183+Model_15y!AG183</f>
        <v>949072.17657295382</v>
      </c>
      <c r="E183" s="2">
        <f>Model_Renter!N183+Model_Renter!O183</f>
        <v>913823.38868517301</v>
      </c>
    </row>
    <row r="184" spans="1:5" x14ac:dyDescent="0.25">
      <c r="A184" s="31">
        <f t="shared" si="4"/>
        <v>182</v>
      </c>
      <c r="B184" s="33">
        <f t="shared" si="5"/>
        <v>16</v>
      </c>
      <c r="C184" s="5">
        <f>Model_30y!K184+Model_30y!AG184</f>
        <v>967605.03250062349</v>
      </c>
      <c r="D184" s="5">
        <f>Model_15y!K184+Model_15y!AG184</f>
        <v>955950.08424343553</v>
      </c>
      <c r="E184" s="2">
        <f>Model_Renter!N184+Model_Renter!O184</f>
        <v>921308.09482683509</v>
      </c>
    </row>
    <row r="185" spans="1:5" x14ac:dyDescent="0.25">
      <c r="A185" s="31">
        <f t="shared" si="4"/>
        <v>183</v>
      </c>
      <c r="B185" s="33">
        <f t="shared" si="5"/>
        <v>16</v>
      </c>
      <c r="C185" s="5">
        <f>Model_30y!K185+Model_30y!AG185</f>
        <v>975109.4494598395</v>
      </c>
      <c r="D185" s="5">
        <f>Model_15y!K185+Model_15y!AG185</f>
        <v>962864.97825119272</v>
      </c>
      <c r="E185" s="2">
        <f>Model_Renter!N185+Model_Renter!O185</f>
        <v>928854.3387013938</v>
      </c>
    </row>
    <row r="186" spans="1:5" x14ac:dyDescent="0.25">
      <c r="A186" s="31">
        <f t="shared" si="4"/>
        <v>184</v>
      </c>
      <c r="B186" s="33">
        <f t="shared" si="5"/>
        <v>16</v>
      </c>
      <c r="C186" s="5">
        <f>Model_30y!K186+Model_30y!AG186</f>
        <v>982653.40895786183</v>
      </c>
      <c r="D186" s="5">
        <f>Model_15y!K186+Model_15y!AG186</f>
        <v>969817.0704333717</v>
      </c>
      <c r="E186" s="2">
        <f>Model_Renter!N186+Model_Renter!O186</f>
        <v>936462.58277556323</v>
      </c>
    </row>
    <row r="187" spans="1:5" x14ac:dyDescent="0.25">
      <c r="A187" s="31">
        <f t="shared" si="4"/>
        <v>185</v>
      </c>
      <c r="B187" s="33">
        <f t="shared" si="5"/>
        <v>16</v>
      </c>
      <c r="C187" s="5">
        <f>Model_30y!K187+Model_30y!AG187</f>
        <v>990237.13071290962</v>
      </c>
      <c r="D187" s="5">
        <f>Model_15y!K187+Model_15y!AG187</f>
        <v>976806.57390727918</v>
      </c>
      <c r="E187" s="2">
        <f>Model_Renter!N187+Model_Renter!O187</f>
        <v>944133.29284459737</v>
      </c>
    </row>
    <row r="188" spans="1:5" x14ac:dyDescent="0.25">
      <c r="A188" s="31">
        <f t="shared" si="4"/>
        <v>186</v>
      </c>
      <c r="B188" s="33">
        <f t="shared" si="5"/>
        <v>16</v>
      </c>
      <c r="C188" s="5">
        <f>Model_30y!K188+Model_30y!AG188</f>
        <v>997860.83572386415</v>
      </c>
      <c r="D188" s="5">
        <f>Model_15y!K188+Model_15y!AG188</f>
        <v>983833.7030784447</v>
      </c>
      <c r="E188" s="2">
        <f>Model_Renter!N188+Model_Renter!O188</f>
        <v>951866.93805570365</v>
      </c>
    </row>
    <row r="189" spans="1:5" x14ac:dyDescent="0.25">
      <c r="A189" s="31">
        <f t="shared" si="4"/>
        <v>187</v>
      </c>
      <c r="B189" s="33">
        <f t="shared" si="5"/>
        <v>16</v>
      </c>
      <c r="C189" s="5">
        <f>Model_30y!K189+Model_30y!AG189</f>
        <v>1005524.7462780362</v>
      </c>
      <c r="D189" s="5">
        <f>Model_15y!K189+Model_15y!AG189</f>
        <v>990898.67364873237</v>
      </c>
      <c r="E189" s="2">
        <f>Model_Renter!N189+Model_Renter!O189</f>
        <v>959663.99093161838</v>
      </c>
    </row>
    <row r="190" spans="1:5" x14ac:dyDescent="0.25">
      <c r="A190" s="31">
        <f t="shared" si="4"/>
        <v>188</v>
      </c>
      <c r="B190" s="33">
        <f t="shared" si="5"/>
        <v>16</v>
      </c>
      <c r="C190" s="5">
        <f>Model_30y!K190+Model_30y!AG190</f>
        <v>1013229.085958981</v>
      </c>
      <c r="D190" s="5">
        <f>Model_15y!K190+Model_15y!AG190</f>
        <v>998001.70262450678</v>
      </c>
      <c r="E190" s="2">
        <f>Model_Renter!N190+Model_Renter!O190</f>
        <v>967524.92739434668</v>
      </c>
    </row>
    <row r="191" spans="1:5" x14ac:dyDescent="0.25">
      <c r="A191" s="31">
        <f t="shared" si="4"/>
        <v>189</v>
      </c>
      <c r="B191" s="33">
        <f t="shared" si="5"/>
        <v>16</v>
      </c>
      <c r="C191" s="5">
        <f>Model_30y!K191+Model_30y!AG191</f>
        <v>1020974.0796543629</v>
      </c>
      <c r="D191" s="5">
        <f>Model_15y!K191+Model_15y!AG191</f>
        <v>1005143.0083248514</v>
      </c>
      <c r="E191" s="2">
        <f>Model_Renter!N191+Model_Renter!O191</f>
        <v>975450.22678906645</v>
      </c>
    </row>
    <row r="192" spans="1:5" x14ac:dyDescent="0.25">
      <c r="A192" s="31">
        <f t="shared" si="4"/>
        <v>190</v>
      </c>
      <c r="B192" s="33">
        <f t="shared" si="5"/>
        <v>16</v>
      </c>
      <c r="C192" s="5">
        <f>Model_30y!K192+Model_30y!AG192</f>
        <v>1028759.9535638688</v>
      </c>
      <c r="D192" s="5">
        <f>Model_15y!K192+Model_15y!AG192</f>
        <v>1012322.8103898407</v>
      </c>
      <c r="E192" s="2">
        <f>Model_Renter!N192+Model_Renter!O192</f>
        <v>983440.37190819904</v>
      </c>
    </row>
    <row r="193" spans="1:5" x14ac:dyDescent="0.25">
      <c r="A193" s="31">
        <f t="shared" si="4"/>
        <v>191</v>
      </c>
      <c r="B193" s="33">
        <f t="shared" si="5"/>
        <v>16</v>
      </c>
      <c r="C193" s="5">
        <f>Model_30y!K193+Model_30y!AG193</f>
        <v>1036586.9352071716</v>
      </c>
      <c r="D193" s="5">
        <f>Model_15y!K193+Model_15y!AG193</f>
        <v>1019541.3297888648</v>
      </c>
      <c r="E193" s="2">
        <f>Model_Renter!N193+Model_Renter!O193</f>
        <v>991495.8490156465</v>
      </c>
    </row>
    <row r="194" spans="1:5" x14ac:dyDescent="0.25">
      <c r="A194" s="31">
        <f t="shared" si="4"/>
        <v>192</v>
      </c>
      <c r="B194" s="33">
        <f t="shared" si="5"/>
        <v>16</v>
      </c>
      <c r="C194" s="5">
        <f>Model_30y!K194+Model_30y!AG194</f>
        <v>1044455.2534319425</v>
      </c>
      <c r="D194" s="5">
        <f>Model_15y!K194+Model_15y!AG194</f>
        <v>1026798.7888290097</v>
      </c>
      <c r="E194" s="2">
        <f>Model_Renter!N194+Model_Renter!O194</f>
        <v>999617.14787119743</v>
      </c>
    </row>
    <row r="195" spans="1:5" x14ac:dyDescent="0.25">
      <c r="A195" s="31">
        <f t="shared" si="4"/>
        <v>193</v>
      </c>
      <c r="B195" s="33">
        <f t="shared" si="5"/>
        <v>17</v>
      </c>
      <c r="C195" s="5">
        <f>Model_30y!K195+Model_30y!AG195</f>
        <v>1052365.138421915</v>
      </c>
      <c r="D195" s="5">
        <f>Model_15y!K195+Model_15y!AG195</f>
        <v>1034095.4111634904</v>
      </c>
      <c r="E195" s="2">
        <f>Model_Renter!N195+Model_Renter!O195</f>
        <v>1007658.2776436805</v>
      </c>
    </row>
    <row r="196" spans="1:5" x14ac:dyDescent="0.25">
      <c r="A196" s="31">
        <f t="shared" ref="A196:A259" si="6">A195+1</f>
        <v>194</v>
      </c>
      <c r="B196" s="33">
        <f t="shared" ref="B196:B259" si="7">ROUNDUP(A196/12, 0)</f>
        <v>17</v>
      </c>
      <c r="C196" s="5">
        <f>Model_30y!K196+Model_30y!AG196</f>
        <v>1060316.821704997</v>
      </c>
      <c r="D196" s="5">
        <f>Model_15y!K196+Model_15y!AG196</f>
        <v>1041431.4218001392</v>
      </c>
      <c r="E196" s="2">
        <f>Model_Renter!N196+Model_Renter!O196</f>
        <v>1015765.220090177</v>
      </c>
    </row>
    <row r="197" spans="1:5" x14ac:dyDescent="0.25">
      <c r="A197" s="31">
        <f t="shared" si="6"/>
        <v>195</v>
      </c>
      <c r="B197" s="33">
        <f t="shared" si="7"/>
        <v>17</v>
      </c>
      <c r="C197" s="5">
        <f>Model_30y!K197+Model_30y!AG197</f>
        <v>1068310.5361614367</v>
      </c>
      <c r="D197" s="5">
        <f>Model_15y!K197+Model_15y!AG197</f>
        <v>1048807.0471099503</v>
      </c>
      <c r="E197" s="2">
        <f>Model_Renter!N197+Model_Renter!O197</f>
        <v>1023938.4687907845</v>
      </c>
    </row>
    <row r="198" spans="1:5" x14ac:dyDescent="0.25">
      <c r="A198" s="31">
        <f t="shared" si="6"/>
        <v>196</v>
      </c>
      <c r="B198" s="33">
        <f t="shared" si="7"/>
        <v>17</v>
      </c>
      <c r="C198" s="5">
        <f>Model_30y!K198+Model_30y!AG198</f>
        <v>1076346.5160320373</v>
      </c>
      <c r="D198" s="5">
        <f>Model_15y!K198+Model_15y!AG198</f>
        <v>1056222.5148356773</v>
      </c>
      <c r="E198" s="2">
        <f>Model_Renter!N198+Model_Renter!O198</f>
        <v>1032178.5208743266</v>
      </c>
    </row>
    <row r="199" spans="1:5" x14ac:dyDescent="0.25">
      <c r="A199" s="31">
        <f t="shared" si="6"/>
        <v>197</v>
      </c>
      <c r="B199" s="33">
        <f t="shared" si="7"/>
        <v>17</v>
      </c>
      <c r="C199" s="5">
        <f>Model_30y!K199+Model_30y!AG199</f>
        <v>1084424.9969264241</v>
      </c>
      <c r="D199" s="5">
        <f>Model_15y!K199+Model_15y!AG199</f>
        <v>1063678.0541004892</v>
      </c>
      <c r="E199" s="2">
        <f>Model_Renter!N199+Model_Renter!O199</f>
        <v>1040485.8770433014</v>
      </c>
    </row>
    <row r="200" spans="1:5" x14ac:dyDescent="0.25">
      <c r="A200" s="31">
        <f t="shared" si="6"/>
        <v>198</v>
      </c>
      <c r="B200" s="33">
        <f t="shared" si="7"/>
        <v>17</v>
      </c>
      <c r="C200" s="5">
        <f>Model_30y!K200+Model_30y!AG200</f>
        <v>1092546.2158313638</v>
      </c>
      <c r="D200" s="5">
        <f>Model_15y!K200+Model_15y!AG200</f>
        <v>1071173.8954166812</v>
      </c>
      <c r="E200" s="2">
        <f>Model_Renter!N200+Model_Renter!O200</f>
        <v>1048861.0415990013</v>
      </c>
    </row>
    <row r="201" spans="1:5" x14ac:dyDescent="0.25">
      <c r="A201" s="31">
        <f t="shared" si="6"/>
        <v>199</v>
      </c>
      <c r="B201" s="33">
        <f t="shared" si="7"/>
        <v>17</v>
      </c>
      <c r="C201" s="5">
        <f>Model_30y!K201+Model_30y!AG201</f>
        <v>1100710.4111191342</v>
      </c>
      <c r="D201" s="5">
        <f>Model_15y!K201+Model_15y!AG201</f>
        <v>1078710.2706944409</v>
      </c>
      <c r="E201" s="2">
        <f>Model_Renter!N201+Model_Renter!O201</f>
        <v>1057304.522466809</v>
      </c>
    </row>
    <row r="202" spans="1:5" x14ac:dyDescent="0.25">
      <c r="A202" s="31">
        <f t="shared" si="6"/>
        <v>200</v>
      </c>
      <c r="B202" s="33">
        <f t="shared" si="7"/>
        <v>17</v>
      </c>
      <c r="C202" s="5">
        <f>Model_30y!K202+Model_30y!AG202</f>
        <v>1108917.8225559478</v>
      </c>
      <c r="D202" s="5">
        <f>Model_15y!K202+Model_15y!AG202</f>
        <v>1086287.4132506747</v>
      </c>
      <c r="E202" s="2">
        <f>Model_Renter!N202+Model_Renter!O202</f>
        <v>1065816.8312216671</v>
      </c>
    </row>
    <row r="203" spans="1:5" x14ac:dyDescent="0.25">
      <c r="A203" s="31">
        <f t="shared" si="6"/>
        <v>201</v>
      </c>
      <c r="B203" s="33">
        <f t="shared" si="7"/>
        <v>17</v>
      </c>
      <c r="C203" s="5">
        <f>Model_30y!K203+Model_30y!AG203</f>
        <v>1117168.691310429</v>
      </c>
      <c r="D203" s="5">
        <f>Model_15y!K203+Model_15y!AG203</f>
        <v>1093905.5578178877</v>
      </c>
      <c r="E203" s="2">
        <f>Model_Renter!N203+Model_Renter!O203</f>
        <v>1074398.4831137268</v>
      </c>
    </row>
    <row r="204" spans="1:5" x14ac:dyDescent="0.25">
      <c r="A204" s="31">
        <f t="shared" si="6"/>
        <v>202</v>
      </c>
      <c r="B204" s="33">
        <f t="shared" si="7"/>
        <v>17</v>
      </c>
      <c r="C204" s="5">
        <f>Model_30y!K204+Model_30y!AG204</f>
        <v>1125463.2599621427</v>
      </c>
      <c r="D204" s="5">
        <f>Model_15y!K204+Model_15y!AG204</f>
        <v>1101564.9405531243</v>
      </c>
      <c r="E204" s="2">
        <f>Model_Renter!N204+Model_Renter!O204</f>
        <v>1083049.9970941728</v>
      </c>
    </row>
    <row r="205" spans="1:5" x14ac:dyDescent="0.25">
      <c r="A205" s="31">
        <f t="shared" si="6"/>
        <v>203</v>
      </c>
      <c r="B205" s="33">
        <f t="shared" si="7"/>
        <v>17</v>
      </c>
      <c r="C205" s="5">
        <f>Model_30y!K205+Model_30y!AG205</f>
        <v>1133801.7725101761</v>
      </c>
      <c r="D205" s="5">
        <f>Model_15y!K205+Model_15y!AG205</f>
        <v>1109265.7990469651</v>
      </c>
      <c r="E205" s="2">
        <f>Model_Renter!N205+Model_Renter!O205</f>
        <v>1091771.8958412276</v>
      </c>
    </row>
    <row r="206" spans="1:5" x14ac:dyDescent="0.25">
      <c r="A206" s="31">
        <f t="shared" si="6"/>
        <v>204</v>
      </c>
      <c r="B206" s="33">
        <f t="shared" si="7"/>
        <v>17</v>
      </c>
      <c r="C206" s="5">
        <f>Model_30y!K206+Model_30y!AG206</f>
        <v>1142184.4743817763</v>
      </c>
      <c r="D206" s="5">
        <f>Model_15y!K206+Model_15y!AG206</f>
        <v>1117008.3723325832</v>
      </c>
      <c r="E206" s="2">
        <f>Model_Renter!N206+Model_Renter!O206</f>
        <v>1100564.7057863381</v>
      </c>
    </row>
    <row r="207" spans="1:5" x14ac:dyDescent="0.25">
      <c r="A207" s="31">
        <f t="shared" si="6"/>
        <v>205</v>
      </c>
      <c r="B207" s="33">
        <f t="shared" si="7"/>
        <v>18</v>
      </c>
      <c r="C207" s="5">
        <f>Model_30y!K207+Model_30y!AG207</f>
        <v>1150611.6124410406</v>
      </c>
      <c r="D207" s="5">
        <f>Model_15y!K207+Model_15y!AG207</f>
        <v>1124792.9008948577</v>
      </c>
      <c r="E207" s="2">
        <f>Model_Renter!N207+Model_Renter!O207</f>
        <v>1109277.4200034037</v>
      </c>
    </row>
    <row r="208" spans="1:5" x14ac:dyDescent="0.25">
      <c r="A208" s="31">
        <f t="shared" si="6"/>
        <v>206</v>
      </c>
      <c r="B208" s="33">
        <f t="shared" si="7"/>
        <v>18</v>
      </c>
      <c r="C208" s="5">
        <f>Model_30y!K208+Model_30y!AG208</f>
        <v>1159083.4349976613</v>
      </c>
      <c r="D208" s="5">
        <f>Model_15y!K208+Model_15y!AG208</f>
        <v>1132619.6266795499</v>
      </c>
      <c r="E208" s="2">
        <f>Model_Renter!N208+Model_Renter!O208</f>
        <v>1118061.0759998502</v>
      </c>
    </row>
    <row r="209" spans="1:5" x14ac:dyDescent="0.25">
      <c r="A209" s="31">
        <f t="shared" si="6"/>
        <v>207</v>
      </c>
      <c r="B209" s="33">
        <f t="shared" si="7"/>
        <v>18</v>
      </c>
      <c r="C209" s="5">
        <f>Model_30y!K209+Model_30y!AG209</f>
        <v>1167600.1918157265</v>
      </c>
      <c r="D209" s="5">
        <f>Model_15y!K209+Model_15y!AG209</f>
        <v>1140488.7931025345</v>
      </c>
      <c r="E209" s="2">
        <f>Model_Renter!N209+Model_Renter!O209</f>
        <v>1126916.2045751419</v>
      </c>
    </row>
    <row r="210" spans="1:5" x14ac:dyDescent="0.25">
      <c r="A210" s="31">
        <f t="shared" si="6"/>
        <v>208</v>
      </c>
      <c r="B210" s="33">
        <f t="shared" si="7"/>
        <v>18</v>
      </c>
      <c r="C210" s="5">
        <f>Model_30y!K210+Model_30y!AG210</f>
        <v>1176162.1341225747</v>
      </c>
      <c r="D210" s="5">
        <f>Model_15y!K210+Model_15y!AG210</f>
        <v>1148400.6450590945</v>
      </c>
      <c r="E210" s="2">
        <f>Model_Renter!N210+Model_Renter!O210</f>
        <v>1135843.3403404441</v>
      </c>
    </row>
    <row r="211" spans="1:5" x14ac:dyDescent="0.25">
      <c r="A211" s="31">
        <f t="shared" si="6"/>
        <v>209</v>
      </c>
      <c r="B211" s="33">
        <f t="shared" si="7"/>
        <v>18</v>
      </c>
      <c r="C211" s="5">
        <f>Model_30y!K211+Model_30y!AG211</f>
        <v>1184769.5146177055</v>
      </c>
      <c r="D211" s="5">
        <f>Model_15y!K211+Model_15y!AG211</f>
        <v>1156355.4289332745</v>
      </c>
      <c r="E211" s="2">
        <f>Model_Renter!N211+Model_Renter!O211</f>
        <v>1144843.0217454024</v>
      </c>
    </row>
    <row r="212" spans="1:5" x14ac:dyDescent="0.25">
      <c r="A212" s="31">
        <f t="shared" si="6"/>
        <v>210</v>
      </c>
      <c r="B212" s="33">
        <f t="shared" si="7"/>
        <v>18</v>
      </c>
      <c r="C212" s="5">
        <f>Model_30y!K212+Model_30y!AG212</f>
        <v>1193422.5874817467</v>
      </c>
      <c r="D212" s="5">
        <f>Model_15y!K212+Model_15y!AG212</f>
        <v>1164353.3926072959</v>
      </c>
      <c r="E212" s="2">
        <f>Model_Renter!N212+Model_Renter!O212</f>
        <v>1153915.7911051067</v>
      </c>
    </row>
    <row r="213" spans="1:5" x14ac:dyDescent="0.25">
      <c r="A213" s="31">
        <f t="shared" si="6"/>
        <v>211</v>
      </c>
      <c r="B213" s="33">
        <f t="shared" si="7"/>
        <v>18</v>
      </c>
      <c r="C213" s="5">
        <f>Model_30y!K213+Model_30y!AG213</f>
        <v>1202121.6083854772</v>
      </c>
      <c r="D213" s="5">
        <f>Model_15y!K213+Model_15y!AG213</f>
        <v>1172394.7854710326</v>
      </c>
      <c r="E213" s="2">
        <f>Model_Renter!N213+Model_Renter!O213</f>
        <v>1163062.1946272424</v>
      </c>
    </row>
    <row r="214" spans="1:5" x14ac:dyDescent="0.25">
      <c r="A214" s="31">
        <f t="shared" si="6"/>
        <v>212</v>
      </c>
      <c r="B214" s="33">
        <f t="shared" si="7"/>
        <v>18</v>
      </c>
      <c r="C214" s="5">
        <f>Model_30y!K214+Model_30y!AG214</f>
        <v>1210866.834498906</v>
      </c>
      <c r="D214" s="5">
        <f>Model_15y!K214+Model_15y!AG214</f>
        <v>1180479.8584315488</v>
      </c>
      <c r="E214" s="2">
        <f>Model_Renter!N214+Model_Renter!O214</f>
        <v>1172282.7824394298</v>
      </c>
    </row>
    <row r="215" spans="1:5" x14ac:dyDescent="0.25">
      <c r="A215" s="31">
        <f t="shared" si="6"/>
        <v>213</v>
      </c>
      <c r="B215" s="33">
        <f t="shared" si="7"/>
        <v>18</v>
      </c>
      <c r="C215" s="5">
        <f>Model_30y!K215+Model_30y!AG215</f>
        <v>1219658.5245004091</v>
      </c>
      <c r="D215" s="5">
        <f>Model_15y!K215+Model_15y!AG215</f>
        <v>1188608.8639226984</v>
      </c>
      <c r="E215" s="2">
        <f>Model_Renter!N215+Model_Renter!O215</f>
        <v>1181578.1086167539</v>
      </c>
    </row>
    <row r="216" spans="1:5" x14ac:dyDescent="0.25">
      <c r="A216" s="31">
        <f t="shared" si="6"/>
        <v>214</v>
      </c>
      <c r="B216" s="33">
        <f t="shared" si="7"/>
        <v>18</v>
      </c>
      <c r="C216" s="5">
        <f>Model_30y!K216+Model_30y!AG216</f>
        <v>1228496.938585924</v>
      </c>
      <c r="D216" s="5">
        <f>Model_15y!K216+Model_15y!AG216</f>
        <v>1196782.0559147864</v>
      </c>
      <c r="E216" s="2">
        <f>Model_Renter!N216+Model_Renter!O216</f>
        <v>1190948.7312094853</v>
      </c>
    </row>
    <row r="217" spans="1:5" x14ac:dyDescent="0.25">
      <c r="A217" s="31">
        <f t="shared" si="6"/>
        <v>215</v>
      </c>
      <c r="B217" s="33">
        <f t="shared" si="7"/>
        <v>18</v>
      </c>
      <c r="C217" s="5">
        <f>Model_30y!K217+Model_30y!AG217</f>
        <v>1237382.3384782006</v>
      </c>
      <c r="D217" s="5">
        <f>Model_15y!K217+Model_15y!AG217</f>
        <v>1204999.6899242948</v>
      </c>
      <c r="E217" s="2">
        <f>Model_Renter!N217+Model_Renter!O217</f>
        <v>1200395.2122709919</v>
      </c>
    </row>
    <row r="218" spans="1:5" x14ac:dyDescent="0.25">
      <c r="A218" s="31">
        <f t="shared" si="6"/>
        <v>216</v>
      </c>
      <c r="B218" s="33">
        <f t="shared" si="7"/>
        <v>18</v>
      </c>
      <c r="C218" s="5">
        <f>Model_30y!K218+Model_30y!AG218</f>
        <v>1246314.9874361109</v>
      </c>
      <c r="D218" s="5">
        <f>Model_15y!K218+Model_15y!AG218</f>
        <v>1213262.0230236703</v>
      </c>
      <c r="E218" s="2">
        <f>Model_Renter!N218+Model_Renter!O218</f>
        <v>1209918.1178858462</v>
      </c>
    </row>
    <row r="219" spans="1:5" x14ac:dyDescent="0.25">
      <c r="A219" s="31">
        <f t="shared" si="6"/>
        <v>217</v>
      </c>
      <c r="B219" s="33">
        <f t="shared" si="7"/>
        <v>19</v>
      </c>
      <c r="C219" s="5">
        <f>Model_30y!K219+Model_30y!AG219</f>
        <v>1255295.1502640182</v>
      </c>
      <c r="D219" s="5">
        <f>Model_15y!K219+Model_15y!AG219</f>
        <v>1221569.3138511758</v>
      </c>
      <c r="E219" s="2">
        <f>Model_Renter!N219+Model_Renter!O219</f>
        <v>1219361.260326114</v>
      </c>
    </row>
    <row r="220" spans="1:5" x14ac:dyDescent="0.25">
      <c r="A220" s="31">
        <f t="shared" si="6"/>
        <v>218</v>
      </c>
      <c r="B220" s="33">
        <f t="shared" si="7"/>
        <v>19</v>
      </c>
      <c r="C220" s="5">
        <f>Model_30y!K220+Model_30y!AG220</f>
        <v>1264323.0933212033</v>
      </c>
      <c r="D220" s="5">
        <f>Model_15y!K220+Model_15y!AG220</f>
        <v>1229921.8226208063</v>
      </c>
      <c r="E220" s="2">
        <f>Model_Renter!N220+Model_Renter!O220</f>
        <v>1228880.902437951</v>
      </c>
    </row>
    <row r="221" spans="1:5" x14ac:dyDescent="0.25">
      <c r="A221" s="31">
        <f t="shared" si="6"/>
        <v>219</v>
      </c>
      <c r="B221" s="33">
        <f t="shared" si="7"/>
        <v>19</v>
      </c>
      <c r="C221" s="5">
        <f>Model_30y!K221+Model_30y!AG221</f>
        <v>1273399.0845313505</v>
      </c>
      <c r="D221" s="5">
        <f>Model_15y!K221+Model_15y!AG221</f>
        <v>1238319.8111322694</v>
      </c>
      <c r="E221" s="2">
        <f>Model_Renter!N221+Model_Renter!O221</f>
        <v>1238477.6152766435</v>
      </c>
    </row>
    <row r="222" spans="1:5" x14ac:dyDescent="0.25">
      <c r="A222" s="31">
        <f t="shared" si="6"/>
        <v>220</v>
      </c>
      <c r="B222" s="33">
        <f t="shared" si="7"/>
        <v>19</v>
      </c>
      <c r="C222" s="5">
        <f>Model_30y!K222+Model_30y!AG222</f>
        <v>1282523.3933920953</v>
      </c>
      <c r="D222" s="5">
        <f>Model_15y!K222+Model_15y!AG222</f>
        <v>1246763.542781031</v>
      </c>
      <c r="E222" s="2">
        <f>Model_Renter!N222+Model_Renter!O222</f>
        <v>1248151.9739933216</v>
      </c>
    </row>
    <row r="223" spans="1:5" x14ac:dyDescent="0.25">
      <c r="A223" s="31">
        <f t="shared" si="6"/>
        <v>221</v>
      </c>
      <c r="B223" s="33">
        <f t="shared" si="7"/>
        <v>19</v>
      </c>
      <c r="C223" s="5">
        <f>Model_30y!K223+Model_30y!AG223</f>
        <v>1291696.2909846285</v>
      </c>
      <c r="D223" s="5">
        <f>Model_15y!K223+Model_15y!AG223</f>
        <v>1255253.2825684254</v>
      </c>
      <c r="E223" s="2">
        <f>Model_Renter!N223+Model_Renter!O223</f>
        <v>1257904.5578637139</v>
      </c>
    </row>
    <row r="224" spans="1:5" x14ac:dyDescent="0.25">
      <c r="A224" s="31">
        <f t="shared" si="6"/>
        <v>222</v>
      </c>
      <c r="B224" s="33">
        <f t="shared" si="7"/>
        <v>19</v>
      </c>
      <c r="C224" s="5">
        <f>Model_30y!K224+Model_30y!AG224</f>
        <v>1300918.0499833624</v>
      </c>
      <c r="D224" s="5">
        <f>Model_15y!K224+Model_15y!AG224</f>
        <v>1263789.2971118321</v>
      </c>
      <c r="E224" s="2">
        <f>Model_Renter!N224+Model_Renter!O224</f>
        <v>1267735.9503171032</v>
      </c>
    </row>
    <row r="225" spans="1:5" x14ac:dyDescent="0.25">
      <c r="A225" s="31">
        <f t="shared" si="6"/>
        <v>223</v>
      </c>
      <c r="B225" s="33">
        <f t="shared" si="7"/>
        <v>19</v>
      </c>
      <c r="C225" s="5">
        <f>Model_30y!K225+Model_30y!AG225</f>
        <v>1310188.9446656599</v>
      </c>
      <c r="D225" s="5">
        <f>Model_15y!K225+Model_15y!AG225</f>
        <v>1272371.8546549189</v>
      </c>
      <c r="E225" s="2">
        <f>Model_Renter!N225+Model_Renter!O225</f>
        <v>1277646.7389654818</v>
      </c>
    </row>
    <row r="226" spans="1:5" x14ac:dyDescent="0.25">
      <c r="A226" s="31">
        <f t="shared" si="6"/>
        <v>224</v>
      </c>
      <c r="B226" s="33">
        <f t="shared" si="7"/>
        <v>19</v>
      </c>
      <c r="C226" s="5">
        <f>Model_30y!K226+Model_30y!AG226</f>
        <v>1319509.2509216205</v>
      </c>
      <c r="D226" s="5">
        <f>Model_15y!K226+Model_15y!AG226</f>
        <v>1281001.2250779502</v>
      </c>
      <c r="E226" s="2">
        <f>Model_Renter!N226+Model_Renter!O226</f>
        <v>1287637.5156329102</v>
      </c>
    </row>
    <row r="227" spans="1:5" x14ac:dyDescent="0.25">
      <c r="A227" s="31">
        <f t="shared" si="6"/>
        <v>225</v>
      </c>
      <c r="B227" s="33">
        <f t="shared" si="7"/>
        <v>19</v>
      </c>
      <c r="C227" s="5">
        <f>Model_30y!K227+Model_30y!AG227</f>
        <v>1328879.2462639306</v>
      </c>
      <c r="D227" s="5">
        <f>Model_15y!K227+Model_15y!AG227</f>
        <v>1289677.6799081657</v>
      </c>
      <c r="E227" s="2">
        <f>Model_Renter!N227+Model_Renter!O227</f>
        <v>1297708.8763850783</v>
      </c>
    </row>
    <row r="228" spans="1:5" x14ac:dyDescent="0.25">
      <c r="A228" s="31">
        <f t="shared" si="6"/>
        <v>226</v>
      </c>
      <c r="B228" s="33">
        <f t="shared" si="7"/>
        <v>19</v>
      </c>
      <c r="C228" s="5">
        <f>Model_30y!K228+Model_30y!AG228</f>
        <v>1338299.2098377764</v>
      </c>
      <c r="D228" s="5">
        <f>Model_15y!K228+Model_15y!AG228</f>
        <v>1298401.4923302219</v>
      </c>
      <c r="E228" s="2">
        <f>Model_Renter!N228+Model_Renter!O228</f>
        <v>1307861.4215590716</v>
      </c>
    </row>
    <row r="229" spans="1:5" x14ac:dyDescent="0.25">
      <c r="A229" s="31">
        <f t="shared" si="6"/>
        <v>227</v>
      </c>
      <c r="B229" s="33">
        <f t="shared" si="7"/>
        <v>19</v>
      </c>
      <c r="C229" s="5">
        <f>Model_30y!K229+Model_30y!AG229</f>
        <v>1347769.4224308166</v>
      </c>
      <c r="D229" s="5">
        <f>Model_15y!K229+Model_15y!AG229</f>
        <v>1307172.9371967069</v>
      </c>
      <c r="E229" s="2">
        <f>Model_Renter!N229+Model_Renter!O229</f>
        <v>1318095.7557933454</v>
      </c>
    </row>
    <row r="230" spans="1:5" x14ac:dyDescent="0.25">
      <c r="A230" s="31">
        <f t="shared" si="6"/>
        <v>228</v>
      </c>
      <c r="B230" s="33">
        <f t="shared" si="7"/>
        <v>19</v>
      </c>
      <c r="C230" s="5">
        <f>Model_30y!K230+Model_30y!AG230</f>
        <v>1357290.166483219</v>
      </c>
      <c r="D230" s="5">
        <f>Model_15y!K230+Model_15y!AG230</f>
        <v>1315992.2910387188</v>
      </c>
      <c r="E230" s="2">
        <f>Model_Renter!N230+Model_Renter!O230</f>
        <v>1328412.4880579044</v>
      </c>
    </row>
    <row r="231" spans="1:5" x14ac:dyDescent="0.25">
      <c r="A231" s="31">
        <f t="shared" si="6"/>
        <v>229</v>
      </c>
      <c r="B231" s="33">
        <f t="shared" si="7"/>
        <v>20</v>
      </c>
      <c r="C231" s="5">
        <f>Model_30y!K231+Model_30y!AG231</f>
        <v>1366861.7260977621</v>
      </c>
      <c r="D231" s="5">
        <f>Model_15y!K231+Model_15y!AG231</f>
        <v>1324859.8320765174</v>
      </c>
      <c r="E231" s="2">
        <f>Model_Renter!N231+Model_Renter!O231</f>
        <v>1338650.0801600264</v>
      </c>
    </row>
    <row r="232" spans="1:5" x14ac:dyDescent="0.25">
      <c r="A232" s="31">
        <f t="shared" si="6"/>
        <v>230</v>
      </c>
      <c r="B232" s="33">
        <f t="shared" si="7"/>
        <v>20</v>
      </c>
      <c r="C232" s="5">
        <f>Model_30y!K232+Model_30y!AG232</f>
        <v>1376484.3870499968</v>
      </c>
      <c r="D232" s="5">
        <f>Model_15y!K232+Model_15y!AG232</f>
        <v>1333775.840230241</v>
      </c>
      <c r="E232" s="2">
        <f>Model_Renter!N232+Model_Renter!O232</f>
        <v>1348970.1953003949</v>
      </c>
    </row>
    <row r="233" spans="1:5" x14ac:dyDescent="0.25">
      <c r="A233" s="31">
        <f t="shared" si="6"/>
        <v>231</v>
      </c>
      <c r="B233" s="33">
        <f t="shared" si="7"/>
        <v>20</v>
      </c>
      <c r="C233" s="5">
        <f>Model_30y!K233+Model_30y!AG233</f>
        <v>1386158.4367984748</v>
      </c>
      <c r="D233" s="5">
        <f>Model_15y!K233+Model_15y!AG233</f>
        <v>1342740.5971306968</v>
      </c>
      <c r="E233" s="2">
        <f>Model_Renter!N233+Model_Renter!O233</f>
        <v>1359373.4480824061</v>
      </c>
    </row>
    <row r="234" spans="1:5" x14ac:dyDescent="0.25">
      <c r="A234" s="31">
        <f t="shared" si="6"/>
        <v>232</v>
      </c>
      <c r="B234" s="33">
        <f t="shared" si="7"/>
        <v>20</v>
      </c>
      <c r="C234" s="5">
        <f>Model_30y!K234+Model_30y!AG234</f>
        <v>1395884.1644950393</v>
      </c>
      <c r="D234" s="5">
        <f>Model_15y!K234+Model_15y!AG234</f>
        <v>1351754.3861302196</v>
      </c>
      <c r="E234" s="2">
        <f>Model_Renter!N234+Model_Renter!O234</f>
        <v>1369860.4575123773</v>
      </c>
    </row>
    <row r="235" spans="1:5" x14ac:dyDescent="0.25">
      <c r="A235" s="31">
        <f t="shared" si="6"/>
        <v>233</v>
      </c>
      <c r="B235" s="33">
        <f t="shared" si="7"/>
        <v>20</v>
      </c>
      <c r="C235" s="5">
        <f>Model_30y!K235+Model_30y!AG235</f>
        <v>1405661.8609951837</v>
      </c>
      <c r="D235" s="5">
        <f>Model_15y!K235+Model_15y!AG235</f>
        <v>1360817.4923136022</v>
      </c>
      <c r="E235" s="2">
        <f>Model_Renter!N235+Model_Renter!O235</f>
        <v>1380431.8470304369</v>
      </c>
    </row>
    <row r="236" spans="1:5" x14ac:dyDescent="0.25">
      <c r="A236" s="31">
        <f t="shared" si="6"/>
        <v>234</v>
      </c>
      <c r="B236" s="33">
        <f t="shared" si="7"/>
        <v>20</v>
      </c>
      <c r="C236" s="5">
        <f>Model_30y!K236+Model_30y!AG236</f>
        <v>1415491.8188684708</v>
      </c>
      <c r="D236" s="5">
        <f>Model_15y!K236+Model_15y!AG236</f>
        <v>1369930.2025090943</v>
      </c>
      <c r="E236" s="2">
        <f>Model_Renter!N236+Model_Renter!O236</f>
        <v>1391088.244541629</v>
      </c>
    </row>
    <row r="237" spans="1:5" x14ac:dyDescent="0.25">
      <c r="A237" s="31">
        <f t="shared" si="6"/>
        <v>235</v>
      </c>
      <c r="B237" s="33">
        <f t="shared" si="7"/>
        <v>20</v>
      </c>
      <c r="C237" s="5">
        <f>Model_30y!K237+Model_30y!AG237</f>
        <v>1425374.3324090224</v>
      </c>
      <c r="D237" s="5">
        <f>Model_15y!K237+Model_15y!AG237</f>
        <v>1379092.8052994788</v>
      </c>
      <c r="E237" s="2">
        <f>Model_Renter!N237+Model_Renter!O237</f>
        <v>1401830.2824472354</v>
      </c>
    </row>
    <row r="238" spans="1:5" x14ac:dyDescent="0.25">
      <c r="A238" s="31">
        <f t="shared" si="6"/>
        <v>236</v>
      </c>
      <c r="B238" s="33">
        <f t="shared" si="7"/>
        <v>20</v>
      </c>
      <c r="C238" s="5">
        <f>Model_30y!K238+Model_30y!AG238</f>
        <v>1435309.697646071</v>
      </c>
      <c r="D238" s="5">
        <f>Model_15y!K238+Model_15y!AG238</f>
        <v>1388305.5910332142</v>
      </c>
      <c r="E238" s="2">
        <f>Model_Renter!N238+Model_Renter!O238</f>
        <v>1412658.5976763126</v>
      </c>
    </row>
    <row r="239" spans="1:5" x14ac:dyDescent="0.25">
      <c r="A239" s="31">
        <f t="shared" si="6"/>
        <v>237</v>
      </c>
      <c r="B239" s="33">
        <f t="shared" si="7"/>
        <v>20</v>
      </c>
      <c r="C239" s="5">
        <f>Model_30y!K239+Model_30y!AG239</f>
        <v>1445298.2123545806</v>
      </c>
      <c r="D239" s="5">
        <f>Model_15y!K239+Model_15y!AG239</f>
        <v>1397568.8518356534</v>
      </c>
      <c r="E239" s="2">
        <f>Model_Renter!N239+Model_Renter!O239</f>
        <v>1423573.8317174485</v>
      </c>
    </row>
    <row r="240" spans="1:5" x14ac:dyDescent="0.25">
      <c r="A240" s="31">
        <f t="shared" si="6"/>
        <v>238</v>
      </c>
      <c r="B240" s="33">
        <f t="shared" si="7"/>
        <v>20</v>
      </c>
      <c r="C240" s="5">
        <f>Model_30y!K240+Model_30y!AG240</f>
        <v>1455340.1760659334</v>
      </c>
      <c r="D240" s="5">
        <f>Model_15y!K240+Model_15y!AG240</f>
        <v>1406882.8816203335</v>
      </c>
      <c r="E240" s="2">
        <f>Model_Renter!N240+Model_Renter!O240</f>
        <v>1434576.6306507401</v>
      </c>
    </row>
    <row r="241" spans="1:5" x14ac:dyDescent="0.25">
      <c r="A241" s="31">
        <f t="shared" si="6"/>
        <v>239</v>
      </c>
      <c r="B241" s="33">
        <f t="shared" si="7"/>
        <v>20</v>
      </c>
      <c r="C241" s="5">
        <f>Model_30y!K241+Model_30y!AG241</f>
        <v>1465435.8900786843</v>
      </c>
      <c r="D241" s="5">
        <f>Model_15y!K241+Model_15y!AG241</f>
        <v>1416247.9761003421</v>
      </c>
      <c r="E241" s="2">
        <f>Model_Renter!N241+Model_Renter!O241</f>
        <v>1445667.6451799914</v>
      </c>
    </row>
    <row r="242" spans="1:5" x14ac:dyDescent="0.25">
      <c r="A242" s="31">
        <f t="shared" si="6"/>
        <v>240</v>
      </c>
      <c r="B242" s="33">
        <f t="shared" si="7"/>
        <v>20</v>
      </c>
      <c r="C242" s="5">
        <f>Model_30y!K242+Model_30y!AG242</f>
        <v>1475585.6574693816</v>
      </c>
      <c r="D242" s="5">
        <f>Model_15y!K242+Model_15y!AG242</f>
        <v>1425664.4327997549</v>
      </c>
      <c r="E242" s="2">
        <f>Model_Renter!N242+Model_Renter!O242</f>
        <v>1456847.5306651345</v>
      </c>
    </row>
    <row r="243" spans="1:5" x14ac:dyDescent="0.25">
      <c r="A243" s="31">
        <f t="shared" si="6"/>
        <v>241</v>
      </c>
      <c r="B243" s="33">
        <f t="shared" si="7"/>
        <v>21</v>
      </c>
      <c r="C243" s="5">
        <f>Model_30y!K243+Model_30y!AG243</f>
        <v>1485789.7831034586</v>
      </c>
      <c r="D243" s="5">
        <f>Model_15y!K243+Model_15y!AG243</f>
        <v>1435132.5510651486</v>
      </c>
      <c r="E243" s="2">
        <f>Model_Renter!N243+Model_Renter!O243</f>
        <v>1467949.2237095314</v>
      </c>
    </row>
    <row r="244" spans="1:5" x14ac:dyDescent="0.25">
      <c r="A244" s="31">
        <f t="shared" si="6"/>
        <v>242</v>
      </c>
      <c r="B244" s="33">
        <f t="shared" si="7"/>
        <v>21</v>
      </c>
      <c r="C244" s="5">
        <f>Model_30y!K244+Model_30y!AG244</f>
        <v>1496048.5736461901</v>
      </c>
      <c r="D244" s="5">
        <f>Model_15y!K244+Model_15y!AG244</f>
        <v>1444652.6320771896</v>
      </c>
      <c r="E244" s="2">
        <f>Model_Renter!N244+Model_Renter!O244</f>
        <v>1479139.9684738964</v>
      </c>
    </row>
    <row r="245" spans="1:5" x14ac:dyDescent="0.25">
      <c r="A245" s="31">
        <f t="shared" si="6"/>
        <v>243</v>
      </c>
      <c r="B245" s="33">
        <f t="shared" si="7"/>
        <v>21</v>
      </c>
      <c r="C245" s="5">
        <f>Model_30y!K245+Model_30y!AG245</f>
        <v>1506362.3375737234</v>
      </c>
      <c r="D245" s="5">
        <f>Model_15y!K245+Model_15y!AG245</f>
        <v>1454224.9788622989</v>
      </c>
      <c r="E245" s="2">
        <f>Model_Renter!N245+Model_Renter!O245</f>
        <v>1490420.4266796443</v>
      </c>
    </row>
    <row r="246" spans="1:5" x14ac:dyDescent="0.25">
      <c r="A246" s="31">
        <f t="shared" si="6"/>
        <v>244</v>
      </c>
      <c r="B246" s="33">
        <f t="shared" si="7"/>
        <v>21</v>
      </c>
      <c r="C246" s="5">
        <f>Model_30y!K246+Model_30y!AG246</f>
        <v>1516731.3851841725</v>
      </c>
      <c r="D246" s="5">
        <f>Model_15y!K246+Model_15y!AG246</f>
        <v>1463849.8963043897</v>
      </c>
      <c r="E246" s="2">
        <f>Model_Renter!N246+Model_Renter!O246</f>
        <v>1501791.2647830376</v>
      </c>
    </row>
    <row r="247" spans="1:5" x14ac:dyDescent="0.25">
      <c r="A247" s="31">
        <f t="shared" si="6"/>
        <v>245</v>
      </c>
      <c r="B247" s="33">
        <f t="shared" si="7"/>
        <v>21</v>
      </c>
      <c r="C247" s="5">
        <f>Model_30y!K247+Model_30y!AG247</f>
        <v>1527156.0286087869</v>
      </c>
      <c r="D247" s="5">
        <f>Model_15y!K247+Model_15y!AG247</f>
        <v>1473527.6911566867</v>
      </c>
      <c r="E247" s="2">
        <f>Model_Renter!N247+Model_Renter!O247</f>
        <v>1513253.1540083864</v>
      </c>
    </row>
    <row r="248" spans="1:5" x14ac:dyDescent="0.25">
      <c r="A248" s="31">
        <f t="shared" si="6"/>
        <v>246</v>
      </c>
      <c r="B248" s="33">
        <f t="shared" si="7"/>
        <v>21</v>
      </c>
      <c r="C248" s="5">
        <f>Model_30y!K248+Model_30y!AG248</f>
        <v>1537636.5818231893</v>
      </c>
      <c r="D248" s="5">
        <f>Model_15y!K248+Model_15y!AG248</f>
        <v>1483258.6720536193</v>
      </c>
      <c r="E248" s="2">
        <f>Model_Renter!N248+Model_Renter!O248</f>
        <v>1524806.7703814758</v>
      </c>
    </row>
    <row r="249" spans="1:5" x14ac:dyDescent="0.25">
      <c r="A249" s="31">
        <f t="shared" si="6"/>
        <v>247</v>
      </c>
      <c r="B249" s="33">
        <f t="shared" si="7"/>
        <v>21</v>
      </c>
      <c r="C249" s="5">
        <f>Model_30y!K249+Model_30y!AG249</f>
        <v>1548173.3606586836</v>
      </c>
      <c r="D249" s="5">
        <f>Model_15y!K249+Model_15y!AG249</f>
        <v>1493043.1495227918</v>
      </c>
      <c r="E249" s="2">
        <f>Model_Renter!N249+Model_Renter!O249</f>
        <v>1536452.7947632256</v>
      </c>
    </row>
    <row r="250" spans="1:5" x14ac:dyDescent="0.25">
      <c r="A250" s="31">
        <f t="shared" si="6"/>
        <v>248</v>
      </c>
      <c r="B250" s="33">
        <f t="shared" si="7"/>
        <v>21</v>
      </c>
      <c r="C250" s="5">
        <f>Model_30y!K250+Model_30y!AG250</f>
        <v>1558766.6828136346</v>
      </c>
      <c r="D250" s="5">
        <f>Model_15y!K250+Model_15y!AG250</f>
        <v>1502881.435997034</v>
      </c>
      <c r="E250" s="2">
        <f>Model_Renter!N250+Model_Renter!O250</f>
        <v>1548191.9128835835</v>
      </c>
    </row>
    <row r="251" spans="1:5" x14ac:dyDescent="0.25">
      <c r="A251" s="31">
        <f t="shared" si="6"/>
        <v>249</v>
      </c>
      <c r="B251" s="33">
        <f t="shared" si="7"/>
        <v>21</v>
      </c>
      <c r="C251" s="5">
        <f>Model_30y!K251+Model_30y!AG251</f>
        <v>1569416.8678649203</v>
      </c>
      <c r="D251" s="5">
        <f>Model_15y!K251+Model_15y!AG251</f>
        <v>1512773.845826529</v>
      </c>
      <c r="E251" s="2">
        <f>Model_Renter!N251+Model_Renter!O251</f>
        <v>1560024.8153756531</v>
      </c>
    </row>
    <row r="252" spans="1:5" x14ac:dyDescent="0.25">
      <c r="A252" s="31">
        <f t="shared" si="6"/>
        <v>250</v>
      </c>
      <c r="B252" s="33">
        <f t="shared" si="7"/>
        <v>21</v>
      </c>
      <c r="C252" s="5">
        <f>Model_30y!K252+Model_30y!AG252</f>
        <v>1580124.2372794561</v>
      </c>
      <c r="D252" s="5">
        <f>Model_15y!K252+Model_15y!AG252</f>
        <v>1522720.6952910223</v>
      </c>
      <c r="E252" s="2">
        <f>Model_Renter!N252+Model_Renter!O252</f>
        <v>1571952.197810058</v>
      </c>
    </row>
    <row r="253" spans="1:5" x14ac:dyDescent="0.25">
      <c r="A253" s="31">
        <f t="shared" si="6"/>
        <v>251</v>
      </c>
      <c r="B253" s="33">
        <f t="shared" si="7"/>
        <v>21</v>
      </c>
      <c r="C253" s="5">
        <f>Model_30y!K253+Model_30y!AG253</f>
        <v>1590889.1144257898</v>
      </c>
      <c r="D253" s="5">
        <f>Model_15y!K253+Model_15y!AG253</f>
        <v>1532722.3026121068</v>
      </c>
      <c r="E253" s="2">
        <f>Model_Renter!N253+Model_Renter!O253</f>
        <v>1583974.7607295455</v>
      </c>
    </row>
    <row r="254" spans="1:5" x14ac:dyDescent="0.25">
      <c r="A254" s="31">
        <f t="shared" si="6"/>
        <v>252</v>
      </c>
      <c r="B254" s="33">
        <f t="shared" si="7"/>
        <v>21</v>
      </c>
      <c r="C254" s="5">
        <f>Model_30y!K254+Model_30y!AG254</f>
        <v>1601711.8245857731</v>
      </c>
      <c r="D254" s="5">
        <f>Model_15y!K254+Model_15y!AG254</f>
        <v>1542778.9879655908</v>
      </c>
      <c r="E254" s="2">
        <f>Model_Renter!N254+Model_Renter!O254</f>
        <v>1596093.2096838278</v>
      </c>
    </row>
    <row r="255" spans="1:5" x14ac:dyDescent="0.25">
      <c r="A255" s="31">
        <f t="shared" si="6"/>
        <v>253</v>
      </c>
      <c r="B255" s="33">
        <f t="shared" si="7"/>
        <v>22</v>
      </c>
      <c r="C255" s="5">
        <f>Model_30y!K255+Model_30y!AG255</f>
        <v>1612592.6949663046</v>
      </c>
      <c r="D255" s="5">
        <f>Model_15y!K255+Model_15y!AG255</f>
        <v>1552891.0734939473</v>
      </c>
      <c r="E255" s="2">
        <f>Model_Renter!N255+Model_Renter!O255</f>
        <v>1608134.7761361268</v>
      </c>
    </row>
    <row r="256" spans="1:5" x14ac:dyDescent="0.25">
      <c r="A256" s="31">
        <f t="shared" si="6"/>
        <v>254</v>
      </c>
      <c r="B256" s="33">
        <f t="shared" si="7"/>
        <v>22</v>
      </c>
      <c r="C256" s="5">
        <f>Model_30y!K256+Model_30y!AG256</f>
        <v>1623532.0547111463</v>
      </c>
      <c r="D256" s="5">
        <f>Model_15y!K256+Model_15y!AG256</f>
        <v>1563058.8833188419</v>
      </c>
      <c r="E256" s="2">
        <f>Model_Renter!N256+Model_Renter!O256</f>
        <v>1620272.4715691598</v>
      </c>
    </row>
    <row r="257" spans="1:5" x14ac:dyDescent="0.25">
      <c r="A257" s="31">
        <f t="shared" si="6"/>
        <v>255</v>
      </c>
      <c r="B257" s="33">
        <f t="shared" si="7"/>
        <v>22</v>
      </c>
      <c r="C257" s="5">
        <f>Model_30y!K257+Model_30y!AG257</f>
        <v>1634530.2349128171</v>
      </c>
      <c r="D257" s="5">
        <f>Model_15y!K257+Model_15y!AG257</f>
        <v>1573282.7435537463</v>
      </c>
      <c r="E257" s="2">
        <f>Model_Renter!N257+Model_Renter!O257</f>
        <v>1632507.0086935272</v>
      </c>
    </row>
    <row r="258" spans="1:5" x14ac:dyDescent="0.25">
      <c r="A258" s="31">
        <f t="shared" si="6"/>
        <v>256</v>
      </c>
      <c r="B258" s="33">
        <f t="shared" si="7"/>
        <v>22</v>
      </c>
      <c r="C258" s="5">
        <f>Model_30y!K258+Model_30y!AG258</f>
        <v>1645587.56862456</v>
      </c>
      <c r="D258" s="5">
        <f>Model_15y!K258+Model_15y!AG258</f>
        <v>1583562.9823166302</v>
      </c>
      <c r="E258" s="2">
        <f>Model_Renter!N258+Model_Renter!O258</f>
        <v>1644839.1053135395</v>
      </c>
    </row>
    <row r="259" spans="1:5" x14ac:dyDescent="0.25">
      <c r="A259" s="31">
        <f t="shared" si="6"/>
        <v>257</v>
      </c>
      <c r="B259" s="33">
        <f t="shared" si="7"/>
        <v>22</v>
      </c>
      <c r="C259" s="5">
        <f>Model_30y!K259+Model_30y!AG259</f>
        <v>1656704.3908723835</v>
      </c>
      <c r="D259" s="5">
        <f>Model_15y!K259+Model_15y!AG259</f>
        <v>1593899.9297427381</v>
      </c>
      <c r="E259" s="2">
        <f>Model_Renter!N259+Model_Renter!O259</f>
        <v>1657269.4843629082</v>
      </c>
    </row>
    <row r="260" spans="1:5" x14ac:dyDescent="0.25">
      <c r="A260" s="31">
        <f t="shared" ref="A260:A323" si="8">A259+1</f>
        <v>258</v>
      </c>
      <c r="B260" s="33">
        <f t="shared" ref="B260:B323" si="9">ROUNDUP(A260/12, 0)</f>
        <v>22</v>
      </c>
      <c r="C260" s="5">
        <f>Model_30y!K260+Model_30y!AG260</f>
        <v>1667881.0386671824</v>
      </c>
      <c r="D260" s="5">
        <f>Model_15y!K260+Model_15y!AG260</f>
        <v>1604293.9179974527</v>
      </c>
      <c r="E260" s="2">
        <f>Model_Renter!N260+Model_Renter!O260</f>
        <v>1669798.8739406834</v>
      </c>
    </row>
    <row r="261" spans="1:5" x14ac:dyDescent="0.25">
      <c r="A261" s="31">
        <f t="shared" si="8"/>
        <v>259</v>
      </c>
      <c r="B261" s="33">
        <f t="shared" si="9"/>
        <v>22</v>
      </c>
      <c r="C261" s="5">
        <f>Model_30y!K261+Model_30y!AG261</f>
        <v>1679117.8510169319</v>
      </c>
      <c r="D261" s="5">
        <f>Model_15y!K261+Model_15y!AG261</f>
        <v>1614745.2812892334</v>
      </c>
      <c r="E261" s="2">
        <f>Model_Renter!N261+Model_Renter!O261</f>
        <v>1682428.007347442</v>
      </c>
    </row>
    <row r="262" spans="1:5" x14ac:dyDescent="0.25">
      <c r="A262" s="31">
        <f t="shared" si="8"/>
        <v>260</v>
      </c>
      <c r="B262" s="33">
        <f t="shared" si="9"/>
        <v>22</v>
      </c>
      <c r="C262" s="5">
        <f>Model_30y!K262+Model_30y!AG262</f>
        <v>1690415.1689389604</v>
      </c>
      <c r="D262" s="5">
        <f>Model_15y!K262+Model_15y!AG262</f>
        <v>1625254.3558826507</v>
      </c>
      <c r="E262" s="2">
        <f>Model_Renter!N262+Model_Renter!O262</f>
        <v>1695157.6231217242</v>
      </c>
    </row>
    <row r="263" spans="1:5" x14ac:dyDescent="0.25">
      <c r="A263" s="31">
        <f t="shared" si="8"/>
        <v>261</v>
      </c>
      <c r="B263" s="33">
        <f t="shared" si="9"/>
        <v>22</v>
      </c>
      <c r="C263" s="5">
        <f>Model_30y!K263+Model_30y!AG263</f>
        <v>1701773.3354723002</v>
      </c>
      <c r="D263" s="5">
        <f>Model_15y!K263+Model_15y!AG263</f>
        <v>1635821.4801114979</v>
      </c>
      <c r="E263" s="2">
        <f>Model_Renter!N263+Model_Renter!O263</f>
        <v>1707988.4650767255</v>
      </c>
    </row>
    <row r="264" spans="1:5" x14ac:dyDescent="0.25">
      <c r="A264" s="31">
        <f t="shared" si="8"/>
        <v>262</v>
      </c>
      <c r="B264" s="33">
        <f t="shared" si="9"/>
        <v>22</v>
      </c>
      <c r="C264" s="5">
        <f>Model_30y!K264+Model_30y!AG264</f>
        <v>1713192.6956901141</v>
      </c>
      <c r="D264" s="5">
        <f>Model_15y!K264+Model_15y!AG264</f>
        <v>1646446.9943919904</v>
      </c>
      <c r="E264" s="2">
        <f>Model_Renter!N264+Model_Renter!O264</f>
        <v>1720921.282337239</v>
      </c>
    </row>
    <row r="265" spans="1:5" x14ac:dyDescent="0.25">
      <c r="A265" s="31">
        <f t="shared" si="8"/>
        <v>263</v>
      </c>
      <c r="B265" s="33">
        <f t="shared" si="9"/>
        <v>22</v>
      </c>
      <c r="C265" s="5">
        <f>Model_30y!K265+Model_30y!AG265</f>
        <v>1724673.5967122032</v>
      </c>
      <c r="D265" s="5">
        <f>Model_15y!K265+Model_15y!AG265</f>
        <v>1657131.2412360534</v>
      </c>
      <c r="E265" s="2">
        <f>Model_Renter!N265+Model_Renter!O265</f>
        <v>1733956.8293768582</v>
      </c>
    </row>
    <row r="266" spans="1:5" x14ac:dyDescent="0.25">
      <c r="A266" s="31">
        <f t="shared" si="8"/>
        <v>264</v>
      </c>
      <c r="B266" s="33">
        <f t="shared" si="9"/>
        <v>22</v>
      </c>
      <c r="C266" s="5">
        <f>Model_30y!K266+Model_30y!AG266</f>
        <v>1736216.387717593</v>
      </c>
      <c r="D266" s="5">
        <f>Model_15y!K266+Model_15y!AG266</f>
        <v>1667874.5652646939</v>
      </c>
      <c r="E266" s="2">
        <f>Model_Renter!N266+Model_Renter!O266</f>
        <v>1747095.8660554334</v>
      </c>
    </row>
    <row r="267" spans="1:5" x14ac:dyDescent="0.25">
      <c r="A267" s="31">
        <f t="shared" si="8"/>
        <v>265</v>
      </c>
      <c r="B267" s="33">
        <f t="shared" si="9"/>
        <v>23</v>
      </c>
      <c r="C267" s="5">
        <f>Model_30y!K267+Model_30y!AG267</f>
        <v>1747821.4199571963</v>
      </c>
      <c r="D267" s="5">
        <f>Model_15y!K267+Model_15y!AG267</f>
        <v>1678677.3132214616</v>
      </c>
      <c r="E267" s="2">
        <f>Model_Renter!N267+Model_Renter!O267</f>
        <v>1760159.7334411873</v>
      </c>
    </row>
    <row r="268" spans="1:5" x14ac:dyDescent="0.25">
      <c r="A268" s="31">
        <f t="shared" si="8"/>
        <v>266</v>
      </c>
      <c r="B268" s="33">
        <f t="shared" si="9"/>
        <v>23</v>
      </c>
      <c r="C268" s="5">
        <f>Model_30y!K268+Model_30y!AG268</f>
        <v>1759489.046766561</v>
      </c>
      <c r="D268" s="5">
        <f>Model_15y!K268+Model_15y!AG268</f>
        <v>1689539.8339859969</v>
      </c>
      <c r="E268" s="2">
        <f>Model_Renter!N268+Model_Renter!O268</f>
        <v>1773327.402628629</v>
      </c>
    </row>
    <row r="269" spans="1:5" x14ac:dyDescent="0.25">
      <c r="A269" s="31">
        <f t="shared" si="8"/>
        <v>267</v>
      </c>
      <c r="B269" s="33">
        <f t="shared" si="9"/>
        <v>23</v>
      </c>
      <c r="C269" s="5">
        <f>Model_30y!K269+Model_30y!AG269</f>
        <v>1771219.6235786944</v>
      </c>
      <c r="D269" s="5">
        <f>Model_15y!K269+Model_15y!AG269</f>
        <v>1700462.4785876691</v>
      </c>
      <c r="E269" s="2">
        <f>Model_Renter!N269+Model_Renter!O269</f>
        <v>1786599.6415156403</v>
      </c>
    </row>
    <row r="270" spans="1:5" x14ac:dyDescent="0.25">
      <c r="A270" s="31">
        <f t="shared" si="8"/>
        <v>268</v>
      </c>
      <c r="B270" s="33">
        <f t="shared" si="9"/>
        <v>23</v>
      </c>
      <c r="C270" s="5">
        <f>Model_30y!K270+Model_30y!AG270</f>
        <v>1783013.5079369708</v>
      </c>
      <c r="D270" s="5">
        <f>Model_15y!K270+Model_15y!AG270</f>
        <v>1711445.6002193019</v>
      </c>
      <c r="E270" s="2">
        <f>Model_Renter!N270+Model_Renter!O270</f>
        <v>1799977.2234818621</v>
      </c>
    </row>
    <row r="271" spans="1:5" x14ac:dyDescent="0.25">
      <c r="A271" s="31">
        <f t="shared" si="8"/>
        <v>269</v>
      </c>
      <c r="B271" s="33">
        <f t="shared" si="9"/>
        <v>23</v>
      </c>
      <c r="C271" s="5">
        <f>Model_30y!K271+Model_30y!AG271</f>
        <v>1794871.0595081197</v>
      </c>
      <c r="D271" s="5">
        <f>Model_15y!K271+Model_15y!AG271</f>
        <v>1722489.5542509896</v>
      </c>
      <c r="E271" s="2">
        <f>Model_Renter!N271+Model_Renter!O271</f>
        <v>1813460.9274270807</v>
      </c>
    </row>
    <row r="272" spans="1:5" x14ac:dyDescent="0.25">
      <c r="A272" s="31">
        <f t="shared" si="8"/>
        <v>270</v>
      </c>
      <c r="B272" s="33">
        <f t="shared" si="9"/>
        <v>23</v>
      </c>
      <c r="C272" s="5">
        <f>Model_30y!K272+Model_30y!AG272</f>
        <v>1806792.6400952972</v>
      </c>
      <c r="D272" s="5">
        <f>Model_15y!K272+Model_15y!AG272</f>
        <v>1733594.6982440047</v>
      </c>
      <c r="E272" s="2">
        <f>Model_Renter!N272+Model_Renter!O272</f>
        <v>1827051.5378098774</v>
      </c>
    </row>
    <row r="273" spans="1:5" x14ac:dyDescent="0.25">
      <c r="A273" s="31">
        <f t="shared" si="8"/>
        <v>271</v>
      </c>
      <c r="B273" s="33">
        <f t="shared" si="9"/>
        <v>23</v>
      </c>
      <c r="C273" s="5">
        <f>Model_30y!K273+Model_30y!AG273</f>
        <v>1818778.6136512386</v>
      </c>
      <c r="D273" s="5">
        <f>Model_15y!K273+Model_15y!AG273</f>
        <v>1744761.3919647937</v>
      </c>
      <c r="E273" s="2">
        <f>Model_Renter!N273+Model_Renter!O273</f>
        <v>1840749.8446865485</v>
      </c>
    </row>
    <row r="274" spans="1:5" x14ac:dyDescent="0.25">
      <c r="A274" s="31">
        <f t="shared" si="8"/>
        <v>272</v>
      </c>
      <c r="B274" s="33">
        <f t="shared" si="9"/>
        <v>23</v>
      </c>
      <c r="C274" s="5">
        <f>Model_30y!K274+Model_30y!AG274</f>
        <v>1830829.346291495</v>
      </c>
      <c r="D274" s="5">
        <f>Model_15y!K274+Model_15y!AG274</f>
        <v>1755989.9973990684</v>
      </c>
      <c r="E274" s="2">
        <f>Model_Renter!N274+Model_Renter!O274</f>
        <v>1854556.643750292</v>
      </c>
    </row>
    <row r="275" spans="1:5" x14ac:dyDescent="0.25">
      <c r="A275" s="31">
        <f t="shared" si="8"/>
        <v>273</v>
      </c>
      <c r="B275" s="33">
        <f t="shared" si="9"/>
        <v>23</v>
      </c>
      <c r="C275" s="5">
        <f>Model_30y!K275+Model_30y!AG275</f>
        <v>1842945.2063077556</v>
      </c>
      <c r="D275" s="5">
        <f>Model_15y!K275+Model_15y!AG275</f>
        <v>1767280.8787659863</v>
      </c>
      <c r="E275" s="2">
        <f>Model_Renter!N275+Model_Renter!O275</f>
        <v>1868472.736370668</v>
      </c>
    </row>
    <row r="276" spans="1:5" x14ac:dyDescent="0.25">
      <c r="A276" s="31">
        <f t="shared" si="8"/>
        <v>274</v>
      </c>
      <c r="B276" s="33">
        <f t="shared" si="9"/>
        <v>23</v>
      </c>
      <c r="C276" s="5">
        <f>Model_30y!K276+Model_30y!AG276</f>
        <v>1855126.5641812489</v>
      </c>
      <c r="D276" s="5">
        <f>Model_15y!K276+Model_15y!AG276</f>
        <v>1778634.4025324243</v>
      </c>
      <c r="E276" s="2">
        <f>Model_Renter!N276+Model_Renter!O276</f>
        <v>1882498.9296333322</v>
      </c>
    </row>
    <row r="277" spans="1:5" x14ac:dyDescent="0.25">
      <c r="A277" s="31">
        <f t="shared" si="8"/>
        <v>275</v>
      </c>
      <c r="B277" s="33">
        <f t="shared" si="9"/>
        <v>23</v>
      </c>
      <c r="C277" s="5">
        <f>Model_30y!K277+Model_30y!AG277</f>
        <v>1867373.7925962356</v>
      </c>
      <c r="D277" s="5">
        <f>Model_15y!K277+Model_15y!AG277</f>
        <v>1790050.9374273475</v>
      </c>
      <c r="E277" s="2">
        <f>Model_Renter!N277+Model_Renter!O277</f>
        <v>1896636.0363800421</v>
      </c>
    </row>
    <row r="278" spans="1:5" x14ac:dyDescent="0.25">
      <c r="A278" s="31">
        <f t="shared" si="8"/>
        <v>276</v>
      </c>
      <c r="B278" s="33">
        <f t="shared" si="9"/>
        <v>23</v>
      </c>
      <c r="C278" s="5">
        <f>Model_30y!K278+Model_30y!AG278</f>
        <v>1879687.2664535821</v>
      </c>
      <c r="D278" s="5">
        <f>Model_15y!K278+Model_15y!AG278</f>
        <v>1801530.854456271</v>
      </c>
      <c r="E278" s="2">
        <f>Model_Renter!N278+Model_Renter!O278</f>
        <v>1910884.8752489442</v>
      </c>
    </row>
    <row r="279" spans="1:5" x14ac:dyDescent="0.25">
      <c r="A279" s="31">
        <f t="shared" si="8"/>
        <v>277</v>
      </c>
      <c r="B279" s="33">
        <f t="shared" si="9"/>
        <v>24</v>
      </c>
      <c r="C279" s="5">
        <f>Model_30y!K279+Model_30y!AG279</f>
        <v>1892067.3628844207</v>
      </c>
      <c r="D279" s="5">
        <f>Model_15y!K279+Model_15y!AG279</f>
        <v>1813074.5269158157</v>
      </c>
      <c r="E279" s="2">
        <f>Model_Renter!N279+Model_Renter!O279</f>
        <v>1925060.7062178324</v>
      </c>
    </row>
    <row r="280" spans="1:5" x14ac:dyDescent="0.25">
      <c r="A280" s="31">
        <f t="shared" si="8"/>
        <v>278</v>
      </c>
      <c r="B280" s="33">
        <f t="shared" si="9"/>
        <v>24</v>
      </c>
      <c r="C280" s="5">
        <f>Model_30y!K280+Model_30y!AG280</f>
        <v>1904514.4612638983</v>
      </c>
      <c r="D280" s="5">
        <f>Model_15y!K280+Model_15y!AG280</f>
        <v>1824682.3304083608</v>
      </c>
      <c r="E280" s="2">
        <f>Model_Renter!N280+Model_Renter!O280</f>
        <v>1939348.6583866817</v>
      </c>
    </row>
    <row r="281" spans="1:5" x14ac:dyDescent="0.25">
      <c r="A281" s="31">
        <f t="shared" si="8"/>
        <v>279</v>
      </c>
      <c r="B281" s="33">
        <f t="shared" si="9"/>
        <v>24</v>
      </c>
      <c r="C281" s="5">
        <f>Model_30y!K281+Model_30y!AG281</f>
        <v>1917028.9432250098</v>
      </c>
      <c r="D281" s="5">
        <f>Model_15y!K281+Model_15y!AG281</f>
        <v>1836354.6428567907</v>
      </c>
      <c r="E281" s="2">
        <f>Model_Renter!N281+Model_Renter!O281</f>
        <v>1953749.5593935282</v>
      </c>
    </row>
    <row r="282" spans="1:5" x14ac:dyDescent="0.25">
      <c r="A282" s="31">
        <f t="shared" si="8"/>
        <v>280</v>
      </c>
      <c r="B282" s="33">
        <f t="shared" si="9"/>
        <v>24</v>
      </c>
      <c r="C282" s="5">
        <f>Model_30y!K282+Model_30y!AG282</f>
        <v>1929611.1926725218</v>
      </c>
      <c r="D282" s="5">
        <f>Model_15y!K282+Model_15y!AG282</f>
        <v>1848091.8445193402</v>
      </c>
      <c r="E282" s="2">
        <f>Model_Renter!N282+Model_Renter!O282</f>
        <v>1968264.2427778537</v>
      </c>
    </row>
    <row r="283" spans="1:5" x14ac:dyDescent="0.25">
      <c r="A283" s="31">
        <f t="shared" si="8"/>
        <v>281</v>
      </c>
      <c r="B283" s="33">
        <f t="shared" si="9"/>
        <v>24</v>
      </c>
      <c r="C283" s="5">
        <f>Model_30y!K283+Model_30y!AG283</f>
        <v>1942261.59579698</v>
      </c>
      <c r="D283" s="5">
        <f>Model_15y!K283+Model_15y!AG283</f>
        <v>1859894.3180045369</v>
      </c>
      <c r="E283" s="2">
        <f>Model_Renter!N283+Model_Renter!O283</f>
        <v>1982893.5480218828</v>
      </c>
    </row>
    <row r="284" spans="1:5" x14ac:dyDescent="0.25">
      <c r="A284" s="31">
        <f t="shared" si="8"/>
        <v>282</v>
      </c>
      <c r="B284" s="33">
        <f t="shared" si="9"/>
        <v>24</v>
      </c>
      <c r="C284" s="5">
        <f>Model_30y!K284+Model_30y!AG284</f>
        <v>1954980.5410888097</v>
      </c>
      <c r="D284" s="5">
        <f>Model_15y!K284+Model_15y!AG284</f>
        <v>1871762.4482862391</v>
      </c>
      <c r="E284" s="2">
        <f>Model_Renter!N284+Model_Renter!O284</f>
        <v>1997638.3205921659</v>
      </c>
    </row>
    <row r="285" spans="1:5" x14ac:dyDescent="0.25">
      <c r="A285" s="31">
        <f t="shared" si="8"/>
        <v>283</v>
      </c>
      <c r="B285" s="33">
        <f t="shared" si="9"/>
        <v>24</v>
      </c>
      <c r="C285" s="5">
        <f>Model_30y!K285+Model_30y!AG285</f>
        <v>1967768.4193525063</v>
      </c>
      <c r="D285" s="5">
        <f>Model_15y!K285+Model_15y!AG285</f>
        <v>1883696.6227187752</v>
      </c>
      <c r="E285" s="2">
        <f>Model_Renter!N285+Model_Renter!O285</f>
        <v>2012499.4119814511</v>
      </c>
    </row>
    <row r="286" spans="1:5" x14ac:dyDescent="0.25">
      <c r="A286" s="31">
        <f t="shared" si="8"/>
        <v>284</v>
      </c>
      <c r="B286" s="33">
        <f t="shared" si="9"/>
        <v>24</v>
      </c>
      <c r="C286" s="5">
        <f>Model_30y!K286+Model_30y!AG286</f>
        <v>1980625.6237209088</v>
      </c>
      <c r="D286" s="5">
        <f>Model_15y!K286+Model_15y!AG286</f>
        <v>1895697.2310521796</v>
      </c>
      <c r="E286" s="2">
        <f>Model_Renter!N286+Model_Renter!O286</f>
        <v>2027477.6797508446</v>
      </c>
    </row>
    <row r="287" spans="1:5" x14ac:dyDescent="0.25">
      <c r="A287" s="31">
        <f t="shared" si="8"/>
        <v>285</v>
      </c>
      <c r="B287" s="33">
        <f t="shared" si="9"/>
        <v>24</v>
      </c>
      <c r="C287" s="5">
        <f>Model_30y!K287+Model_30y!AG287</f>
        <v>1993552.5496695726</v>
      </c>
      <c r="D287" s="5">
        <f>Model_15y!K287+Model_15y!AG287</f>
        <v>1907764.6654475315</v>
      </c>
      <c r="E287" s="2">
        <f>Model_Renter!N287+Model_Renter!O287</f>
        <v>2042573.9875722651</v>
      </c>
    </row>
    <row r="288" spans="1:5" x14ac:dyDescent="0.25">
      <c r="A288" s="31">
        <f t="shared" si="8"/>
        <v>286</v>
      </c>
      <c r="B288" s="33">
        <f t="shared" si="9"/>
        <v>24</v>
      </c>
      <c r="C288" s="5">
        <f>Model_30y!K288+Model_30y!AG288</f>
        <v>2006549.5950312272</v>
      </c>
      <c r="D288" s="5">
        <f>Model_15y!K288+Model_15y!AG288</f>
        <v>1919899.3204923919</v>
      </c>
      <c r="E288" s="2">
        <f>Model_Renter!N288+Model_Renter!O288</f>
        <v>2057789.2052711898</v>
      </c>
    </row>
    <row r="289" spans="1:5" x14ac:dyDescent="0.25">
      <c r="A289" s="31">
        <f t="shared" si="8"/>
        <v>287</v>
      </c>
      <c r="B289" s="33">
        <f t="shared" si="9"/>
        <v>24</v>
      </c>
      <c r="C289" s="5">
        <f>Model_30y!K289+Model_30y!AG289</f>
        <v>2019617.1600103285</v>
      </c>
      <c r="D289" s="5">
        <f>Model_15y!K289+Model_15y!AG289</f>
        <v>1932101.5932163424</v>
      </c>
      <c r="E289" s="2">
        <f>Model_Renter!N289+Model_Renter!O289</f>
        <v>2073124.2088696973</v>
      </c>
    </row>
    <row r="290" spans="1:5" x14ac:dyDescent="0.25">
      <c r="A290" s="31">
        <f t="shared" si="8"/>
        <v>288</v>
      </c>
      <c r="B290" s="33">
        <f t="shared" si="9"/>
        <v>24</v>
      </c>
      <c r="C290" s="5">
        <f>Model_30y!K290+Model_30y!AG290</f>
        <v>2032755.647197701</v>
      </c>
      <c r="D290" s="5">
        <f>Model_15y!K290+Model_15y!AG290</f>
        <v>1944371.8831066252</v>
      </c>
      <c r="E290" s="2">
        <f>Model_Renter!N290+Model_Renter!O290</f>
        <v>2088579.8806298086</v>
      </c>
    </row>
    <row r="291" spans="1:5" x14ac:dyDescent="0.25">
      <c r="A291" s="31">
        <f t="shared" si="8"/>
        <v>289</v>
      </c>
      <c r="B291" s="33">
        <f t="shared" si="9"/>
        <v>25</v>
      </c>
      <c r="C291" s="5">
        <f>Model_30y!K291+Model_30y!AG291</f>
        <v>2045965.4615852765</v>
      </c>
      <c r="D291" s="5">
        <f>Model_15y!K291+Model_15y!AG291</f>
        <v>1956710.5921238887</v>
      </c>
      <c r="E291" s="2">
        <f>Model_Renter!N291+Model_Renter!O291</f>
        <v>2103965.2031807853</v>
      </c>
    </row>
    <row r="292" spans="1:5" x14ac:dyDescent="0.25">
      <c r="A292" s="31">
        <f t="shared" si="8"/>
        <v>290</v>
      </c>
      <c r="B292" s="33">
        <f t="shared" si="9"/>
        <v>25</v>
      </c>
      <c r="C292" s="5">
        <f>Model_30y!K292+Model_30y!AG292</f>
        <v>2059247.0105809229</v>
      </c>
      <c r="D292" s="5">
        <f>Model_15y!K292+Model_15y!AG292</f>
        <v>1969118.1247180314</v>
      </c>
      <c r="E292" s="2">
        <f>Model_Renter!N292+Model_Renter!O292</f>
        <v>2119471.6683065528</v>
      </c>
    </row>
    <row r="293" spans="1:5" x14ac:dyDescent="0.25">
      <c r="A293" s="31">
        <f t="shared" si="8"/>
        <v>291</v>
      </c>
      <c r="B293" s="33">
        <f t="shared" si="9"/>
        <v>25</v>
      </c>
      <c r="C293" s="5">
        <f>Model_30y!K293+Model_30y!AG293</f>
        <v>2072600.7040233673</v>
      </c>
      <c r="D293" s="5">
        <f>Model_15y!K293+Model_15y!AG293</f>
        <v>1981594.8878441537</v>
      </c>
      <c r="E293" s="2">
        <f>Model_Renter!N293+Model_Renter!O293</f>
        <v>2135100.168323183</v>
      </c>
    </row>
    <row r="294" spans="1:5" x14ac:dyDescent="0.25">
      <c r="A294" s="31">
        <f t="shared" si="8"/>
        <v>292</v>
      </c>
      <c r="B294" s="33">
        <f t="shared" si="9"/>
        <v>25</v>
      </c>
      <c r="C294" s="5">
        <f>Model_30y!K294+Model_30y!AG294</f>
        <v>2086026.9541972161</v>
      </c>
      <c r="D294" s="5">
        <f>Model_15y!K294+Model_15y!AG294</f>
        <v>1994141.2909786126</v>
      </c>
      <c r="E294" s="2">
        <f>Model_Renter!N294+Model_Renter!O294</f>
        <v>2150851.6019021715</v>
      </c>
    </row>
    <row r="295" spans="1:5" x14ac:dyDescent="0.25">
      <c r="A295" s="31">
        <f t="shared" si="8"/>
        <v>293</v>
      </c>
      <c r="B295" s="33">
        <f t="shared" si="9"/>
        <v>25</v>
      </c>
      <c r="C295" s="5">
        <f>Model_30y!K295+Model_30y!AG295</f>
        <v>2099526.1758480687</v>
      </c>
      <c r="D295" s="5">
        <f>Model_15y!K295+Model_15y!AG295</f>
        <v>2006757.7461351824</v>
      </c>
      <c r="E295" s="2">
        <f>Model_Renter!N295+Model_Renter!O295</f>
        <v>2166726.8741148822</v>
      </c>
    </row>
    <row r="296" spans="1:5" x14ac:dyDescent="0.25">
      <c r="A296" s="31">
        <f t="shared" si="8"/>
        <v>294</v>
      </c>
      <c r="B296" s="33">
        <f t="shared" si="9"/>
        <v>25</v>
      </c>
      <c r="C296" s="5">
        <f>Model_30y!K296+Model_30y!AG296</f>
        <v>2113098.7861977266</v>
      </c>
      <c r="D296" s="5">
        <f>Model_15y!K296+Model_15y!AG296</f>
        <v>2019444.6678813214</v>
      </c>
      <c r="E296" s="2">
        <f>Model_Renter!N296+Model_Renter!O296</f>
        <v>2182726.8964773011</v>
      </c>
    </row>
    <row r="297" spans="1:5" x14ac:dyDescent="0.25">
      <c r="A297" s="31">
        <f t="shared" si="8"/>
        <v>295</v>
      </c>
      <c r="B297" s="33">
        <f t="shared" si="9"/>
        <v>25</v>
      </c>
      <c r="C297" s="5">
        <f>Model_30y!K297+Model_30y!AG297</f>
        <v>2126745.2049595001</v>
      </c>
      <c r="D297" s="5">
        <f>Model_15y!K297+Model_15y!AG297</f>
        <v>2032202.4733545431</v>
      </c>
      <c r="E297" s="2">
        <f>Model_Renter!N297+Model_Renter!O297</f>
        <v>2198852.5869951001</v>
      </c>
    </row>
    <row r="298" spans="1:5" x14ac:dyDescent="0.25">
      <c r="A298" s="31">
        <f t="shared" si="8"/>
        <v>296</v>
      </c>
      <c r="B298" s="33">
        <f t="shared" si="9"/>
        <v>25</v>
      </c>
      <c r="C298" s="5">
        <f>Model_30y!K298+Model_30y!AG298</f>
        <v>2140465.8543536128</v>
      </c>
      <c r="D298" s="5">
        <f>Model_15y!K298+Model_15y!AG298</f>
        <v>2045031.5822788989</v>
      </c>
      <c r="E298" s="2">
        <f>Model_Renter!N298+Model_Renter!O298</f>
        <v>2215104.8702090136</v>
      </c>
    </row>
    <row r="299" spans="1:5" x14ac:dyDescent="0.25">
      <c r="A299" s="31">
        <f t="shared" si="8"/>
        <v>297</v>
      </c>
      <c r="B299" s="33">
        <f t="shared" si="9"/>
        <v>25</v>
      </c>
      <c r="C299" s="5">
        <f>Model_30y!K299+Model_30y!AG299</f>
        <v>2154261.1591227003</v>
      </c>
      <c r="D299" s="5">
        <f>Model_15y!K299+Model_15y!AG299</f>
        <v>2057932.4169815658</v>
      </c>
      <c r="E299" s="2">
        <f>Model_Renter!N299+Model_Renter!O299</f>
        <v>2231484.6772405258</v>
      </c>
    </row>
    <row r="300" spans="1:5" x14ac:dyDescent="0.25">
      <c r="A300" s="31">
        <f t="shared" si="8"/>
        <v>298</v>
      </c>
      <c r="B300" s="33">
        <f t="shared" si="9"/>
        <v>25</v>
      </c>
      <c r="C300" s="5">
        <f>Model_30y!K300+Model_30y!AG300</f>
        <v>2168131.5465474124</v>
      </c>
      <c r="D300" s="5">
        <f>Model_15y!K300+Model_15y!AG300</f>
        <v>2070905.4024095435</v>
      </c>
      <c r="E300" s="2">
        <f>Model_Renter!N300+Model_Renter!O300</f>
        <v>2247992.9458378791</v>
      </c>
    </row>
    <row r="301" spans="1:5" x14ac:dyDescent="0.25">
      <c r="A301" s="31">
        <f t="shared" si="8"/>
        <v>299</v>
      </c>
      <c r="B301" s="33">
        <f t="shared" si="9"/>
        <v>25</v>
      </c>
      <c r="C301" s="5">
        <f>Model_30y!K301+Model_30y!AG301</f>
        <v>2182077.4464621102</v>
      </c>
      <c r="D301" s="5">
        <f>Model_15y!K301+Model_15y!AG301</f>
        <v>2083950.9661464626</v>
      </c>
      <c r="E301" s="2">
        <f>Model_Renter!N301+Model_Renter!O301</f>
        <v>2264630.6204223954</v>
      </c>
    </row>
    <row r="302" spans="1:5" x14ac:dyDescent="0.25">
      <c r="A302" s="31">
        <f t="shared" si="8"/>
        <v>300</v>
      </c>
      <c r="B302" s="33">
        <f t="shared" si="9"/>
        <v>25</v>
      </c>
      <c r="C302" s="5">
        <f>Model_30y!K302+Model_30y!AG302</f>
        <v>2196099.2912706644</v>
      </c>
      <c r="D302" s="5">
        <f>Model_15y!K302+Model_15y!AG302</f>
        <v>2097069.5384295001</v>
      </c>
      <c r="E302" s="2">
        <f>Model_Renter!N302+Model_Renter!O302</f>
        <v>2281398.6521351226</v>
      </c>
    </row>
    <row r="303" spans="1:5" x14ac:dyDescent="0.25">
      <c r="A303" s="31">
        <f t="shared" si="8"/>
        <v>301</v>
      </c>
      <c r="B303" s="33">
        <f t="shared" si="9"/>
        <v>26</v>
      </c>
      <c r="C303" s="5">
        <f>Model_30y!K303+Model_30y!AG303</f>
        <v>2210197.5159623558</v>
      </c>
      <c r="D303" s="5">
        <f>Model_15y!K303+Model_15y!AG303</f>
        <v>2110261.5521664103</v>
      </c>
      <c r="E303" s="2">
        <f>Model_Renter!N303+Model_Renter!O303</f>
        <v>2298099.5443140059</v>
      </c>
    </row>
    <row r="304" spans="1:5" x14ac:dyDescent="0.25">
      <c r="A304" s="31">
        <f t="shared" si="8"/>
        <v>302</v>
      </c>
      <c r="B304" s="33">
        <f t="shared" si="9"/>
        <v>26</v>
      </c>
      <c r="C304" s="5">
        <f>Model_30y!K304+Model_30y!AG304</f>
        <v>2224372.5581278722</v>
      </c>
      <c r="D304" s="5">
        <f>Model_15y!K304+Model_15y!AG304</f>
        <v>2123527.4429526622</v>
      </c>
      <c r="E304" s="2">
        <f>Model_Renter!N304+Model_Renter!O304</f>
        <v>2314931.3625761308</v>
      </c>
    </row>
    <row r="305" spans="1:5" x14ac:dyDescent="0.25">
      <c r="A305" s="31">
        <f t="shared" si="8"/>
        <v>303</v>
      </c>
      <c r="B305" s="33">
        <f t="shared" si="9"/>
        <v>26</v>
      </c>
      <c r="C305" s="5">
        <f>Model_30y!K305+Model_30y!AG305</f>
        <v>2238624.8579754117</v>
      </c>
      <c r="D305" s="5">
        <f>Model_15y!K305+Model_15y!AG305</f>
        <v>2136867.6490886956</v>
      </c>
      <c r="E305" s="2">
        <f>Model_Renter!N305+Model_Renter!O305</f>
        <v>2331895.069271307</v>
      </c>
    </row>
    <row r="306" spans="1:5" x14ac:dyDescent="0.25">
      <c r="A306" s="31">
        <f t="shared" si="8"/>
        <v>304</v>
      </c>
      <c r="B306" s="33">
        <f t="shared" si="9"/>
        <v>26</v>
      </c>
      <c r="C306" s="5">
        <f>Model_30y!K306+Model_30y!AG306</f>
        <v>2252954.8583468837</v>
      </c>
      <c r="D306" s="5">
        <f>Model_15y!K306+Model_15y!AG306</f>
        <v>2150282.6115972833</v>
      </c>
      <c r="E306" s="2">
        <f>Model_Renter!N306+Model_Renter!O306</f>
        <v>2348991.6335959155</v>
      </c>
    </row>
    <row r="307" spans="1:5" x14ac:dyDescent="0.25">
      <c r="A307" s="31">
        <f t="shared" si="8"/>
        <v>305</v>
      </c>
      <c r="B307" s="33">
        <f t="shared" si="9"/>
        <v>26</v>
      </c>
      <c r="C307" s="5">
        <f>Model_30y!K307+Model_30y!AG307</f>
        <v>2267363.0047342186</v>
      </c>
      <c r="D307" s="5">
        <f>Model_15y!K307+Model_15y!AG307</f>
        <v>2163772.7742410144</v>
      </c>
      <c r="E307" s="2">
        <f>Model_Renter!N307+Model_Renter!O307</f>
        <v>2366222.0316407583</v>
      </c>
    </row>
    <row r="308" spans="1:5" x14ac:dyDescent="0.25">
      <c r="A308" s="31">
        <f t="shared" si="8"/>
        <v>306</v>
      </c>
      <c r="B308" s="33">
        <f t="shared" si="9"/>
        <v>26</v>
      </c>
      <c r="C308" s="5">
        <f>Model_30y!K308+Model_30y!AG308</f>
        <v>2281849.7452957756</v>
      </c>
      <c r="D308" s="5">
        <f>Model_15y!K308+Model_15y!AG308</f>
        <v>2177338.5835398878</v>
      </c>
      <c r="E308" s="2">
        <f>Model_Renter!N308+Model_Renter!O308</f>
        <v>2383587.2464392441</v>
      </c>
    </row>
    <row r="309" spans="1:5" x14ac:dyDescent="0.25">
      <c r="A309" s="31">
        <f t="shared" si="8"/>
        <v>307</v>
      </c>
      <c r="B309" s="33">
        <f t="shared" si="9"/>
        <v>26</v>
      </c>
      <c r="C309" s="5">
        <f>Model_30y!K309+Model_30y!AG309</f>
        <v>2296415.5308728572</v>
      </c>
      <c r="D309" s="5">
        <f>Model_15y!K309+Model_15y!AG309</f>
        <v>2190980.488789022</v>
      </c>
      <c r="E309" s="2">
        <f>Model_Renter!N309+Model_Renter!O309</f>
        <v>2401088.2680159002</v>
      </c>
    </row>
    <row r="310" spans="1:5" x14ac:dyDescent="0.25">
      <c r="A310" s="31">
        <f t="shared" si="8"/>
        <v>308</v>
      </c>
      <c r="B310" s="33">
        <f t="shared" si="9"/>
        <v>26</v>
      </c>
      <c r="C310" s="5">
        <f>Model_30y!K310+Model_30y!AG310</f>
        <v>2311060.8150063292</v>
      </c>
      <c r="D310" s="5">
        <f>Model_15y!K310+Model_15y!AG310</f>
        <v>2204698.9420764823</v>
      </c>
      <c r="E310" s="2">
        <f>Model_Renter!N310+Model_Renter!O310</f>
        <v>2418726.0934352255</v>
      </c>
    </row>
    <row r="311" spans="1:5" x14ac:dyDescent="0.25">
      <c r="A311" s="31">
        <f t="shared" si="8"/>
        <v>309</v>
      </c>
      <c r="B311" s="33">
        <f t="shared" si="9"/>
        <v>26</v>
      </c>
      <c r="C311" s="5">
        <f>Model_30y!K311+Model_30y!AG311</f>
        <v>2325786.0539533449</v>
      </c>
      <c r="D311" s="5">
        <f>Model_15y!K311+Model_15y!AG311</f>
        <v>2218494.3983012266</v>
      </c>
      <c r="E311" s="2">
        <f>Model_Renter!N311+Model_Renter!O311</f>
        <v>2436501.7268508812</v>
      </c>
    </row>
    <row r="312" spans="1:5" x14ac:dyDescent="0.25">
      <c r="A312" s="31">
        <f t="shared" si="8"/>
        <v>310</v>
      </c>
      <c r="B312" s="33">
        <f t="shared" si="9"/>
        <v>26</v>
      </c>
      <c r="C312" s="5">
        <f>Model_30y!K312+Model_30y!AG312</f>
        <v>2340591.706704176</v>
      </c>
      <c r="D312" s="5">
        <f>Model_15y!K312+Model_15y!AG312</f>
        <v>2232367.3151911637</v>
      </c>
      <c r="E312" s="2">
        <f>Model_Renter!N312+Model_Renter!O312</f>
        <v>2454416.1795552168</v>
      </c>
    </row>
    <row r="313" spans="1:5" x14ac:dyDescent="0.25">
      <c r="A313" s="31">
        <f t="shared" si="8"/>
        <v>311</v>
      </c>
      <c r="B313" s="33">
        <f t="shared" si="9"/>
        <v>26</v>
      </c>
      <c r="C313" s="5">
        <f>Model_30y!K313+Model_30y!AG313</f>
        <v>2355478.2349991519</v>
      </c>
      <c r="D313" s="5">
        <f>Model_15y!K313+Model_15y!AG313</f>
        <v>2246318.1533213351</v>
      </c>
      <c r="E313" s="2">
        <f>Model_Renter!N313+Model_Renter!O313</f>
        <v>2472470.470029145</v>
      </c>
    </row>
    <row r="314" spans="1:5" x14ac:dyDescent="0.25">
      <c r="A314" s="31">
        <f t="shared" si="8"/>
        <v>312</v>
      </c>
      <c r="B314" s="33">
        <f t="shared" si="9"/>
        <v>26</v>
      </c>
      <c r="C314" s="5">
        <f>Model_30y!K314+Model_30y!AG314</f>
        <v>2370446.1033457043</v>
      </c>
      <c r="D314" s="5">
        <f>Model_15y!K314+Model_15y!AG314</f>
        <v>2260347.3761322172</v>
      </c>
      <c r="E314" s="2">
        <f>Model_Renter!N314+Model_Renter!O314</f>
        <v>2490665.6239923579</v>
      </c>
    </row>
    <row r="315" spans="1:5" x14ac:dyDescent="0.25">
      <c r="A315" s="31">
        <f t="shared" si="8"/>
        <v>313</v>
      </c>
      <c r="B315" s="33">
        <f t="shared" si="9"/>
        <v>27</v>
      </c>
      <c r="C315" s="5">
        <f>Model_30y!K315+Model_30y!AG315</f>
        <v>2385495.7790355221</v>
      </c>
      <c r="D315" s="5">
        <f>Model_15y!K315+Model_15y!AG315</f>
        <v>2274455.4499481381</v>
      </c>
      <c r="E315" s="2">
        <f>Model_Renter!N315+Model_Renter!O315</f>
        <v>2508797.4577423944</v>
      </c>
    </row>
    <row r="316" spans="1:5" x14ac:dyDescent="0.25">
      <c r="A316" s="31">
        <f t="shared" si="8"/>
        <v>314</v>
      </c>
      <c r="B316" s="33">
        <f t="shared" si="9"/>
        <v>27</v>
      </c>
      <c r="C316" s="5">
        <f>Model_30y!K316+Model_30y!AG316</f>
        <v>2400627.7321618157</v>
      </c>
      <c r="D316" s="5">
        <f>Model_15y!K316+Model_15y!AG316</f>
        <v>2288642.8439958198</v>
      </c>
      <c r="E316" s="2">
        <f>Model_Renter!N316+Model_Renter!O316</f>
        <v>2527070.8285405026</v>
      </c>
    </row>
    <row r="317" spans="1:5" x14ac:dyDescent="0.25">
      <c r="A317" s="31">
        <f t="shared" si="8"/>
        <v>315</v>
      </c>
      <c r="B317" s="33">
        <f t="shared" si="9"/>
        <v>27</v>
      </c>
      <c r="C317" s="5">
        <f>Model_30y!K317+Model_30y!AG317</f>
        <v>2415842.4356366871</v>
      </c>
      <c r="D317" s="5">
        <f>Model_15y!K317+Model_15y!AG317</f>
        <v>2302910.0304230419</v>
      </c>
      <c r="E317" s="2">
        <f>Model_Renter!N317+Model_Renter!O317</f>
        <v>2545486.7745793564</v>
      </c>
    </row>
    <row r="318" spans="1:5" x14ac:dyDescent="0.25">
      <c r="A318" s="31">
        <f t="shared" si="8"/>
        <v>316</v>
      </c>
      <c r="B318" s="33">
        <f t="shared" si="9"/>
        <v>27</v>
      </c>
      <c r="C318" s="5">
        <f>Model_30y!K318+Model_30y!AG318</f>
        <v>2431140.3652086174</v>
      </c>
      <c r="D318" s="5">
        <f>Model_15y!K318+Model_15y!AG318</f>
        <v>2317257.484317428</v>
      </c>
      <c r="E318" s="2">
        <f>Model_Renter!N318+Model_Renter!O318</f>
        <v>2564046.3414296466</v>
      </c>
    </row>
    <row r="319" spans="1:5" x14ac:dyDescent="0.25">
      <c r="A319" s="31">
        <f t="shared" si="8"/>
        <v>317</v>
      </c>
      <c r="B319" s="33">
        <f t="shared" si="9"/>
        <v>27</v>
      </c>
      <c r="C319" s="5">
        <f>Model_30y!K319+Model_30y!AG319</f>
        <v>2446521.9994800594</v>
      </c>
      <c r="D319" s="5">
        <f>Model_15y!K319+Model_15y!AG319</f>
        <v>2331685.6837253524</v>
      </c>
      <c r="E319" s="2">
        <f>Model_Renter!N319+Model_Renter!O319</f>
        <v>2582750.5820916151</v>
      </c>
    </row>
    <row r="320" spans="1:5" x14ac:dyDescent="0.25">
      <c r="A320" s="31">
        <f t="shared" si="8"/>
        <v>318</v>
      </c>
      <c r="B320" s="33">
        <f t="shared" si="9"/>
        <v>27</v>
      </c>
      <c r="C320" s="5">
        <f>Model_30y!K320+Model_30y!AG320</f>
        <v>2461987.8199251443</v>
      </c>
      <c r="D320" s="5">
        <f>Model_15y!K320+Model_15y!AG320</f>
        <v>2346195.1096709757</v>
      </c>
      <c r="E320" s="2">
        <f>Model_Renter!N320+Model_Renter!O320</f>
        <v>2601600.5570469433</v>
      </c>
    </row>
    <row r="321" spans="1:5" x14ac:dyDescent="0.25">
      <c r="A321" s="31">
        <f t="shared" si="8"/>
        <v>319</v>
      </c>
      <c r="B321" s="33">
        <f t="shared" si="9"/>
        <v>27</v>
      </c>
      <c r="C321" s="5">
        <f>Model_30y!K321+Model_30y!AG321</f>
        <v>2477538.3109075027</v>
      </c>
      <c r="D321" s="5">
        <f>Model_15y!K321+Model_15y!AG321</f>
        <v>2360786.2461754032</v>
      </c>
      <c r="E321" s="2">
        <f>Model_Renter!N321+Model_Renter!O321</f>
        <v>2620597.3343110033</v>
      </c>
    </row>
    <row r="322" spans="1:5" x14ac:dyDescent="0.25">
      <c r="A322" s="31">
        <f t="shared" si="8"/>
        <v>320</v>
      </c>
      <c r="B322" s="33">
        <f t="shared" si="9"/>
        <v>27</v>
      </c>
      <c r="C322" s="5">
        <f>Model_30y!K322+Model_30y!AG322</f>
        <v>2493173.9596981956</v>
      </c>
      <c r="D322" s="5">
        <f>Model_15y!K322+Model_15y!AG322</f>
        <v>2375459.5802759696</v>
      </c>
      <c r="E322" s="2">
        <f>Model_Renter!N322+Model_Renter!O322</f>
        <v>2639741.9894854673</v>
      </c>
    </row>
    <row r="323" spans="1:5" x14ac:dyDescent="0.25">
      <c r="A323" s="31">
        <f t="shared" si="8"/>
        <v>321</v>
      </c>
      <c r="B323" s="33">
        <f t="shared" si="9"/>
        <v>27</v>
      </c>
      <c r="C323" s="5">
        <f>Model_30y!K323+Model_30y!AG323</f>
        <v>2508895.2564937631</v>
      </c>
      <c r="D323" s="5">
        <f>Model_15y!K323+Model_15y!AG323</f>
        <v>2390215.6020456497</v>
      </c>
      <c r="E323" s="2">
        <f>Model_Renter!N323+Model_Renter!O323</f>
        <v>2659035.6058112802</v>
      </c>
    </row>
    <row r="324" spans="1:5" x14ac:dyDescent="0.25">
      <c r="A324" s="31">
        <f t="shared" ref="A324:A387" si="10">A323+1</f>
        <v>322</v>
      </c>
      <c r="B324" s="33">
        <f t="shared" ref="B324:B387" si="11">ROUNDUP(A324/12, 0)</f>
        <v>27</v>
      </c>
      <c r="C324" s="5">
        <f>Model_30y!K324+Model_30y!AG324</f>
        <v>2524702.6944343857</v>
      </c>
      <c r="D324" s="5">
        <f>Model_15y!K324+Model_15y!AG324</f>
        <v>2405054.8046125984</v>
      </c>
      <c r="E324" s="2">
        <f>Model_Renter!N324+Model_Renter!O324</f>
        <v>2678479.2742220033</v>
      </c>
    </row>
    <row r="325" spans="1:5" x14ac:dyDescent="0.25">
      <c r="A325" s="31">
        <f t="shared" si="10"/>
        <v>323</v>
      </c>
      <c r="B325" s="33">
        <f t="shared" si="11"/>
        <v>27</v>
      </c>
      <c r="C325" s="5">
        <f>Model_30y!K325+Model_30y!AG325</f>
        <v>2540596.769622162</v>
      </c>
      <c r="D325" s="5">
        <f>Model_15y!K325+Model_15y!AG325</f>
        <v>2419977.6841798197</v>
      </c>
      <c r="E325" s="2">
        <f>Model_Renter!N325+Model_Renter!O325</f>
        <v>2698074.0933975214</v>
      </c>
    </row>
    <row r="326" spans="1:5" x14ac:dyDescent="0.25">
      <c r="A326" s="31">
        <f t="shared" si="10"/>
        <v>324</v>
      </c>
      <c r="B326" s="33">
        <f t="shared" si="11"/>
        <v>27</v>
      </c>
      <c r="C326" s="5">
        <f>Model_30y!K326+Model_30y!AG326</f>
        <v>2556577.9811395016</v>
      </c>
      <c r="D326" s="5">
        <f>Model_15y!K326+Model_15y!AG326</f>
        <v>2434984.7400449589</v>
      </c>
      <c r="E326" s="2">
        <f>Model_Renter!N326+Model_Renter!O326</f>
        <v>2717821.1698181243</v>
      </c>
    </row>
    <row r="327" spans="1:5" x14ac:dyDescent="0.25">
      <c r="A327" s="31">
        <f t="shared" si="10"/>
        <v>325</v>
      </c>
      <c r="B327" s="33">
        <f t="shared" si="11"/>
        <v>28</v>
      </c>
      <c r="C327" s="5">
        <f>Model_30y!K327+Model_30y!AG327</f>
        <v>2572646.8310676385</v>
      </c>
      <c r="D327" s="5">
        <f>Model_15y!K327+Model_15y!AG327</f>
        <v>2450076.4746202379</v>
      </c>
      <c r="E327" s="2">
        <f>Model_Renter!N327+Model_Renter!O327</f>
        <v>2737509.4190646247</v>
      </c>
    </row>
    <row r="328" spans="1:5" x14ac:dyDescent="0.25">
      <c r="A328" s="31">
        <f t="shared" si="10"/>
        <v>326</v>
      </c>
      <c r="B328" s="33">
        <f t="shared" si="11"/>
        <v>28</v>
      </c>
      <c r="C328" s="5">
        <f>Model_30y!K328+Model_30y!AG328</f>
        <v>2588803.8245052574</v>
      </c>
      <c r="D328" s="5">
        <f>Model_15y!K328+Model_15y!AG328</f>
        <v>2465253.3934525046</v>
      </c>
      <c r="E328" s="2">
        <f>Model_Renter!N328+Model_Renter!O328</f>
        <v>2757350.7147115869</v>
      </c>
    </row>
    <row r="329" spans="1:5" x14ac:dyDescent="0.25">
      <c r="A329" s="31">
        <f t="shared" si="10"/>
        <v>327</v>
      </c>
      <c r="B329" s="33">
        <f t="shared" si="11"/>
        <v>28</v>
      </c>
      <c r="C329" s="5">
        <f>Model_30y!K329+Model_30y!AG329</f>
        <v>2605049.4695872422</v>
      </c>
      <c r="D329" s="5">
        <f>Model_15y!K329+Model_15y!AG329</f>
        <v>2480516.0052434313</v>
      </c>
      <c r="E329" s="2">
        <f>Model_Renter!N329+Model_Renter!O329</f>
        <v>2777346.1770957536</v>
      </c>
    </row>
    <row r="330" spans="1:5" x14ac:dyDescent="0.25">
      <c r="A330" s="31">
        <f t="shared" si="10"/>
        <v>328</v>
      </c>
      <c r="B330" s="33">
        <f t="shared" si="11"/>
        <v>28</v>
      </c>
      <c r="C330" s="5">
        <f>Model_30y!K330+Model_30y!AG330</f>
        <v>2621384.2775035454</v>
      </c>
      <c r="D330" s="5">
        <f>Model_15y!K330+Model_15y!AG330</f>
        <v>2495864.8218698325</v>
      </c>
      <c r="E330" s="2">
        <f>Model_Renter!N330+Model_Renter!O330</f>
        <v>2797496.9345070184</v>
      </c>
    </row>
    <row r="331" spans="1:5" x14ac:dyDescent="0.25">
      <c r="A331" s="31">
        <f t="shared" si="10"/>
        <v>329</v>
      </c>
      <c r="B331" s="33">
        <f t="shared" si="11"/>
        <v>28</v>
      </c>
      <c r="C331" s="5">
        <f>Model_30y!K331+Model_30y!AG331</f>
        <v>2637808.7625181703</v>
      </c>
      <c r="D331" s="5">
        <f>Model_15y!K331+Model_15y!AG331</f>
        <v>2511300.3584041251</v>
      </c>
      <c r="E331" s="2">
        <f>Model_Renter!N331+Model_Renter!O331</f>
        <v>2817804.1232439401</v>
      </c>
    </row>
    <row r="332" spans="1:5" x14ac:dyDescent="0.25">
      <c r="A332" s="31">
        <f t="shared" si="10"/>
        <v>330</v>
      </c>
      <c r="B332" s="33">
        <f t="shared" si="11"/>
        <v>28</v>
      </c>
      <c r="C332" s="5">
        <f>Model_30y!K332+Model_30y!AG332</f>
        <v>2654323.4419882847</v>
      </c>
      <c r="D332" s="5">
        <f>Model_15y!K332+Model_15y!AG332</f>
        <v>2526823.1331349192</v>
      </c>
      <c r="E332" s="2">
        <f>Model_Renter!N332+Model_Renter!O332</f>
        <v>2838268.8876696443</v>
      </c>
    </row>
    <row r="333" spans="1:5" x14ac:dyDescent="0.25">
      <c r="A333" s="31">
        <f t="shared" si="10"/>
        <v>331</v>
      </c>
      <c r="B333" s="33">
        <f t="shared" si="11"/>
        <v>28</v>
      </c>
      <c r="C333" s="5">
        <f>Model_30y!K333+Model_30y!AG333</f>
        <v>2670928.8363834466</v>
      </c>
      <c r="D333" s="5">
        <f>Model_15y!K333+Model_15y!AG333</f>
        <v>2542433.6675877436</v>
      </c>
      <c r="E333" s="2">
        <f>Model_Renter!N333+Model_Renter!O333</f>
        <v>2858892.3802681123</v>
      </c>
    </row>
    <row r="334" spans="1:5" x14ac:dyDescent="0.25">
      <c r="A334" s="31">
        <f t="shared" si="10"/>
        <v>332</v>
      </c>
      <c r="B334" s="33">
        <f t="shared" si="11"/>
        <v>28</v>
      </c>
      <c r="C334" s="5">
        <f>Model_30y!K334+Model_30y!AG334</f>
        <v>2687625.4693049593</v>
      </c>
      <c r="D334" s="5">
        <f>Model_15y!K334+Model_15y!AG334</f>
        <v>2558132.4865459129</v>
      </c>
      <c r="E334" s="2">
        <f>Model_Renter!N334+Model_Renter!O334</f>
        <v>2879675.7617008556</v>
      </c>
    </row>
    <row r="335" spans="1:5" x14ac:dyDescent="0.25">
      <c r="A335" s="31">
        <f t="shared" si="10"/>
        <v>333</v>
      </c>
      <c r="B335" s="33">
        <f t="shared" si="11"/>
        <v>28</v>
      </c>
      <c r="C335" s="5">
        <f>Model_30y!K335+Model_30y!AG335</f>
        <v>2704413.867505346</v>
      </c>
      <c r="D335" s="5">
        <f>Model_15y!K335+Model_15y!AG335</f>
        <v>2573920.1180715263</v>
      </c>
      <c r="E335" s="2">
        <f>Model_Renter!N335+Model_Renter!O335</f>
        <v>2900620.2008639858</v>
      </c>
    </row>
    <row r="336" spans="1:5" x14ac:dyDescent="0.25">
      <c r="A336" s="31">
        <f t="shared" si="10"/>
        <v>334</v>
      </c>
      <c r="B336" s="33">
        <f t="shared" si="11"/>
        <v>28</v>
      </c>
      <c r="C336" s="5">
        <f>Model_30y!K336+Model_30y!AG336</f>
        <v>2721294.5609079497</v>
      </c>
      <c r="D336" s="5">
        <f>Model_15y!K336+Model_15y!AG336</f>
        <v>2589797.0935266074</v>
      </c>
      <c r="E336" s="2">
        <f>Model_Renter!N336+Model_Renter!O336</f>
        <v>2921726.8749456769</v>
      </c>
    </row>
    <row r="337" spans="1:5" x14ac:dyDescent="0.25">
      <c r="A337" s="31">
        <f t="shared" si="10"/>
        <v>335</v>
      </c>
      <c r="B337" s="33">
        <f t="shared" si="11"/>
        <v>28</v>
      </c>
      <c r="C337" s="5">
        <f>Model_30y!K337+Model_30y!AG337</f>
        <v>2738268.0826266594</v>
      </c>
      <c r="D337" s="5">
        <f>Model_15y!K337+Model_15y!AG337</f>
        <v>2605763.9475943814</v>
      </c>
      <c r="E337" s="2">
        <f>Model_Renter!N337+Model_Renter!O337</f>
        <v>2942996.9694840265</v>
      </c>
    </row>
    <row r="338" spans="1:5" x14ac:dyDescent="0.25">
      <c r="A338" s="31">
        <f t="shared" si="10"/>
        <v>336</v>
      </c>
      <c r="B338" s="33">
        <f t="shared" si="11"/>
        <v>28</v>
      </c>
      <c r="C338" s="5">
        <f>Model_30y!K338+Model_30y!AG338</f>
        <v>2755334.9689857601</v>
      </c>
      <c r="D338" s="5">
        <f>Model_15y!K338+Model_15y!AG338</f>
        <v>2621821.2183006974</v>
      </c>
      <c r="E338" s="2">
        <f>Model_Renter!N338+Model_Renter!O338</f>
        <v>2964431.6784253134</v>
      </c>
    </row>
    <row r="339" spans="1:5" x14ac:dyDescent="0.25">
      <c r="A339" s="31">
        <f t="shared" si="10"/>
        <v>337</v>
      </c>
      <c r="B339" s="33">
        <f t="shared" si="11"/>
        <v>29</v>
      </c>
      <c r="C339" s="5">
        <f>Model_30y!K339+Model_30y!AG339</f>
        <v>2772495.7595399087</v>
      </c>
      <c r="D339" s="5">
        <f>Model_15y!K339+Model_15y!AG339</f>
        <v>2637969.4470355841</v>
      </c>
      <c r="E339" s="2">
        <f>Model_Renter!N339+Model_Renter!O339</f>
        <v>2985812.7969101928</v>
      </c>
    </row>
    <row r="340" spans="1:5" x14ac:dyDescent="0.25">
      <c r="A340" s="31">
        <f t="shared" si="10"/>
        <v>338</v>
      </c>
      <c r="B340" s="33">
        <f t="shared" si="11"/>
        <v>29</v>
      </c>
      <c r="C340" s="5">
        <f>Model_30y!K340+Model_30y!AG340</f>
        <v>2789750.997094241</v>
      </c>
      <c r="D340" s="5">
        <f>Model_15y!K340+Model_15y!AG340</f>
        <v>2654209.1785749542</v>
      </c>
      <c r="E340" s="2">
        <f>Model_Renter!N340+Model_Renter!O340</f>
        <v>3007359.4465556843</v>
      </c>
    </row>
    <row r="341" spans="1:5" x14ac:dyDescent="0.25">
      <c r="A341" s="31">
        <f t="shared" si="10"/>
        <v>339</v>
      </c>
      <c r="B341" s="33">
        <f t="shared" si="11"/>
        <v>29</v>
      </c>
      <c r="C341" s="5">
        <f>Model_30y!K341+Model_30y!AG341</f>
        <v>2807101.2277246034</v>
      </c>
      <c r="D341" s="5">
        <f>Model_15y!K341+Model_15y!AG341</f>
        <v>2670540.9611024479</v>
      </c>
      <c r="E341" s="2">
        <f>Model_Renter!N341+Model_Renter!O341</f>
        <v>3029072.8366778283</v>
      </c>
    </row>
    <row r="342" spans="1:5" x14ac:dyDescent="0.25">
      <c r="A342" s="31">
        <f t="shared" si="10"/>
        <v>340</v>
      </c>
      <c r="B342" s="33">
        <f t="shared" si="11"/>
        <v>29</v>
      </c>
      <c r="C342" s="5">
        <f>Model_30y!K342+Model_30y!AG342</f>
        <v>2824547.0007979153</v>
      </c>
      <c r="D342" s="5">
        <f>Model_15y!K342+Model_15y!AG342</f>
        <v>2686965.3462314224</v>
      </c>
      <c r="E342" s="2">
        <f>Model_Renter!N342+Model_Renter!O342</f>
        <v>3050954.185168311</v>
      </c>
    </row>
    <row r="343" spans="1:5" x14ac:dyDescent="0.25">
      <c r="A343" s="31">
        <f t="shared" si="10"/>
        <v>341</v>
      </c>
      <c r="B343" s="33">
        <f t="shared" si="11"/>
        <v>29</v>
      </c>
      <c r="C343" s="5">
        <f>Model_30y!K343+Model_30y!AG343</f>
        <v>2842088.8689926611</v>
      </c>
      <c r="D343" s="5">
        <f>Model_15y!K343+Model_15y!AG343</f>
        <v>2703482.8890270833</v>
      </c>
      <c r="E343" s="2">
        <f>Model_Renter!N343+Model_Renter!O343</f>
        <v>3073004.7185542905</v>
      </c>
    </row>
    <row r="344" spans="1:5" x14ac:dyDescent="0.25">
      <c r="A344" s="31">
        <f t="shared" si="10"/>
        <v>342</v>
      </c>
      <c r="B344" s="33">
        <f t="shared" si="11"/>
        <v>29</v>
      </c>
      <c r="C344" s="5">
        <f>Model_30y!K344+Model_30y!AG344</f>
        <v>2859727.388319511</v>
      </c>
      <c r="D344" s="5">
        <f>Model_15y!K344+Model_15y!AG344</f>
        <v>2720094.1480287667</v>
      </c>
      <c r="E344" s="2">
        <f>Model_Renter!N344+Model_Renter!O344</f>
        <v>3095225.6720586396</v>
      </c>
    </row>
    <row r="345" spans="1:5" x14ac:dyDescent="0.25">
      <c r="A345" s="31">
        <f t="shared" si="10"/>
        <v>343</v>
      </c>
      <c r="B345" s="33">
        <f t="shared" si="11"/>
        <v>29</v>
      </c>
      <c r="C345" s="5">
        <f>Model_30y!K345+Model_30y!AG345</f>
        <v>2877463.1181420796</v>
      </c>
      <c r="D345" s="5">
        <f>Model_15y!K345+Model_15y!AG345</f>
        <v>2736799.6852723639</v>
      </c>
      <c r="E345" s="2">
        <f>Model_Renter!N345+Model_Renter!O345</f>
        <v>3117618.2896605986</v>
      </c>
    </row>
    <row r="346" spans="1:5" x14ac:dyDescent="0.25">
      <c r="A346" s="31">
        <f t="shared" si="10"/>
        <v>344</v>
      </c>
      <c r="B346" s="33">
        <f t="shared" si="11"/>
        <v>29</v>
      </c>
      <c r="C346" s="5">
        <f>Model_30y!K346+Model_30y!AG346</f>
        <v>2895296.6211978062</v>
      </c>
      <c r="D346" s="5">
        <f>Model_15y!K346+Model_15y!AG346</f>
        <v>2753600.0663128956</v>
      </c>
      <c r="E346" s="2">
        <f>Model_Renter!N346+Model_Renter!O346</f>
        <v>3140183.8241568534</v>
      </c>
    </row>
    <row r="347" spans="1:5" x14ac:dyDescent="0.25">
      <c r="A347" s="31">
        <f t="shared" si="10"/>
        <v>345</v>
      </c>
      <c r="B347" s="33">
        <f t="shared" si="11"/>
        <v>29</v>
      </c>
      <c r="C347" s="5">
        <f>Model_30y!K347+Model_30y!AG347</f>
        <v>2913228.4636189807</v>
      </c>
      <c r="D347" s="5">
        <f>Model_15y!K347+Model_15y!AG347</f>
        <v>2770495.8602472334</v>
      </c>
      <c r="E347" s="2">
        <f>Model_Renter!N347+Model_Renter!O347</f>
        <v>3162923.5372230331</v>
      </c>
    </row>
    <row r="348" spans="1:5" x14ac:dyDescent="0.25">
      <c r="A348" s="31">
        <f t="shared" si="10"/>
        <v>346</v>
      </c>
      <c r="B348" s="33">
        <f t="shared" si="11"/>
        <v>29</v>
      </c>
      <c r="C348" s="5">
        <f>Model_30y!K348+Model_30y!AG348</f>
        <v>2931259.2149538952</v>
      </c>
      <c r="D348" s="5">
        <f>Model_15y!K348+Model_15y!AG348</f>
        <v>2787487.6397369746</v>
      </c>
      <c r="E348" s="2">
        <f>Model_Renter!N348+Model_Renter!O348</f>
        <v>3185838.699475632</v>
      </c>
    </row>
    <row r="349" spans="1:5" x14ac:dyDescent="0.25">
      <c r="A349" s="31">
        <f t="shared" si="10"/>
        <v>347</v>
      </c>
      <c r="B349" s="33">
        <f t="shared" si="11"/>
        <v>29</v>
      </c>
      <c r="C349" s="5">
        <f>Model_30y!K349+Model_30y!AG349</f>
        <v>2949389.4481881321</v>
      </c>
      <c r="D349" s="5">
        <f>Model_15y!K349+Model_15y!AG349</f>
        <v>2804575.9810314626</v>
      </c>
      <c r="E349" s="2">
        <f>Model_Renter!N349+Model_Renter!O349</f>
        <v>3208930.5905343597</v>
      </c>
    </row>
    <row r="350" spans="1:5" x14ac:dyDescent="0.25">
      <c r="A350" s="31">
        <f t="shared" si="10"/>
        <v>348</v>
      </c>
      <c r="B350" s="33">
        <f t="shared" si="11"/>
        <v>29</v>
      </c>
      <c r="C350" s="5">
        <f>Model_30y!K350+Model_30y!AG350</f>
        <v>2967619.7397659915</v>
      </c>
      <c r="D350" s="5">
        <f>Model_15y!K350+Model_15y!AG350</f>
        <v>2821761.4639909645</v>
      </c>
      <c r="E350" s="2">
        <f>Model_Renter!N350+Model_Renter!O350</f>
        <v>3232200.4990849253</v>
      </c>
    </row>
    <row r="351" spans="1:5" x14ac:dyDescent="0.25">
      <c r="A351" s="31">
        <f t="shared" si="10"/>
        <v>349</v>
      </c>
      <c r="B351" s="33">
        <f t="shared" si="11"/>
        <v>30</v>
      </c>
      <c r="C351" s="5">
        <f>Model_30y!K351+Model_30y!AG351</f>
        <v>2985950.6696120519</v>
      </c>
      <c r="D351" s="5">
        <f>Model_15y!K351+Model_15y!AG351</f>
        <v>2839044.6721099983</v>
      </c>
      <c r="E351" s="2">
        <f>Model_Renter!N351+Model_Renter!O351</f>
        <v>3255422.8739388306</v>
      </c>
    </row>
    <row r="352" spans="1:5" x14ac:dyDescent="0.25">
      <c r="A352" s="31">
        <f t="shared" si="10"/>
        <v>350</v>
      </c>
      <c r="B352" s="33">
        <f t="shared" si="11"/>
        <v>30</v>
      </c>
      <c r="C352" s="5">
        <f>Model_30y!K352+Model_30y!AG352</f>
        <v>3004382.8211528696</v>
      </c>
      <c r="D352" s="5">
        <f>Model_15y!K352+Model_15y!AG352</f>
        <v>2856426.1925408142</v>
      </c>
      <c r="E352" s="2">
        <f>Model_Renter!N352+Model_Renter!O352</f>
        <v>3278824.3237521509</v>
      </c>
    </row>
    <row r="353" spans="1:5" x14ac:dyDescent="0.25">
      <c r="A353" s="31">
        <f t="shared" si="10"/>
        <v>351</v>
      </c>
      <c r="B353" s="33">
        <f t="shared" si="11"/>
        <v>30</v>
      </c>
      <c r="C353" s="5">
        <f>Model_30y!K353+Model_30y!AG353</f>
        <v>3022916.7813388179</v>
      </c>
      <c r="D353" s="5">
        <f>Model_15y!K353+Model_15y!AG353</f>
        <v>2873906.6161170285</v>
      </c>
      <c r="E353" s="2">
        <f>Model_Renter!N353+Model_Renter!O353</f>
        <v>3302406.1542349975</v>
      </c>
    </row>
    <row r="354" spans="1:5" x14ac:dyDescent="0.25">
      <c r="A354" s="31">
        <f t="shared" si="10"/>
        <v>352</v>
      </c>
      <c r="B354" s="33">
        <f t="shared" si="11"/>
        <v>30</v>
      </c>
      <c r="C354" s="5">
        <f>Model_30y!K354+Model_30y!AG354</f>
        <v>3041553.1406660639</v>
      </c>
      <c r="D354" s="5">
        <f>Model_15y!K354+Model_15y!AG354</f>
        <v>2891486.5373774222</v>
      </c>
      <c r="E354" s="2">
        <f>Model_Renter!N354+Model_Renter!O354</f>
        <v>3326169.6803469788</v>
      </c>
    </row>
    <row r="355" spans="1:5" x14ac:dyDescent="0.25">
      <c r="A355" s="31">
        <f t="shared" si="10"/>
        <v>353</v>
      </c>
      <c r="B355" s="33">
        <f t="shared" si="11"/>
        <v>30</v>
      </c>
      <c r="C355" s="5">
        <f>Model_30y!K355+Model_30y!AG355</f>
        <v>3060292.4931986858</v>
      </c>
      <c r="D355" s="5">
        <f>Model_15y!K355+Model_15y!AG355</f>
        <v>2909166.5545898834</v>
      </c>
      <c r="E355" s="2">
        <f>Model_Renter!N355+Model_Renter!O355</f>
        <v>3350116.2263616924</v>
      </c>
    </row>
    <row r="356" spans="1:5" x14ac:dyDescent="0.25">
      <c r="A356" s="31">
        <f t="shared" si="10"/>
        <v>354</v>
      </c>
      <c r="B356" s="33">
        <f t="shared" si="11"/>
        <v>30</v>
      </c>
      <c r="C356" s="5">
        <f>Model_30y!K356+Model_30y!AG356</f>
        <v>3079135.4365909351</v>
      </c>
      <c r="D356" s="5">
        <f>Model_15y!K356+Model_15y!AG356</f>
        <v>2926947.2697755191</v>
      </c>
      <c r="E356" s="2">
        <f>Model_Renter!N356+Model_Renter!O356</f>
        <v>3374247.1259316569</v>
      </c>
    </row>
    <row r="357" spans="1:5" x14ac:dyDescent="0.25">
      <c r="A357" s="31">
        <f t="shared" si="10"/>
        <v>355</v>
      </c>
      <c r="B357" s="33">
        <f t="shared" si="11"/>
        <v>30</v>
      </c>
      <c r="C357" s="5">
        <f>Model_30y!K357+Model_30y!AG357</f>
        <v>3098082.5721096359</v>
      </c>
      <c r="D357" s="5">
        <f>Model_15y!K357+Model_15y!AG357</f>
        <v>2944829.2887329198</v>
      </c>
      <c r="E357" s="2">
        <f>Model_Renter!N357+Model_Renter!O357</f>
        <v>3398563.7221536986</v>
      </c>
    </row>
    <row r="358" spans="1:5" x14ac:dyDescent="0.25">
      <c r="A358" s="31">
        <f t="shared" si="10"/>
        <v>356</v>
      </c>
      <c r="B358" s="33">
        <f t="shared" si="11"/>
        <v>30</v>
      </c>
      <c r="C358" s="5">
        <f>Model_30y!K358+Model_30y!AG358</f>
        <v>3117134.5046567293</v>
      </c>
      <c r="D358" s="5">
        <f>Model_15y!K358+Model_15y!AG358</f>
        <v>2962813.2210625848</v>
      </c>
      <c r="E358" s="2">
        <f>Model_Renter!N358+Model_Renter!O358</f>
        <v>3423067.3676347854</v>
      </c>
    </row>
    <row r="359" spans="1:5" x14ac:dyDescent="0.25">
      <c r="A359" s="31">
        <f t="shared" si="10"/>
        <v>357</v>
      </c>
      <c r="B359" s="33">
        <f t="shared" si="11"/>
        <v>30</v>
      </c>
      <c r="C359" s="5">
        <f>Model_30y!K359+Model_30y!AG359</f>
        <v>3136291.8427919643</v>
      </c>
      <c r="D359" s="5">
        <f>Model_15y!K359+Model_15y!AG359</f>
        <v>2980899.6801915122</v>
      </c>
      <c r="E359" s="2">
        <f>Model_Renter!N359+Model_Renter!O359</f>
        <v>3447759.4245583182</v>
      </c>
    </row>
    <row r="360" spans="1:5" x14ac:dyDescent="0.25">
      <c r="A360" s="31">
        <f t="shared" si="10"/>
        <v>358</v>
      </c>
      <c r="B360" s="33">
        <f t="shared" si="11"/>
        <v>30</v>
      </c>
      <c r="C360" s="5">
        <f>Model_30y!K360+Model_30y!AG360</f>
        <v>3155555.1987557299</v>
      </c>
      <c r="D360" s="5">
        <f>Model_15y!K360+Model_15y!AG360</f>
        <v>2999089.2833979479</v>
      </c>
      <c r="E360" s="2">
        <f>Model_Renter!N360+Model_Renter!O360</f>
        <v>3472641.2647508783</v>
      </c>
    </row>
    <row r="361" spans="1:5" x14ac:dyDescent="0.25">
      <c r="A361" s="31">
        <f t="shared" si="10"/>
        <v>359</v>
      </c>
      <c r="B361" s="33">
        <f t="shared" si="11"/>
        <v>30</v>
      </c>
      <c r="C361" s="5">
        <f>Model_30y!K361+Model_30y!AG361</f>
        <v>3174925.1884920364</v>
      </c>
      <c r="D361" s="5">
        <f>Model_15y!K361+Model_15y!AG361</f>
        <v>3017382.6518362961</v>
      </c>
      <c r="E361" s="2">
        <f>Model_Renter!N361+Model_Renter!O361</f>
        <v>3497714.269749437</v>
      </c>
    </row>
    <row r="362" spans="1:5" x14ac:dyDescent="0.25">
      <c r="A362" s="31">
        <f t="shared" si="10"/>
        <v>360</v>
      </c>
      <c r="B362" s="33">
        <f t="shared" si="11"/>
        <v>30</v>
      </c>
      <c r="C362" s="5">
        <f>Model_30y!K362+Model_30y!AG362</f>
        <v>3194402.4316716408</v>
      </c>
      <c r="D362" s="5">
        <f>Model_15y!K362+Model_15y!AG362</f>
        <v>3035780.4105621995</v>
      </c>
      <c r="E362" s="2">
        <f>Model_Renter!N362+Model_Renter!O362</f>
        <v>3522979.8308690302</v>
      </c>
    </row>
    <row r="363" spans="1:5" x14ac:dyDescent="0.25">
      <c r="A363" s="31">
        <f t="shared" si="10"/>
        <v>361</v>
      </c>
      <c r="B363" s="33">
        <f t="shared" si="11"/>
        <v>31</v>
      </c>
      <c r="C363" s="5">
        <f>Model_30y!K363+Model_30y!AG363</f>
        <v>3213987.1831141124</v>
      </c>
      <c r="D363" s="5">
        <f>Model_15y!K363+Model_15y!AG363</f>
        <v>3054283.1885577822</v>
      </c>
      <c r="E363" s="2">
        <f>Model_Renter!N363+Model_Renter!O363</f>
        <v>3548204.818420846</v>
      </c>
    </row>
    <row r="364" spans="1:5" x14ac:dyDescent="0.25">
      <c r="A364" s="31">
        <f t="shared" si="10"/>
        <v>362</v>
      </c>
      <c r="B364" s="33">
        <f t="shared" si="11"/>
        <v>31</v>
      </c>
      <c r="C364" s="5">
        <f>Model_30y!K364+Model_30y!AG364</f>
        <v>3233684.9669873836</v>
      </c>
      <c r="D364" s="5">
        <f>Model_15y!K364+Model_15y!AG364</f>
        <v>3072891.6187570579</v>
      </c>
      <c r="E364" s="2">
        <f>Model_Renter!N364+Model_Renter!O364</f>
        <v>3573623.5745773767</v>
      </c>
    </row>
    <row r="365" spans="1:5" x14ac:dyDescent="0.25">
      <c r="A365" s="31">
        <f t="shared" si="10"/>
        <v>363</v>
      </c>
      <c r="B365" s="33">
        <f t="shared" si="11"/>
        <v>31</v>
      </c>
      <c r="C365" s="5">
        <f>Model_30y!K365+Model_30y!AG365</f>
        <v>3253496.4705440504</v>
      </c>
      <c r="D365" s="5">
        <f>Model_15y!K365+Model_15y!AG365</f>
        <v>3091606.3380715074</v>
      </c>
      <c r="E365" s="2">
        <f>Model_Renter!N365+Model_Renter!O365</f>
        <v>3599237.5094865356</v>
      </c>
    </row>
    <row r="366" spans="1:5" x14ac:dyDescent="0.25">
      <c r="A366" s="31">
        <f t="shared" si="10"/>
        <v>364</v>
      </c>
      <c r="B366" s="33">
        <f t="shared" si="11"/>
        <v>31</v>
      </c>
      <c r="C366" s="5">
        <f>Model_30y!K366+Model_30y!AG366</f>
        <v>3273422.385383307</v>
      </c>
      <c r="D366" s="5">
        <f>Model_15y!K366+Model_15y!AG366</f>
        <v>3110427.987415825</v>
      </c>
      <c r="E366" s="2">
        <f>Model_Renter!N366+Model_Renter!O366</f>
        <v>3625048.0432752701</v>
      </c>
    </row>
    <row r="367" spans="1:5" x14ac:dyDescent="0.25">
      <c r="A367" s="31">
        <f t="shared" si="10"/>
        <v>365</v>
      </c>
      <c r="B367" s="33">
        <f t="shared" si="11"/>
        <v>31</v>
      </c>
      <c r="C367" s="5">
        <f>Model_30y!K367+Model_30y!AG367</f>
        <v>3293463.4074791986</v>
      </c>
      <c r="D367" s="5">
        <f>Model_15y!K367+Model_15y!AG367</f>
        <v>3129357.2117338348</v>
      </c>
      <c r="E367" s="2">
        <f>Model_Renter!N367+Model_Renter!O367</f>
        <v>3651056.6061190977</v>
      </c>
    </row>
    <row r="368" spans="1:5" x14ac:dyDescent="0.25">
      <c r="A368" s="31">
        <f t="shared" si="10"/>
        <v>366</v>
      </c>
      <c r="B368" s="33">
        <f t="shared" si="11"/>
        <v>31</v>
      </c>
      <c r="C368" s="5">
        <f>Model_30y!K368+Model_30y!AG368</f>
        <v>3313620.2372090677</v>
      </c>
      <c r="D368" s="5">
        <f>Model_15y!K368+Model_15y!AG368</f>
        <v>3148394.6600245787</v>
      </c>
      <c r="E368" s="2">
        <f>Model_Renter!N368+Model_Renter!O368</f>
        <v>3677264.6383121209</v>
      </c>
    </row>
    <row r="369" spans="1:5" x14ac:dyDescent="0.25">
      <c r="A369" s="31">
        <f t="shared" si="10"/>
        <v>367</v>
      </c>
      <c r="B369" s="33">
        <f t="shared" si="11"/>
        <v>31</v>
      </c>
      <c r="C369" s="5">
        <f>Model_30y!K369+Model_30y!AG369</f>
        <v>3333893.5793821905</v>
      </c>
      <c r="D369" s="5">
        <f>Model_15y!K369+Model_15y!AG369</f>
        <v>3167540.985368574</v>
      </c>
      <c r="E369" s="2">
        <f>Model_Renter!N369+Model_Renter!O369</f>
        <v>3703673.5903375275</v>
      </c>
    </row>
    <row r="370" spans="1:5" x14ac:dyDescent="0.25">
      <c r="A370" s="31">
        <f t="shared" si="10"/>
        <v>368</v>
      </c>
      <c r="B370" s="33">
        <f t="shared" si="11"/>
        <v>31</v>
      </c>
      <c r="C370" s="5">
        <f>Model_30y!K370+Model_30y!AG370</f>
        <v>3354284.1432685973</v>
      </c>
      <c r="D370" s="5">
        <f>Model_15y!K370+Model_15y!AG370</f>
        <v>3186796.8449542476</v>
      </c>
      <c r="E370" s="2">
        <f>Model_Renter!N370+Model_Renter!O370</f>
        <v>3730284.9229385769</v>
      </c>
    </row>
    <row r="371" spans="1:5" x14ac:dyDescent="0.25">
      <c r="A371" s="31">
        <f t="shared" si="10"/>
        <v>369</v>
      </c>
      <c r="B371" s="33">
        <f t="shared" si="11"/>
        <v>31</v>
      </c>
      <c r="C371" s="5">
        <f>Model_30y!K371+Model_30y!AG371</f>
        <v>3374792.6426280877</v>
      </c>
      <c r="D371" s="5">
        <f>Model_15y!K371+Model_15y!AG371</f>
        <v>3206162.9001045432</v>
      </c>
      <c r="E371" s="2">
        <f>Model_Renter!N371+Model_Renter!O371</f>
        <v>3757100.1071900772</v>
      </c>
    </row>
    <row r="372" spans="1:5" x14ac:dyDescent="0.25">
      <c r="A372" s="31">
        <f t="shared" si="10"/>
        <v>370</v>
      </c>
      <c r="B372" s="33">
        <f t="shared" si="11"/>
        <v>31</v>
      </c>
      <c r="C372" s="5">
        <f>Model_30y!K372+Model_30y!AG372</f>
        <v>3395419.7957394375</v>
      </c>
      <c r="D372" s="5">
        <f>Model_15y!K372+Model_15y!AG372</f>
        <v>3225639.816303703</v>
      </c>
      <c r="E372" s="2">
        <f>Model_Renter!N372+Model_Renter!O372</f>
        <v>3784120.6245703539</v>
      </c>
    </row>
    <row r="373" spans="1:5" x14ac:dyDescent="0.25">
      <c r="A373" s="31">
        <f t="shared" si="10"/>
        <v>371</v>
      </c>
      <c r="B373" s="33">
        <f t="shared" si="11"/>
        <v>31</v>
      </c>
      <c r="C373" s="5">
        <f>Model_30y!K373+Model_30y!AG373</f>
        <v>3416166.3254297981</v>
      </c>
      <c r="D373" s="5">
        <f>Model_15y!K373+Model_15y!AG373</f>
        <v>3245228.2632242315</v>
      </c>
      <c r="E373" s="2">
        <f>Model_Renter!N373+Model_Renter!O373</f>
        <v>3811347.967033721</v>
      </c>
    </row>
    <row r="374" spans="1:5" x14ac:dyDescent="0.25">
      <c r="A374" s="31">
        <f t="shared" si="10"/>
        <v>372</v>
      </c>
      <c r="B374" s="33">
        <f t="shared" si="11"/>
        <v>31</v>
      </c>
      <c r="C374" s="5">
        <f>Model_30y!K374+Model_30y!AG374</f>
        <v>3437032.9591042921</v>
      </c>
      <c r="D374" s="5">
        <f>Model_15y!K374+Model_15y!AG374</f>
        <v>3264928.9147540303</v>
      </c>
      <c r="E374" s="2">
        <f>Model_Renter!N374+Model_Renter!O374</f>
        <v>3838783.6370834443</v>
      </c>
    </row>
    <row r="375" spans="1:5" x14ac:dyDescent="0.25">
      <c r="A375" s="31">
        <f t="shared" si="10"/>
        <v>373</v>
      </c>
      <c r="B375" s="33">
        <f t="shared" si="11"/>
        <v>32</v>
      </c>
      <c r="C375" s="5">
        <f>Model_30y!K375+Model_30y!AG375</f>
        <v>3458020.4287758023</v>
      </c>
      <c r="D375" s="5">
        <f>Model_15y!K375+Model_15y!AG375</f>
        <v>3284742.4490237162</v>
      </c>
      <c r="E375" s="2">
        <f>Model_Renter!N375+Model_Renter!O375</f>
        <v>3866186.6879627709</v>
      </c>
    </row>
    <row r="376" spans="1:5" x14ac:dyDescent="0.25">
      <c r="A376" s="31">
        <f t="shared" si="10"/>
        <v>374</v>
      </c>
      <c r="B376" s="33">
        <f t="shared" si="11"/>
        <v>32</v>
      </c>
      <c r="C376" s="5">
        <f>Model_30y!K376+Model_30y!AG376</f>
        <v>3479129.4710949594</v>
      </c>
      <c r="D376" s="5">
        <f>Model_15y!K376+Model_15y!AG376</f>
        <v>3304669.5484341206</v>
      </c>
      <c r="E376" s="2">
        <f>Model_Renter!N376+Model_Renter!O376</f>
        <v>3893799.4495380633</v>
      </c>
    </row>
    <row r="377" spans="1:5" x14ac:dyDescent="0.25">
      <c r="A377" s="31">
        <f t="shared" si="10"/>
        <v>375</v>
      </c>
      <c r="B377" s="33">
        <f t="shared" si="11"/>
        <v>32</v>
      </c>
      <c r="C377" s="5">
        <f>Model_30y!K377+Model_30y!AG377</f>
        <v>3500360.8273803303</v>
      </c>
      <c r="D377" s="5">
        <f>Model_15y!K377+Model_15y!AG377</f>
        <v>3324710.8996839668</v>
      </c>
      <c r="E377" s="2">
        <f>Model_Renter!N377+Model_Renter!O377</f>
        <v>3921623.4451213507</v>
      </c>
    </row>
    <row r="378" spans="1:5" x14ac:dyDescent="0.25">
      <c r="A378" s="31">
        <f t="shared" si="10"/>
        <v>376</v>
      </c>
      <c r="B378" s="33">
        <f t="shared" si="11"/>
        <v>32</v>
      </c>
      <c r="C378" s="5">
        <f>Model_30y!K378+Model_30y!AG378</f>
        <v>3521715.2436488047</v>
      </c>
      <c r="D378" s="5">
        <f>Model_15y!K378+Model_15y!AG378</f>
        <v>3344867.1937977355</v>
      </c>
      <c r="E378" s="2">
        <f>Model_Renter!N378+Model_Renter!O378</f>
        <v>3949660.2087936122</v>
      </c>
    </row>
    <row r="379" spans="1:5" x14ac:dyDescent="0.25">
      <c r="A379" s="31">
        <f t="shared" si="10"/>
        <v>377</v>
      </c>
      <c r="B379" s="33">
        <f t="shared" si="11"/>
        <v>32</v>
      </c>
      <c r="C379" s="5">
        <f>Model_30y!K379+Model_30y!AG379</f>
        <v>3543193.4706461816</v>
      </c>
      <c r="D379" s="5">
        <f>Model_15y!K379+Model_15y!AG379</f>
        <v>3365139.1261537084</v>
      </c>
      <c r="E379" s="2">
        <f>Model_Renter!N379+Model_Renter!O379</f>
        <v>3977911.285479777</v>
      </c>
    </row>
    <row r="380" spans="1:5" x14ac:dyDescent="0.25">
      <c r="A380" s="31">
        <f t="shared" si="10"/>
        <v>378</v>
      </c>
      <c r="B380" s="33">
        <f t="shared" si="11"/>
        <v>32</v>
      </c>
      <c r="C380" s="5">
        <f>Model_30y!K380+Model_30y!AG380</f>
        <v>3564796.2638779609</v>
      </c>
      <c r="D380" s="5">
        <f>Model_15y!K380+Model_15y!AG380</f>
        <v>3385527.3965122029</v>
      </c>
      <c r="E380" s="2">
        <f>Model_Renter!N380+Model_Renter!O380</f>
        <v>4006378.2310242341</v>
      </c>
    </row>
    <row r="381" spans="1:5" x14ac:dyDescent="0.25">
      <c r="A381" s="31">
        <f t="shared" si="10"/>
        <v>379</v>
      </c>
      <c r="B381" s="33">
        <f t="shared" si="11"/>
        <v>32</v>
      </c>
      <c r="C381" s="5">
        <f>Model_30y!K381+Model_30y!AG381</f>
        <v>3586524.3836403387</v>
      </c>
      <c r="D381" s="5">
        <f>Model_15y!K381+Model_15y!AG381</f>
        <v>3406032.709043989</v>
      </c>
      <c r="E381" s="2">
        <f>Model_Renter!N381+Model_Renter!O381</f>
        <v>4035062.6122668735</v>
      </c>
    </row>
    <row r="382" spans="1:5" x14ac:dyDescent="0.25">
      <c r="A382" s="31">
        <f t="shared" si="10"/>
        <v>380</v>
      </c>
      <c r="B382" s="33">
        <f t="shared" si="11"/>
        <v>32</v>
      </c>
      <c r="C382" s="5">
        <f>Model_30y!K382+Model_30y!AG382</f>
        <v>3608378.595051405</v>
      </c>
      <c r="D382" s="5">
        <f>Model_15y!K382+Model_15y!AG382</f>
        <v>3426655.7723588962</v>
      </c>
      <c r="E382" s="2">
        <f>Model_Renter!N382+Model_Renter!O382</f>
        <v>4063966.0071196449</v>
      </c>
    </row>
    <row r="383" spans="1:5" x14ac:dyDescent="0.25">
      <c r="A383" s="31">
        <f t="shared" si="10"/>
        <v>381</v>
      </c>
      <c r="B383" s="33">
        <f t="shared" si="11"/>
        <v>32</v>
      </c>
      <c r="C383" s="5">
        <f>Model_30y!K383+Model_30y!AG383</f>
        <v>3630359.6680825544</v>
      </c>
      <c r="D383" s="5">
        <f>Model_15y!K383+Model_15y!AG383</f>
        <v>3447397.2995346095</v>
      </c>
      <c r="E383" s="2">
        <f>Model_Renter!N383+Model_Renter!O383</f>
        <v>4093090.0046436479</v>
      </c>
    </row>
    <row r="384" spans="1:5" x14ac:dyDescent="0.25">
      <c r="A384" s="31">
        <f t="shared" si="10"/>
        <v>382</v>
      </c>
      <c r="B384" s="33">
        <f t="shared" si="11"/>
        <v>32</v>
      </c>
      <c r="C384" s="5">
        <f>Model_30y!K384+Model_30y!AG384</f>
        <v>3652468.3775900984</v>
      </c>
      <c r="D384" s="5">
        <f>Model_15y!K384+Model_15y!AG384</f>
        <v>3468258.0081456555</v>
      </c>
      <c r="E384" s="2">
        <f>Model_Renter!N384+Model_Renter!O384</f>
        <v>4122436.2051267559</v>
      </c>
    </row>
    <row r="385" spans="1:5" x14ac:dyDescent="0.25">
      <c r="A385" s="31">
        <f t="shared" si="10"/>
        <v>383</v>
      </c>
      <c r="B385" s="33">
        <f t="shared" si="11"/>
        <v>32</v>
      </c>
      <c r="C385" s="5">
        <f>Model_30y!K385+Model_30y!AG385</f>
        <v>3674705.5033470914</v>
      </c>
      <c r="D385" s="5">
        <f>Model_15y!K385+Model_15y!AG385</f>
        <v>3489238.6202925807</v>
      </c>
      <c r="E385" s="2">
        <f>Model_Renter!N385+Model_Renter!O385</f>
        <v>4152006.2201617723</v>
      </c>
    </row>
    <row r="386" spans="1:5" x14ac:dyDescent="0.25">
      <c r="A386" s="31">
        <f t="shared" si="10"/>
        <v>384</v>
      </c>
      <c r="B386" s="33">
        <f t="shared" si="11"/>
        <v>32</v>
      </c>
      <c r="C386" s="5">
        <f>Model_30y!K386+Model_30y!AG386</f>
        <v>3697071.8300753655</v>
      </c>
      <c r="D386" s="5">
        <f>Model_15y!K386+Model_15y!AG386</f>
        <v>3510339.8626313182</v>
      </c>
      <c r="E386" s="2">
        <f>Model_Renter!N386+Model_Renter!O386</f>
        <v>4181801.6727251289</v>
      </c>
    </row>
    <row r="387" spans="1:5" x14ac:dyDescent="0.25">
      <c r="A387" s="31">
        <f t="shared" si="10"/>
        <v>385</v>
      </c>
      <c r="B387" s="33">
        <f t="shared" si="11"/>
        <v>33</v>
      </c>
      <c r="C387" s="5">
        <f>Model_30y!K387+Model_30y!AG387</f>
        <v>3719568.1474777795</v>
      </c>
      <c r="D387" s="5">
        <f>Model_15y!K387+Model_15y!AG387</f>
        <v>3531562.466402757</v>
      </c>
      <c r="E387" s="2">
        <f>Model_Renter!N387+Model_Renter!O387</f>
        <v>4211573.5539165474</v>
      </c>
    </row>
    <row r="388" spans="1:5" x14ac:dyDescent="0.25">
      <c r="A388" s="31">
        <f t="shared" ref="A388:A443" si="12">A387+1</f>
        <v>386</v>
      </c>
      <c r="B388" s="33">
        <f t="shared" ref="B388:B451" si="13">ROUNDUP(A388/12, 0)</f>
        <v>33</v>
      </c>
      <c r="C388" s="5">
        <f>Model_30y!K388+Model_30y!AG388</f>
        <v>3742195.2502706805</v>
      </c>
      <c r="D388" s="5">
        <f>Model_15y!K388+Model_15y!AG388</f>
        <v>3552907.1674625017</v>
      </c>
      <c r="E388" s="2">
        <f>Model_Renter!N388+Model_Renter!O388</f>
        <v>4241572.4433993725</v>
      </c>
    </row>
    <row r="389" spans="1:5" x14ac:dyDescent="0.25">
      <c r="A389" s="31">
        <f t="shared" si="12"/>
        <v>387</v>
      </c>
      <c r="B389" s="33">
        <f t="shared" si="13"/>
        <v>33</v>
      </c>
      <c r="C389" s="5">
        <f>Model_30y!K389+Model_30y!AG389</f>
        <v>3764953.938216581</v>
      </c>
      <c r="D389" s="5">
        <f>Model_15y!K389+Model_15y!AG389</f>
        <v>3574374.7063108273</v>
      </c>
      <c r="E389" s="2">
        <f>Model_Renter!N389+Model_Renter!O389</f>
        <v>4271799.9871168435</v>
      </c>
    </row>
    <row r="390" spans="1:5" x14ac:dyDescent="0.25">
      <c r="A390" s="31">
        <f t="shared" si="12"/>
        <v>388</v>
      </c>
      <c r="B390" s="33">
        <f t="shared" si="13"/>
        <v>33</v>
      </c>
      <c r="C390" s="5">
        <f>Model_30y!K390+Model_30y!AG390</f>
        <v>3787845.0161570529</v>
      </c>
      <c r="D390" s="5">
        <f>Model_15y!K390+Model_15y!AG390</f>
        <v>3595965.8281228347</v>
      </c>
      <c r="E390" s="2">
        <f>Model_Renter!N390+Model_Renter!O390</f>
        <v>4302257.8426365443</v>
      </c>
    </row>
    <row r="391" spans="1:5" x14ac:dyDescent="0.25">
      <c r="A391" s="31">
        <f t="shared" si="12"/>
        <v>389</v>
      </c>
      <c r="B391" s="33">
        <f t="shared" si="13"/>
        <v>33</v>
      </c>
      <c r="C391" s="5">
        <f>Model_30y!K391+Model_30y!AG391</f>
        <v>3810869.2940458395</v>
      </c>
      <c r="D391" s="5">
        <f>Model_15y!K391+Model_15y!AG391</f>
        <v>3617681.2827788093</v>
      </c>
      <c r="E391" s="2">
        <f>Model_Renter!N391+Model_Renter!O391</f>
        <v>4332947.6792313103</v>
      </c>
    </row>
    <row r="392" spans="1:5" x14ac:dyDescent="0.25">
      <c r="A392" s="31">
        <f t="shared" si="12"/>
        <v>390</v>
      </c>
      <c r="B392" s="33">
        <f t="shared" si="13"/>
        <v>33</v>
      </c>
      <c r="C392" s="5">
        <f>Model_30y!K392+Model_30y!AG392</f>
        <v>3834027.5869821878</v>
      </c>
      <c r="D392" s="5">
        <f>Model_15y!K392+Model_15y!AG392</f>
        <v>3639521.824894771</v>
      </c>
      <c r="E392" s="2">
        <f>Model_Renter!N392+Model_Renter!O392</f>
        <v>4363871.1779606976</v>
      </c>
    </row>
    <row r="393" spans="1:5" x14ac:dyDescent="0.25">
      <c r="A393" s="31">
        <f t="shared" si="12"/>
        <v>391</v>
      </c>
      <c r="B393" s="33">
        <f t="shared" si="13"/>
        <v>33</v>
      </c>
      <c r="C393" s="5">
        <f>Model_30y!K393+Model_30y!AG393</f>
        <v>3857320.7152443989</v>
      </c>
      <c r="D393" s="5">
        <f>Model_15y!K393+Model_15y!AG393</f>
        <v>3661488.2138532363</v>
      </c>
      <c r="E393" s="2">
        <f>Model_Renter!N393+Model_Renter!O393</f>
        <v>4395030.0317530092</v>
      </c>
    </row>
    <row r="394" spans="1:5" x14ac:dyDescent="0.25">
      <c r="A394" s="31">
        <f t="shared" si="12"/>
        <v>392</v>
      </c>
      <c r="B394" s="33">
        <f t="shared" si="13"/>
        <v>33</v>
      </c>
      <c r="C394" s="5">
        <f>Model_30y!K394+Model_30y!AG394</f>
        <v>3880749.5043236073</v>
      </c>
      <c r="D394" s="5">
        <f>Model_15y!K394+Model_15y!AG394</f>
        <v>3683581.2138341768</v>
      </c>
      <c r="E394" s="2">
        <f>Model_Renter!N394+Model_Renter!O394</f>
        <v>4426425.9454878978</v>
      </c>
    </row>
    <row r="395" spans="1:5" x14ac:dyDescent="0.25">
      <c r="A395" s="31">
        <f t="shared" si="12"/>
        <v>393</v>
      </c>
      <c r="B395" s="33">
        <f t="shared" si="13"/>
        <v>33</v>
      </c>
      <c r="C395" s="5">
        <f>Model_30y!K395+Model_30y!AG395</f>
        <v>3904314.7849577758</v>
      </c>
      <c r="D395" s="5">
        <f>Model_15y!K395+Model_15y!AG395</f>
        <v>3705801.5938461879</v>
      </c>
      <c r="E395" s="2">
        <f>Model_Renter!N395+Model_Renter!O395</f>
        <v>4458060.6360795265</v>
      </c>
    </row>
    <row r="396" spans="1:5" x14ac:dyDescent="0.25">
      <c r="A396" s="31">
        <f t="shared" si="12"/>
        <v>394</v>
      </c>
      <c r="B396" s="33">
        <f t="shared" si="13"/>
        <v>33</v>
      </c>
      <c r="C396" s="5">
        <f>Model_30y!K396+Model_30y!AG396</f>
        <v>3928017.3931659246</v>
      </c>
      <c r="D396" s="5">
        <f>Model_15y!K396+Model_15y!AG396</f>
        <v>3728150.1277578566</v>
      </c>
      <c r="E396" s="2">
        <f>Model_Renter!N396+Model_Renter!O396</f>
        <v>4489935.8325603092</v>
      </c>
    </row>
    <row r="397" spans="1:5" x14ac:dyDescent="0.25">
      <c r="A397" s="31">
        <f t="shared" si="12"/>
        <v>395</v>
      </c>
      <c r="B397" s="33">
        <f t="shared" si="13"/>
        <v>33</v>
      </c>
      <c r="C397" s="5">
        <f>Model_30y!K397+Model_30y!AG397</f>
        <v>3951858.1702825809</v>
      </c>
      <c r="D397" s="5">
        <f>Model_15y!K397+Model_15y!AG397</f>
        <v>3750627.5943293478</v>
      </c>
      <c r="E397" s="2">
        <f>Model_Renter!N397+Model_Renter!O397</f>
        <v>4522053.2761652283</v>
      </c>
    </row>
    <row r="398" spans="1:5" x14ac:dyDescent="0.25">
      <c r="A398" s="31">
        <f t="shared" si="12"/>
        <v>396</v>
      </c>
      <c r="B398" s="33">
        <f t="shared" si="13"/>
        <v>33</v>
      </c>
      <c r="C398" s="5">
        <f>Model_30y!K398+Model_30y!AG398</f>
        <v>3975837.9629924586</v>
      </c>
      <c r="D398" s="5">
        <f>Model_15y!K398+Model_15y!AG398</f>
        <v>3773234.7772441874</v>
      </c>
      <c r="E398" s="2">
        <f>Model_Renter!N398+Model_Renter!O398</f>
        <v>4554414.7204167377</v>
      </c>
    </row>
    <row r="399" spans="1:5" x14ac:dyDescent="0.25">
      <c r="A399" s="31">
        <f t="shared" si="12"/>
        <v>397</v>
      </c>
      <c r="B399" s="33">
        <f t="shared" si="13"/>
        <v>34</v>
      </c>
      <c r="C399" s="5">
        <f>Model_30y!K399+Model_30y!AG399</f>
        <v>3999957.6233653734</v>
      </c>
      <c r="D399" s="5">
        <f>Model_15y!K399+Model_15y!AG399</f>
        <v>3795972.4651412657</v>
      </c>
      <c r="E399" s="2">
        <f>Model_Renter!N399+Model_Renter!O399</f>
        <v>4586762.8425793573</v>
      </c>
    </row>
    <row r="400" spans="1:5" x14ac:dyDescent="0.25">
      <c r="A400" s="31">
        <f t="shared" si="12"/>
        <v>398</v>
      </c>
      <c r="B400" s="33">
        <f t="shared" si="13"/>
        <v>34</v>
      </c>
      <c r="C400" s="5">
        <f>Model_30y!K400+Model_30y!AG400</f>
        <v>4024218.0088913795</v>
      </c>
      <c r="D400" s="5">
        <f>Model_15y!K400+Model_15y!AG400</f>
        <v>3818841.4516470456</v>
      </c>
      <c r="E400" s="2">
        <f>Model_Renter!N400+Model_Renter!O400</f>
        <v>4619356.7423742134</v>
      </c>
    </row>
    <row r="401" spans="1:5" x14ac:dyDescent="0.25">
      <c r="A401" s="31">
        <f t="shared" si="12"/>
        <v>399</v>
      </c>
      <c r="B401" s="33">
        <f t="shared" si="13"/>
        <v>34</v>
      </c>
      <c r="C401" s="5">
        <f>Model_30y!K401+Model_30y!AG401</f>
        <v>4048619.9825161495</v>
      </c>
      <c r="D401" s="5">
        <f>Model_15y!K401+Model_15y!AG401</f>
        <v>3841842.5354079893</v>
      </c>
      <c r="E401" s="2">
        <f>Model_Renter!N401+Model_Renter!O401</f>
        <v>4652198.1986467969</v>
      </c>
    </row>
    <row r="402" spans="1:5" x14ac:dyDescent="0.25">
      <c r="A402" s="31">
        <f t="shared" si="12"/>
        <v>400</v>
      </c>
      <c r="B402" s="33">
        <f t="shared" si="13"/>
        <v>34</v>
      </c>
      <c r="C402" s="5">
        <f>Model_30y!K402+Model_30y!AG402</f>
        <v>4073164.412676584</v>
      </c>
      <c r="D402" s="5">
        <f>Model_15y!K402+Model_15y!AG402</f>
        <v>3864976.5201231958</v>
      </c>
      <c r="E402" s="2">
        <f>Model_Renter!N402+Model_Renter!O402</f>
        <v>4685289.0027933391</v>
      </c>
    </row>
    <row r="403" spans="1:5" x14ac:dyDescent="0.25">
      <c r="A403" s="31">
        <f t="shared" si="12"/>
        <v>401</v>
      </c>
      <c r="B403" s="33">
        <f t="shared" si="13"/>
        <v>34</v>
      </c>
      <c r="C403" s="5">
        <f>Model_30y!K403+Model_30y!AG403</f>
        <v>4097852.1733366568</v>
      </c>
      <c r="D403" s="5">
        <f>Model_15y!K403+Model_15y!AG403</f>
        <v>3888244.2145772586</v>
      </c>
      <c r="E403" s="2">
        <f>Model_Renter!N403+Model_Renter!O403</f>
        <v>4718630.9588481197</v>
      </c>
    </row>
    <row r="404" spans="1:5" x14ac:dyDescent="0.25">
      <c r="A404" s="31">
        <f t="shared" si="12"/>
        <v>402</v>
      </c>
      <c r="B404" s="33">
        <f t="shared" si="13"/>
        <v>34</v>
      </c>
      <c r="C404" s="5">
        <f>Model_30y!K404+Model_30y!AG404</f>
        <v>4122684.1440235013</v>
      </c>
      <c r="D404" s="5">
        <f>Model_15y!K404+Model_15y!AG404</f>
        <v>3911646.4326733332</v>
      </c>
      <c r="E404" s="2">
        <f>Model_Renter!N404+Model_Renter!O404</f>
        <v>4752225.8835713854</v>
      </c>
    </row>
    <row r="405" spans="1:5" x14ac:dyDescent="0.25">
      <c r="A405" s="31">
        <f t="shared" si="12"/>
        <v>403</v>
      </c>
      <c r="B405" s="33">
        <f t="shared" si="13"/>
        <v>34</v>
      </c>
      <c r="C405" s="5">
        <f>Model_30y!K405+Model_30y!AG405</f>
        <v>4147661.2098637349</v>
      </c>
      <c r="D405" s="5">
        <f>Model_15y!K405+Model_15y!AG405</f>
        <v>3935183.9934664359</v>
      </c>
      <c r="E405" s="2">
        <f>Model_Renter!N405+Model_Renter!O405</f>
        <v>4786075.606537858</v>
      </c>
    </row>
    <row r="406" spans="1:5" x14ac:dyDescent="0.25">
      <c r="A406" s="31">
        <f t="shared" si="12"/>
        <v>404</v>
      </c>
      <c r="B406" s="33">
        <f t="shared" si="13"/>
        <v>34</v>
      </c>
      <c r="C406" s="5">
        <f>Model_30y!K406+Model_30y!AG406</f>
        <v>4172784.2616200233</v>
      </c>
      <c r="D406" s="5">
        <f>Model_15y!K406+Model_15y!AG406</f>
        <v>3958857.7211969504</v>
      </c>
      <c r="E406" s="2">
        <f>Model_Renter!N406+Model_Renter!O406</f>
        <v>4820181.9702258725</v>
      </c>
    </row>
    <row r="407" spans="1:5" x14ac:dyDescent="0.25">
      <c r="A407" s="31">
        <f t="shared" si="12"/>
        <v>405</v>
      </c>
      <c r="B407" s="33">
        <f t="shared" si="13"/>
        <v>34</v>
      </c>
      <c r="C407" s="5">
        <f>Model_30y!K407+Model_30y!AG407</f>
        <v>4198054.1957278904</v>
      </c>
      <c r="D407" s="5">
        <f>Model_15y!K407+Model_15y!AG407</f>
        <v>3982668.4453243632</v>
      </c>
      <c r="E407" s="2">
        <f>Model_Renter!N407+Model_Renter!O407</f>
        <v>4854546.8301071152</v>
      </c>
    </row>
    <row r="408" spans="1:5" x14ac:dyDescent="0.25">
      <c r="A408" s="31">
        <f t="shared" si="12"/>
        <v>406</v>
      </c>
      <c r="B408" s="33">
        <f t="shared" si="13"/>
        <v>34</v>
      </c>
      <c r="C408" s="5">
        <f>Model_30y!K408+Model_30y!AG408</f>
        <v>4223471.9143327698</v>
      </c>
      <c r="D408" s="5">
        <f>Model_15y!K408+Model_15y!AG408</f>
        <v>4006617.0005612243</v>
      </c>
      <c r="E408" s="2">
        <f>Model_Renter!N408+Model_Renter!O408</f>
        <v>4889172.0547369886</v>
      </c>
    </row>
    <row r="409" spans="1:5" x14ac:dyDescent="0.25">
      <c r="A409" s="31">
        <f t="shared" si="12"/>
        <v>407</v>
      </c>
      <c r="B409" s="33">
        <f t="shared" si="13"/>
        <v>34</v>
      </c>
      <c r="C409" s="5">
        <f>Model_30y!K409+Model_30y!AG409</f>
        <v>4249038.3253273023</v>
      </c>
      <c r="D409" s="5">
        <f>Model_15y!K409+Model_15y!AG409</f>
        <v>4030704.2269073259</v>
      </c>
      <c r="E409" s="2">
        <f>Model_Renter!N409+Model_Renter!O409</f>
        <v>4924059.5258455966</v>
      </c>
    </row>
    <row r="410" spans="1:5" x14ac:dyDescent="0.25">
      <c r="A410" s="31">
        <f t="shared" si="12"/>
        <v>408</v>
      </c>
      <c r="B410" s="33">
        <f t="shared" si="13"/>
        <v>34</v>
      </c>
      <c r="C410" s="5">
        <f>Model_30y!K410+Model_30y!AG410</f>
        <v>4274754.3423888879</v>
      </c>
      <c r="D410" s="5">
        <f>Model_15y!K410+Model_15y!AG410</f>
        <v>4054930.9696841137</v>
      </c>
      <c r="E410" s="2">
        <f>Model_Renter!N410+Model_Renter!O410</f>
        <v>4959211.1384293586</v>
      </c>
    </row>
    <row r="411" spans="1:5" x14ac:dyDescent="0.25">
      <c r="A411" s="31">
        <f t="shared" si="12"/>
        <v>409</v>
      </c>
      <c r="B411" s="33">
        <f t="shared" si="13"/>
        <v>35</v>
      </c>
      <c r="C411" s="5">
        <f>Model_30y!K411+Model_30y!AG411</f>
        <v>4300620.8850174733</v>
      </c>
      <c r="D411" s="5">
        <f>Model_15y!K411+Model_15y!AG411</f>
        <v>4079298.0795693221</v>
      </c>
      <c r="E411" s="2">
        <f>Model_Renter!N411+Model_Renter!O411</f>
        <v>4994360.9975056471</v>
      </c>
    </row>
    <row r="412" spans="1:5" x14ac:dyDescent="0.25">
      <c r="A412" s="31">
        <f t="shared" si="12"/>
        <v>410</v>
      </c>
      <c r="B412" s="33">
        <f t="shared" si="13"/>
        <v>35</v>
      </c>
      <c r="C412" s="5">
        <f>Model_30y!K412+Model_30y!AG412</f>
        <v>4326638.8785736067</v>
      </c>
      <c r="D412" s="5">
        <f>Model_15y!K412+Model_15y!AG412</f>
        <v>4103806.4126318423</v>
      </c>
      <c r="E412" s="2">
        <f>Model_Renter!N412+Model_Renter!O412</f>
        <v>5029777.0015105912</v>
      </c>
    </row>
    <row r="413" spans="1:5" x14ac:dyDescent="0.25">
      <c r="A413" s="31">
        <f t="shared" si="12"/>
        <v>411</v>
      </c>
      <c r="B413" s="33">
        <f t="shared" si="13"/>
        <v>35</v>
      </c>
      <c r="C413" s="5">
        <f>Model_30y!K413+Model_30y!AG413</f>
        <v>4352809.2543167304</v>
      </c>
      <c r="D413" s="5">
        <f>Model_15y!K413+Model_15y!AG413</f>
        <v>4128456.8303668196</v>
      </c>
      <c r="E413" s="2">
        <f>Model_Renter!N413+Model_Renter!O413</f>
        <v>5065461.073335465</v>
      </c>
    </row>
    <row r="414" spans="1:5" x14ac:dyDescent="0.25">
      <c r="A414" s="31">
        <f t="shared" si="12"/>
        <v>412</v>
      </c>
      <c r="B414" s="33">
        <f t="shared" si="13"/>
        <v>35</v>
      </c>
      <c r="C414" s="5">
        <f>Model_30y!K414+Model_30y!AG414</f>
        <v>4379132.9494437426</v>
      </c>
      <c r="D414" s="5">
        <f>Model_15y!K414+Model_15y!AG414</f>
        <v>4153250.1997309821</v>
      </c>
      <c r="E414" s="2">
        <f>Model_Renter!N414+Model_Renter!O414</f>
        <v>5101415.1494256891</v>
      </c>
    </row>
    <row r="415" spans="1:5" x14ac:dyDescent="0.25">
      <c r="A415" s="31">
        <f t="shared" si="12"/>
        <v>413</v>
      </c>
      <c r="B415" s="33">
        <f t="shared" si="13"/>
        <v>35</v>
      </c>
      <c r="C415" s="5">
        <f>Model_30y!K415+Model_30y!AG415</f>
        <v>4405610.9071277995</v>
      </c>
      <c r="D415" s="5">
        <f>Model_15y!K415+Model_15y!AG415</f>
        <v>4178187.3931782064</v>
      </c>
      <c r="E415" s="2">
        <f>Model_Renter!N415+Model_Renter!O415</f>
        <v>5137641.1798750646</v>
      </c>
    </row>
    <row r="416" spans="1:5" x14ac:dyDescent="0.25">
      <c r="A416" s="31">
        <f t="shared" si="12"/>
        <v>414</v>
      </c>
      <c r="B416" s="33">
        <f t="shared" si="13"/>
        <v>35</v>
      </c>
      <c r="C416" s="5">
        <f>Model_30y!K416+Model_30y!AG416</f>
        <v>4432244.0765573885</v>
      </c>
      <c r="D416" s="5">
        <f>Model_15y!K416+Model_15y!AG416</f>
        <v>4203269.2886953158</v>
      </c>
      <c r="E416" s="2">
        <f>Model_Renter!N416+Model_Renter!O416</f>
        <v>5174141.1285206638</v>
      </c>
    </row>
    <row r="417" spans="1:5" x14ac:dyDescent="0.25">
      <c r="A417" s="31">
        <f t="shared" si="12"/>
        <v>415</v>
      </c>
      <c r="B417" s="33">
        <f t="shared" si="13"/>
        <v>35</v>
      </c>
      <c r="C417" s="5">
        <f>Model_30y!K417+Model_30y!AG417</f>
        <v>4459033.4129756512</v>
      </c>
      <c r="D417" s="5">
        <f>Model_15y!K417+Model_15y!AG417</f>
        <v>4228496.7698381189</v>
      </c>
      <c r="E417" s="2">
        <f>Model_Renter!N417+Model_Renter!O417</f>
        <v>5210916.9730383744</v>
      </c>
    </row>
    <row r="418" spans="1:5" x14ac:dyDescent="0.25">
      <c r="A418" s="31">
        <f t="shared" si="12"/>
        <v>416</v>
      </c>
      <c r="B418" s="33">
        <f t="shared" si="13"/>
        <v>35</v>
      </c>
      <c r="C418" s="5">
        <f>Model_30y!K418+Model_30y!AG418</f>
        <v>4485979.8777199797</v>
      </c>
      <c r="D418" s="5">
        <f>Model_15y!K418+Model_15y!AG418</f>
        <v>4253870.725767687</v>
      </c>
      <c r="E418" s="2">
        <f>Model_Renter!N418+Model_Renter!O418</f>
        <v>5247970.7050390979</v>
      </c>
    </row>
    <row r="419" spans="1:5" x14ac:dyDescent="0.25">
      <c r="A419" s="31">
        <f t="shared" si="12"/>
        <v>417</v>
      </c>
      <c r="B419" s="33">
        <f t="shared" si="13"/>
        <v>35</v>
      </c>
      <c r="C419" s="5">
        <f>Model_30y!K419+Model_30y!AG419</f>
        <v>4513084.4382618628</v>
      </c>
      <c r="D419" s="5">
        <f>Model_15y!K419+Model_15y!AG419</f>
        <v>4279392.0512868669</v>
      </c>
      <c r="E419" s="2">
        <f>Model_Renter!N419+Model_Renter!O419</f>
        <v>5285304.3301656172</v>
      </c>
    </row>
    <row r="420" spans="1:5" x14ac:dyDescent="0.25">
      <c r="A420" s="31">
        <f t="shared" si="12"/>
        <v>418</v>
      </c>
      <c r="B420" s="33">
        <f t="shared" si="13"/>
        <v>35</v>
      </c>
      <c r="C420" s="5">
        <f>Model_30y!K420+Model_30y!AG420</f>
        <v>4540348.0682470016</v>
      </c>
      <c r="D420" s="5">
        <f>Model_15y!K420+Model_15y!AG420</f>
        <v>4305061.6468770411</v>
      </c>
      <c r="E420" s="2">
        <f>Model_Renter!N420+Model_Renter!O420</f>
        <v>5322919.8681901302</v>
      </c>
    </row>
    <row r="421" spans="1:5" x14ac:dyDescent="0.25">
      <c r="A421" s="31">
        <f t="shared" si="12"/>
        <v>419</v>
      </c>
      <c r="B421" s="33">
        <f t="shared" si="13"/>
        <v>35</v>
      </c>
      <c r="C421" s="5">
        <f>Model_30y!K421+Model_30y!AG421</f>
        <v>4567771.7475356963</v>
      </c>
      <c r="D421" s="5">
        <f>Model_15y!K421+Model_15y!AG421</f>
        <v>4330880.4187351326</v>
      </c>
      <c r="E421" s="2">
        <f>Model_Renter!N421+Model_Renter!O421</f>
        <v>5360819.3531124555</v>
      </c>
    </row>
    <row r="422" spans="1:5" x14ac:dyDescent="0.25">
      <c r="A422" s="31">
        <f t="shared" si="12"/>
        <v>420</v>
      </c>
      <c r="B422" s="33">
        <f t="shared" si="13"/>
        <v>35</v>
      </c>
      <c r="C422" s="5">
        <f>Model_30y!K422+Model_30y!AG422</f>
        <v>4595356.4622434974</v>
      </c>
      <c r="D422" s="5">
        <f>Model_15y!K422+Model_15y!AG422</f>
        <v>4356849.2788108476</v>
      </c>
      <c r="E422" s="2">
        <f>Model_Renter!N422+Model_Renter!O422</f>
        <v>5399004.8332589166</v>
      </c>
    </row>
    <row r="423" spans="1:5" x14ac:dyDescent="0.25">
      <c r="A423" s="31">
        <f t="shared" si="12"/>
        <v>421</v>
      </c>
      <c r="B423" s="33">
        <f t="shared" si="13"/>
        <v>36</v>
      </c>
      <c r="C423" s="5">
        <f>Model_30y!K423+Model_30y!AG423</f>
        <v>4623103.2047821283</v>
      </c>
      <c r="D423" s="5">
        <f>Model_15y!K423+Model_15y!AG423</f>
        <v>4382969.1448441762</v>
      </c>
      <c r="E423" s="2">
        <f>Model_Renter!N423+Model_Renter!O423</f>
        <v>5437201.5761679411</v>
      </c>
    </row>
    <row r="424" spans="1:5" x14ac:dyDescent="0.25">
      <c r="A424" s="31">
        <f t="shared" si="12"/>
        <v>422</v>
      </c>
      <c r="B424" s="33">
        <f t="shared" si="13"/>
        <v>36</v>
      </c>
      <c r="C424" s="5">
        <f>Model_30y!K424+Model_30y!AG424</f>
        <v>4651012.9739006758</v>
      </c>
      <c r="D424" s="5">
        <f>Model_15y!K424+Model_15y!AG424</f>
        <v>4409240.9404031299</v>
      </c>
      <c r="E424" s="2">
        <f>Model_Renter!N424+Model_Renter!O424</f>
        <v>5475686.5662899949</v>
      </c>
    </row>
    <row r="425" spans="1:5" x14ac:dyDescent="0.25">
      <c r="A425" s="31">
        <f t="shared" si="12"/>
        <v>423</v>
      </c>
      <c r="B425" s="33">
        <f t="shared" si="13"/>
        <v>36</v>
      </c>
      <c r="C425" s="5">
        <f>Model_30y!K425+Model_30y!AG425</f>
        <v>4679086.7747270605</v>
      </c>
      <c r="D425" s="5">
        <f>Model_15y!K425+Model_15y!AG425</f>
        <v>4435665.5949217379</v>
      </c>
      <c r="E425" s="2">
        <f>Model_Renter!N425+Model_Renter!O425</f>
        <v>5514461.8826525686</v>
      </c>
    </row>
    <row r="426" spans="1:5" x14ac:dyDescent="0.25">
      <c r="A426" s="31">
        <f t="shared" si="12"/>
        <v>424</v>
      </c>
      <c r="B426" s="33">
        <f t="shared" si="13"/>
        <v>36</v>
      </c>
      <c r="C426" s="5">
        <f>Model_30y!K426+Model_30y!AG426</f>
        <v>4707325.618809782</v>
      </c>
      <c r="D426" s="5">
        <f>Model_15y!K426+Model_15y!AG426</f>
        <v>4462244.0437382935</v>
      </c>
      <c r="E426" s="2">
        <f>Model_Renter!N426+Model_Renter!O426</f>
        <v>5553529.6189242164</v>
      </c>
    </row>
    <row r="427" spans="1:5" x14ac:dyDescent="0.25">
      <c r="A427" s="31">
        <f t="shared" si="12"/>
        <v>425</v>
      </c>
      <c r="B427" s="33">
        <f t="shared" si="13"/>
        <v>36</v>
      </c>
      <c r="C427" s="5">
        <f>Model_30y!K427+Model_30y!AG427</f>
        <v>4735730.5241599381</v>
      </c>
      <c r="D427" s="5">
        <f>Model_15y!K427+Model_15y!AG427</f>
        <v>4488977.2281338517</v>
      </c>
      <c r="E427" s="2">
        <f>Model_Renter!N427+Model_Renter!O427</f>
        <v>5592891.8835162912</v>
      </c>
    </row>
    <row r="428" spans="1:5" x14ac:dyDescent="0.25">
      <c r="A428" s="31">
        <f t="shared" si="12"/>
        <v>426</v>
      </c>
      <c r="B428" s="33">
        <f t="shared" si="13"/>
        <v>36</v>
      </c>
      <c r="C428" s="5">
        <f>Model_30y!K428+Model_30y!AG428</f>
        <v>4764302.5152935209</v>
      </c>
      <c r="D428" s="5">
        <f>Model_15y!K428+Model_15y!AG428</f>
        <v>4515866.0953709856</v>
      </c>
      <c r="E428" s="2">
        <f>Model_Renter!N428+Model_Renter!O428</f>
        <v>5632550.7996853907</v>
      </c>
    </row>
    <row r="429" spans="1:5" x14ac:dyDescent="0.25">
      <c r="A429" s="31">
        <f t="shared" si="12"/>
        <v>427</v>
      </c>
      <c r="B429" s="33">
        <f t="shared" si="13"/>
        <v>36</v>
      </c>
      <c r="C429" s="5">
        <f>Model_30y!K429+Model_30y!AG429</f>
        <v>4793042.6232740097</v>
      </c>
      <c r="D429" s="5">
        <f>Model_15y!K429+Model_15y!AG429</f>
        <v>4542911.5987327937</v>
      </c>
      <c r="E429" s="2">
        <f>Model_Renter!N429+Model_Renter!O429</f>
        <v>5672508.5056365049</v>
      </c>
    </row>
    <row r="430" spans="1:5" x14ac:dyDescent="0.25">
      <c r="A430" s="31">
        <f t="shared" si="12"/>
        <v>428</v>
      </c>
      <c r="B430" s="33">
        <f t="shared" si="13"/>
        <v>36</v>
      </c>
      <c r="C430" s="5">
        <f>Model_30y!K430+Model_30y!AG430</f>
        <v>4821951.8857552223</v>
      </c>
      <c r="D430" s="5">
        <f>Model_15y!K430+Model_15y!AG430</f>
        <v>4570114.6975621767</v>
      </c>
      <c r="E430" s="2">
        <f>Model_Renter!N430+Model_Renter!O430</f>
        <v>5712767.1546268798</v>
      </c>
    </row>
    <row r="431" spans="1:5" x14ac:dyDescent="0.25">
      <c r="A431" s="31">
        <f t="shared" si="12"/>
        <v>429</v>
      </c>
      <c r="B431" s="33">
        <f t="shared" si="13"/>
        <v>36</v>
      </c>
      <c r="C431" s="5">
        <f>Model_30y!K431+Model_30y!AG431</f>
        <v>4851031.347024478</v>
      </c>
      <c r="D431" s="5">
        <f>Model_15y!K431+Model_15y!AG431</f>
        <v>4597476.3573013656</v>
      </c>
      <c r="E431" s="2">
        <f>Model_Renter!N431+Model_Renter!O431</f>
        <v>5753328.9150705906</v>
      </c>
    </row>
    <row r="432" spans="1:5" x14ac:dyDescent="0.25">
      <c r="A432" s="31">
        <f t="shared" si="12"/>
        <v>430</v>
      </c>
      <c r="B432" s="33">
        <f t="shared" si="13"/>
        <v>36</v>
      </c>
      <c r="C432" s="5">
        <f>Model_30y!K432+Model_30y!AG432</f>
        <v>4880282.0580460234</v>
      </c>
      <c r="D432" s="5">
        <f>Model_15y!K432+Model_15y!AG432</f>
        <v>4624997.5495317131</v>
      </c>
      <c r="E432" s="2">
        <f>Model_Renter!N432+Model_Renter!O432</f>
        <v>5794195.9706438407</v>
      </c>
    </row>
    <row r="433" spans="1:5" x14ac:dyDescent="0.25">
      <c r="A433" s="31">
        <f t="shared" si="12"/>
        <v>431</v>
      </c>
      <c r="B433" s="33">
        <f t="shared" si="13"/>
        <v>36</v>
      </c>
      <c r="C433" s="5">
        <f>Model_30y!K433+Model_30y!AG433</f>
        <v>4909705.076504766</v>
      </c>
      <c r="D433" s="5">
        <f>Model_15y!K433+Model_15y!AG433</f>
        <v>4652679.2520137532</v>
      </c>
      <c r="E433" s="2">
        <f>Model_Renter!N433+Model_Renter!O433</f>
        <v>5835370.5203909874</v>
      </c>
    </row>
    <row r="434" spans="1:5" x14ac:dyDescent="0.25">
      <c r="A434" s="31">
        <f t="shared" si="12"/>
        <v>432</v>
      </c>
      <c r="B434" s="33">
        <f t="shared" si="13"/>
        <v>36</v>
      </c>
      <c r="C434" s="5">
        <f>Model_30y!K434+Model_30y!AG434</f>
        <v>4939301.4668502863</v>
      </c>
      <c r="D434" s="5">
        <f>Model_15y!K434+Model_15y!AG434</f>
        <v>4680522.4487275258</v>
      </c>
      <c r="E434" s="2">
        <f>Model_Renter!N434+Model_Renter!O434</f>
        <v>5876854.7788312957</v>
      </c>
    </row>
    <row r="435" spans="1:5" x14ac:dyDescent="0.25">
      <c r="A435" s="31">
        <f t="shared" si="12"/>
        <v>433</v>
      </c>
      <c r="B435" s="33">
        <f t="shared" si="13"/>
        <v>37</v>
      </c>
      <c r="C435" s="5">
        <f>Model_30y!K435+Model_30y!AG435</f>
        <v>4969072.3003411526</v>
      </c>
      <c r="D435" s="5">
        <f>Model_15y!K435+Model_15y!AG435</f>
        <v>4708528.1299131662</v>
      </c>
      <c r="E435" s="2">
        <f>Model_Renter!N435+Model_Renter!O435</f>
        <v>5918364.9038783628</v>
      </c>
    </row>
    <row r="436" spans="1:5" x14ac:dyDescent="0.25">
      <c r="A436" s="31">
        <f t="shared" si="12"/>
        <v>434</v>
      </c>
      <c r="B436" s="33">
        <f t="shared" si="13"/>
        <v>37</v>
      </c>
      <c r="C436" s="5">
        <f>Model_30y!K436+Model_30y!AG436</f>
        <v>4999018.6550895171</v>
      </c>
      <c r="D436" s="5">
        <f>Model_15y!K436+Model_15y!AG436</f>
        <v>4736697.2921117628</v>
      </c>
      <c r="E436" s="2">
        <f>Model_Renter!N436+Model_Renter!O436</f>
        <v>5960187.2621913552</v>
      </c>
    </row>
    <row r="437" spans="1:5" x14ac:dyDescent="0.25">
      <c r="A437" s="31">
        <f t="shared" si="12"/>
        <v>435</v>
      </c>
      <c r="B437" s="33">
        <f t="shared" si="13"/>
        <v>37</v>
      </c>
      <c r="C437" s="5">
        <f>Model_30y!K437+Model_30y!AG437</f>
        <v>5029141.616106024</v>
      </c>
      <c r="D437" s="5">
        <f>Model_15y!K437+Model_15y!AG437</f>
        <v>4765030.9382064929</v>
      </c>
      <c r="E437" s="2">
        <f>Model_Renter!N437+Model_Renter!O437</f>
        <v>6002324.102052059</v>
      </c>
    </row>
    <row r="438" spans="1:5" x14ac:dyDescent="0.25">
      <c r="A438" s="31">
        <f t="shared" si="12"/>
        <v>436</v>
      </c>
      <c r="B438" s="33">
        <f t="shared" si="13"/>
        <v>37</v>
      </c>
      <c r="C438" s="5">
        <f>Model_30y!K438+Model_30y!AG438</f>
        <v>5059442.2753450098</v>
      </c>
      <c r="D438" s="5">
        <f>Model_15y!K438+Model_15y!AG438</f>
        <v>4793530.0774640245</v>
      </c>
      <c r="E438" s="2">
        <f>Model_Renter!N438+Model_Renter!O438</f>
        <v>6044777.687560807</v>
      </c>
    </row>
    <row r="439" spans="1:5" x14ac:dyDescent="0.25">
      <c r="A439" s="31">
        <f t="shared" si="12"/>
        <v>437</v>
      </c>
      <c r="B439" s="33">
        <f t="shared" si="13"/>
        <v>37</v>
      </c>
      <c r="C439" s="5">
        <f>Model_30y!K439+Model_30y!AG439</f>
        <v>5089921.7317499965</v>
      </c>
      <c r="D439" s="5">
        <f>Model_15y!K439+Model_15y!AG439</f>
        <v>4822195.7255761977</v>
      </c>
      <c r="E439" s="2">
        <f>Model_Renter!N439+Model_Renter!O439</f>
        <v>6087550.2987463493</v>
      </c>
    </row>
    <row r="440" spans="1:5" x14ac:dyDescent="0.25">
      <c r="A440" s="31">
        <f t="shared" si="12"/>
        <v>438</v>
      </c>
      <c r="B440" s="33">
        <f t="shared" si="13"/>
        <v>37</v>
      </c>
      <c r="C440" s="5">
        <f>Model_30y!K440+Model_30y!AG440</f>
        <v>5120581.0912995003</v>
      </c>
      <c r="D440" s="5">
        <f>Model_15y!K440+Model_15y!AG440</f>
        <v>4851028.904701977</v>
      </c>
      <c r="E440" s="2">
        <f>Model_Renter!N440+Model_Renter!O440</f>
        <v>6130644.2316764761</v>
      </c>
    </row>
    <row r="441" spans="1:5" x14ac:dyDescent="0.25">
      <c r="A441" s="31">
        <f t="shared" si="12"/>
        <v>439</v>
      </c>
      <c r="B441" s="33">
        <f t="shared" si="13"/>
        <v>37</v>
      </c>
      <c r="C441" s="5">
        <f>Model_30y!K441+Model_30y!AG441</f>
        <v>5151421.4670531414</v>
      </c>
      <c r="D441" s="5">
        <f>Model_15y!K441+Model_15y!AG441</f>
        <v>4880030.6435096916</v>
      </c>
      <c r="E441" s="2">
        <f>Model_Renter!N441+Model_Renter!O441</f>
        <v>6174061.7985694055</v>
      </c>
    </row>
    <row r="442" spans="1:5" x14ac:dyDescent="0.25">
      <c r="A442" s="31">
        <f t="shared" si="12"/>
        <v>440</v>
      </c>
      <c r="B442" s="33">
        <f t="shared" si="13"/>
        <v>37</v>
      </c>
      <c r="C442" s="5">
        <f>Model_30y!K442+Model_30y!AG442</f>
        <v>5182443.9791980553</v>
      </c>
      <c r="D442" s="5">
        <f>Model_15y!K442+Model_15y!AG442</f>
        <v>4909201.9772195462</v>
      </c>
      <c r="E442" s="2">
        <f>Model_Renter!N442+Model_Renter!O442</f>
        <v>6217805.3279059352</v>
      </c>
    </row>
    <row r="443" spans="1:5" x14ac:dyDescent="0.25">
      <c r="A443" s="31">
        <f t="shared" si="12"/>
        <v>441</v>
      </c>
      <c r="B443" s="33">
        <f t="shared" si="13"/>
        <v>37</v>
      </c>
      <c r="C443" s="5">
        <f>Model_30y!K443+Model_30y!AG443</f>
        <v>5213649.7550956178</v>
      </c>
      <c r="D443" s="5">
        <f>Model_15y!K443+Model_15y!AG443</f>
        <v>4938543.9476464177</v>
      </c>
      <c r="E443" s="2">
        <f>Model_Renter!N443+Model_Renter!O443</f>
        <v>6261877.1645423723</v>
      </c>
    </row>
    <row r="444" spans="1:5" x14ac:dyDescent="0.25">
      <c r="A444" s="31">
        <f>A443+1</f>
        <v>442</v>
      </c>
      <c r="B444" s="33">
        <f t="shared" si="13"/>
        <v>37</v>
      </c>
      <c r="C444" s="5">
        <f>Model_30y!K444+Model_30y!AG444</f>
        <v>5245039.9293284779</v>
      </c>
      <c r="D444" s="5">
        <f>Model_15y!K444+Model_15y!AG444</f>
        <v>4968057.6032429431</v>
      </c>
      <c r="E444" s="2">
        <f>Model_Renter!N444+Model_Renter!O444</f>
        <v>6306279.6698242407</v>
      </c>
    </row>
    <row r="445" spans="1:5" x14ac:dyDescent="0.25">
      <c r="A445" s="31">
        <f t="shared" ref="A445:A508" si="14">A444+1</f>
        <v>443</v>
      </c>
      <c r="B445" s="33">
        <f t="shared" si="13"/>
        <v>37</v>
      </c>
      <c r="C445" s="5">
        <f>Model_30y!K445+Model_30y!AG445</f>
        <v>5276615.6437479109</v>
      </c>
      <c r="D445" s="5">
        <f>Model_15y!K445+Model_15y!AG445</f>
        <v>4997743.9991428796</v>
      </c>
      <c r="E445" s="2">
        <f>Model_Renter!N445+Model_Renter!O445</f>
        <v>6351015.2217007671</v>
      </c>
    </row>
    <row r="446" spans="1:5" x14ac:dyDescent="0.25">
      <c r="A446" s="31">
        <f t="shared" si="14"/>
        <v>444</v>
      </c>
      <c r="B446" s="33">
        <f t="shared" si="13"/>
        <v>37</v>
      </c>
      <c r="C446" s="5">
        <f>Model_30y!K446+Model_30y!AG446</f>
        <v>5308378.0475214776</v>
      </c>
      <c r="D446" s="5">
        <f>Model_15y!K446+Model_15y!AG446</f>
        <v>5027604.197204764</v>
      </c>
      <c r="E446" s="2">
        <f>Model_Renter!N446+Model_Renter!O446</f>
        <v>6396086.2148401653</v>
      </c>
    </row>
    <row r="447" spans="1:5" x14ac:dyDescent="0.25">
      <c r="A447" s="31">
        <f t="shared" si="14"/>
        <v>445</v>
      </c>
      <c r="B447" s="33">
        <f t="shared" si="13"/>
        <v>38</v>
      </c>
      <c r="C447" s="5">
        <f>Model_30y!K447+Model_30y!AG447</f>
        <v>5340328.2971810065</v>
      </c>
      <c r="D447" s="5">
        <f>Model_15y!K447+Model_15y!AG447</f>
        <v>5057639.2660558606</v>
      </c>
      <c r="E447" s="2">
        <f>Model_Renter!N447+Model_Renter!O447</f>
        <v>6441199.4183830526</v>
      </c>
    </row>
    <row r="448" spans="1:5" x14ac:dyDescent="0.25">
      <c r="A448" s="31">
        <f t="shared" si="14"/>
        <v>446</v>
      </c>
      <c r="B448" s="33">
        <f t="shared" si="13"/>
        <v>38</v>
      </c>
      <c r="C448" s="5">
        <f>Model_30y!K448+Model_30y!AG448</f>
        <v>5372467.5566708902</v>
      </c>
      <c r="D448" s="5">
        <f>Model_15y!K448+Model_15y!AG448</f>
        <v>5087850.2811363935</v>
      </c>
      <c r="E448" s="2">
        <f>Model_Renter!N448+Model_Renter!O448</f>
        <v>6486650.8865471687</v>
      </c>
    </row>
    <row r="449" spans="1:5" x14ac:dyDescent="0.25">
      <c r="A449" s="31">
        <f t="shared" si="14"/>
        <v>447</v>
      </c>
      <c r="B449" s="33">
        <f t="shared" si="13"/>
        <v>38</v>
      </c>
      <c r="C449" s="5">
        <f>Model_30y!K449+Model_30y!AG449</f>
        <v>5404796.9973967122</v>
      </c>
      <c r="D449" s="5">
        <f>Model_15y!K449+Model_15y!AG449</f>
        <v>5118238.324744083</v>
      </c>
      <c r="E449" s="2">
        <f>Model_Renter!N449+Model_Renter!O449</f>
        <v>6532443.0511019379</v>
      </c>
    </row>
    <row r="450" spans="1:5" x14ac:dyDescent="0.25">
      <c r="A450" s="31">
        <f t="shared" si="14"/>
        <v>448</v>
      </c>
      <c r="B450" s="33">
        <f t="shared" si="13"/>
        <v>38</v>
      </c>
      <c r="C450" s="5">
        <f>Model_30y!K450+Model_30y!AG450</f>
        <v>5437317.7982741892</v>
      </c>
      <c r="D450" s="5">
        <f>Model_15y!K450+Model_15y!AG450</f>
        <v>5148804.4860789701</v>
      </c>
      <c r="E450" s="2">
        <f>Model_Renter!N450+Model_Renter!O450</f>
        <v>6578578.3609110601</v>
      </c>
    </row>
    <row r="451" spans="1:5" x14ac:dyDescent="0.25">
      <c r="A451" s="31">
        <f t="shared" si="14"/>
        <v>449</v>
      </c>
      <c r="B451" s="33">
        <f t="shared" si="13"/>
        <v>38</v>
      </c>
      <c r="C451" s="5">
        <f>Model_30y!K451+Model_30y!AG451</f>
        <v>5470031.1457784399</v>
      </c>
      <c r="D451" s="5">
        <f>Model_15y!K451+Model_15y!AG451</f>
        <v>5179549.8612885429</v>
      </c>
      <c r="E451" s="2">
        <f>Model_Renter!N451+Model_Renter!O451</f>
        <v>6625059.2820511749</v>
      </c>
    </row>
    <row r="452" spans="1:5" x14ac:dyDescent="0.25">
      <c r="A452" s="31">
        <f t="shared" si="14"/>
        <v>450</v>
      </c>
      <c r="B452" s="33">
        <f t="shared" ref="B452:B515" si="15">ROUNDUP(A452/12, 0)</f>
        <v>38</v>
      </c>
      <c r="C452" s="5">
        <f>Model_30y!K452+Model_30y!AG452</f>
        <v>5502938.2339935917</v>
      </c>
      <c r="D452" s="5">
        <f>Model_15y!K452+Model_15y!AG452</f>
        <v>5210475.5535131628</v>
      </c>
      <c r="E452" s="2">
        <f>Model_Renter!N452+Model_Renter!O452</f>
        <v>6671888.2979313508</v>
      </c>
    </row>
    <row r="453" spans="1:5" x14ac:dyDescent="0.25">
      <c r="A453" s="31">
        <f t="shared" si="14"/>
        <v>451</v>
      </c>
      <c r="B453" s="33">
        <f t="shared" si="15"/>
        <v>38</v>
      </c>
      <c r="C453" s="5">
        <f>Model_30y!K453+Model_30y!AG453</f>
        <v>5536040.2646627026</v>
      </c>
      <c r="D453" s="5">
        <f>Model_15y!K453+Model_15y!AG453</f>
        <v>5241582.6729317885</v>
      </c>
      <c r="E453" s="2">
        <f>Model_Renter!N453+Model_Renter!O453</f>
        <v>6719067.9094133889</v>
      </c>
    </row>
    <row r="454" spans="1:5" x14ac:dyDescent="0.25">
      <c r="A454" s="31">
        <f t="shared" si="14"/>
        <v>452</v>
      </c>
      <c r="B454" s="33">
        <f t="shared" si="15"/>
        <v>38</v>
      </c>
      <c r="C454" s="5">
        <f>Model_30y!K454+Model_30y!AG454</f>
        <v>5569338.4472380262</v>
      </c>
      <c r="D454" s="5">
        <f>Model_15y!K454+Model_15y!AG454</f>
        <v>5272872.3368080091</v>
      </c>
      <c r="E454" s="2">
        <f>Model_Renter!N454+Model_Renter!O454</f>
        <v>6766600.6349329641</v>
      </c>
    </row>
    <row r="455" spans="1:5" x14ac:dyDescent="0.25">
      <c r="A455" s="31">
        <f t="shared" si="14"/>
        <v>453</v>
      </c>
      <c r="B455" s="33">
        <f t="shared" si="15"/>
        <v>38</v>
      </c>
      <c r="C455" s="5">
        <f>Model_30y!K455+Model_30y!AG455</f>
        <v>5602833.9989316091</v>
      </c>
      <c r="D455" s="5">
        <f>Model_15y!K455+Model_15y!AG455</f>
        <v>5304345.6695363801</v>
      </c>
      <c r="E455" s="2">
        <f>Model_Renter!N455+Model_Renter!O455</f>
        <v>6814489.0106215952</v>
      </c>
    </row>
    <row r="456" spans="1:5" x14ac:dyDescent="0.25">
      <c r="A456" s="31">
        <f t="shared" si="14"/>
        <v>454</v>
      </c>
      <c r="B456" s="33">
        <f t="shared" si="15"/>
        <v>38</v>
      </c>
      <c r="C456" s="5">
        <f>Model_30y!K456+Model_30y!AG456</f>
        <v>5636528.1447662245</v>
      </c>
      <c r="D456" s="5">
        <f>Model_15y!K456+Model_15y!AG456</f>
        <v>5336003.8026890662</v>
      </c>
      <c r="E456" s="2">
        <f>Model_Renter!N456+Model_Renter!O456</f>
        <v>6862735.5904294578</v>
      </c>
    </row>
    <row r="457" spans="1:5" x14ac:dyDescent="0.25">
      <c r="A457" s="31">
        <f t="shared" si="14"/>
        <v>455</v>
      </c>
      <c r="B457" s="33">
        <f t="shared" si="15"/>
        <v>38</v>
      </c>
      <c r="C457" s="5">
        <f>Model_30y!K457+Model_30y!AG457</f>
        <v>5670422.1176266465</v>
      </c>
      <c r="D457" s="5">
        <f>Model_15y!K457+Model_15y!AG457</f>
        <v>5367847.8750628028</v>
      </c>
      <c r="E457" s="2">
        <f>Model_Renter!N457+Model_Renter!O457</f>
        <v>6911342.9462490417</v>
      </c>
    </row>
    <row r="458" spans="1:5" x14ac:dyDescent="0.25">
      <c r="A458" s="31">
        <f t="shared" si="14"/>
        <v>456</v>
      </c>
      <c r="B458" s="33">
        <f t="shared" si="15"/>
        <v>38</v>
      </c>
      <c r="C458" s="5">
        <f>Model_30y!K458+Model_30y!AG458</f>
        <v>5704517.1583112609</v>
      </c>
      <c r="D458" s="5">
        <f>Model_15y!K458+Model_15y!AG458</f>
        <v>5399879.0327261519</v>
      </c>
      <c r="E458" s="2">
        <f>Model_Renter!N458+Model_Renter!O458</f>
        <v>6960313.6680396684</v>
      </c>
    </row>
    <row r="459" spans="1:5" x14ac:dyDescent="0.25">
      <c r="A459" s="31">
        <f t="shared" si="14"/>
        <v>457</v>
      </c>
      <c r="B459" s="33">
        <f t="shared" si="15"/>
        <v>39</v>
      </c>
      <c r="C459" s="5">
        <f>Model_30y!K459+Model_30y!AG459</f>
        <v>5738814.5155840311</v>
      </c>
      <c r="D459" s="5">
        <f>Model_15y!K459+Model_15y!AG459</f>
        <v>5432098.429067092</v>
      </c>
      <c r="E459" s="2">
        <f>Model_Renter!N459+Model_Renter!O459</f>
        <v>7009344.8499373402</v>
      </c>
    </row>
    <row r="460" spans="1:5" x14ac:dyDescent="0.25">
      <c r="A460" s="31">
        <f t="shared" si="14"/>
        <v>458</v>
      </c>
      <c r="B460" s="33">
        <f t="shared" si="15"/>
        <v>39</v>
      </c>
      <c r="C460" s="5">
        <f>Model_30y!K460+Model_30y!AG460</f>
        <v>5773315.4462267933</v>
      </c>
      <c r="D460" s="5">
        <f>Model_15y!K460+Model_15y!AG460</f>
        <v>5464507.224840913</v>
      </c>
      <c r="E460" s="2">
        <f>Model_Renter!N460+Model_Renter!O460</f>
        <v>7058742.5484920675</v>
      </c>
    </row>
    <row r="461" spans="1:5" x14ac:dyDescent="0.25">
      <c r="A461" s="31">
        <f t="shared" si="14"/>
        <v>459</v>
      </c>
      <c r="B461" s="33">
        <f t="shared" si="15"/>
        <v>39</v>
      </c>
      <c r="C461" s="5">
        <f>Model_30y!K461+Model_30y!AG461</f>
        <v>5808021.2150919214</v>
      </c>
      <c r="D461" s="5">
        <f>Model_15y!K461+Model_15y!AG461</f>
        <v>5497106.5882184319</v>
      </c>
      <c r="E461" s="2">
        <f>Model_Renter!N461+Model_Renter!O461</f>
        <v>7108509.3944046339</v>
      </c>
    </row>
    <row r="462" spans="1:5" x14ac:dyDescent="0.25">
      <c r="A462" s="31">
        <f t="shared" si="14"/>
        <v>460</v>
      </c>
      <c r="B462" s="33">
        <f t="shared" si="15"/>
        <v>39</v>
      </c>
      <c r="C462" s="5">
        <f>Model_30y!K462+Model_30y!AG462</f>
        <v>5842933.0951553192</v>
      </c>
      <c r="D462" s="5">
        <f>Model_15y!K462+Model_15y!AG462</f>
        <v>5529897.6948345248</v>
      </c>
      <c r="E462" s="2">
        <f>Model_Renter!N462+Model_Renter!O462</f>
        <v>7158648.0368523765</v>
      </c>
    </row>
    <row r="463" spans="1:5" x14ac:dyDescent="0.25">
      <c r="A463" s="31">
        <f t="shared" si="14"/>
        <v>461</v>
      </c>
      <c r="B463" s="33">
        <f t="shared" si="15"/>
        <v>39</v>
      </c>
      <c r="C463" s="5">
        <f>Model_30y!K463+Model_30y!AG463</f>
        <v>5878052.3675697856</v>
      </c>
      <c r="D463" s="5">
        <f>Model_15y!K463+Model_15y!AG463</f>
        <v>5562881.7278369954</v>
      </c>
      <c r="E463" s="2">
        <f>Model_Renter!N463+Model_Renter!O463</f>
        <v>7209161.1436173832</v>
      </c>
    </row>
    <row r="464" spans="1:5" x14ac:dyDescent="0.25">
      <c r="A464" s="31">
        <f t="shared" si="14"/>
        <v>462</v>
      </c>
      <c r="B464" s="33">
        <f t="shared" si="15"/>
        <v>39</v>
      </c>
      <c r="C464" s="5">
        <f>Model_30y!K464+Model_30y!AG464</f>
        <v>5913380.3217187263</v>
      </c>
      <c r="D464" s="5">
        <f>Model_15y!K464+Model_15y!AG464</f>
        <v>5596059.8779357495</v>
      </c>
      <c r="E464" s="2">
        <f>Model_Renter!N464+Model_Renter!O464</f>
        <v>7260051.401215571</v>
      </c>
    </row>
    <row r="465" spans="1:5" x14ac:dyDescent="0.25">
      <c r="A465" s="31">
        <f t="shared" si="14"/>
        <v>463</v>
      </c>
      <c r="B465" s="33">
        <f t="shared" si="15"/>
        <v>39</v>
      </c>
      <c r="C465" s="5">
        <f>Model_30y!K465+Model_30y!AG465</f>
        <v>5948918.2552702259</v>
      </c>
      <c r="D465" s="5">
        <f>Model_15y!K465+Model_15y!AG465</f>
        <v>5629433.3434523121</v>
      </c>
      <c r="E465" s="2">
        <f>Model_Renter!N465+Model_Renter!O465</f>
        <v>7311321.5150266606</v>
      </c>
    </row>
    <row r="466" spans="1:5" x14ac:dyDescent="0.25">
      <c r="A466" s="31">
        <f t="shared" si="14"/>
        <v>464</v>
      </c>
      <c r="B466" s="33">
        <f t="shared" si="15"/>
        <v>39</v>
      </c>
      <c r="C466" s="5">
        <f>Model_30y!K466+Model_30y!AG466</f>
        <v>5984667.4742314722</v>
      </c>
      <c r="D466" s="5">
        <f>Model_15y!K466+Model_15y!AG466</f>
        <v>5663003.3303696672</v>
      </c>
      <c r="E466" s="2">
        <f>Model_Renter!N466+Model_Renter!O466</f>
        <v>7362974.2094250424</v>
      </c>
    </row>
    <row r="467" spans="1:5" x14ac:dyDescent="0.25">
      <c r="A467" s="31">
        <f t="shared" si="14"/>
        <v>465</v>
      </c>
      <c r="B467" s="33">
        <f t="shared" si="15"/>
        <v>39</v>
      </c>
      <c r="C467" s="5">
        <f>Model_30y!K467+Model_30y!AG467</f>
        <v>6020629.293003561</v>
      </c>
      <c r="D467" s="5">
        <f>Model_15y!K467+Model_15y!AG467</f>
        <v>5696771.0523824245</v>
      </c>
      <c r="E467" s="2">
        <f>Model_Renter!N467+Model_Renter!O467</f>
        <v>7415012.2279115459</v>
      </c>
    </row>
    <row r="468" spans="1:5" x14ac:dyDescent="0.25">
      <c r="A468" s="31">
        <f t="shared" si="14"/>
        <v>466</v>
      </c>
      <c r="B468" s="33">
        <f t="shared" si="15"/>
        <v>39</v>
      </c>
      <c r="C468" s="5">
        <f>Model_30y!K468+Model_30y!AG468</f>
        <v>6056805.0344366468</v>
      </c>
      <c r="D468" s="5">
        <f>Model_15y!K468+Model_15y!AG468</f>
        <v>5730737.7309473315</v>
      </c>
      <c r="E468" s="2">
        <f>Model_Renter!N468+Model_Renter!O468</f>
        <v>7467438.3332461156</v>
      </c>
    </row>
    <row r="469" spans="1:5" x14ac:dyDescent="0.25">
      <c r="A469" s="31">
        <f t="shared" si="14"/>
        <v>467</v>
      </c>
      <c r="B469" s="33">
        <f t="shared" si="15"/>
        <v>39</v>
      </c>
      <c r="C469" s="5">
        <f>Model_30y!K469+Model_30y!AG469</f>
        <v>6093196.0298854746</v>
      </c>
      <c r="D469" s="5">
        <f>Model_15y!K469+Model_15y!AG469</f>
        <v>5764904.5953341126</v>
      </c>
      <c r="E469" s="2">
        <f>Model_Renter!N469+Model_Renter!O469</f>
        <v>7520255.3075813996</v>
      </c>
    </row>
    <row r="470" spans="1:5" x14ac:dyDescent="0.25">
      <c r="A470" s="31">
        <f t="shared" si="14"/>
        <v>468</v>
      </c>
      <c r="B470" s="33">
        <f t="shared" si="15"/>
        <v>39</v>
      </c>
      <c r="C470" s="5">
        <f>Model_30y!K470+Model_30y!AG470</f>
        <v>6129803.6192652769</v>
      </c>
      <c r="D470" s="5">
        <f>Model_15y!K470+Model_15y!AG470</f>
        <v>5799272.882676648</v>
      </c>
      <c r="E470" s="2">
        <f>Model_Renter!N470+Model_Renter!O470</f>
        <v>7573465.9525972623</v>
      </c>
    </row>
    <row r="471" spans="1:5" x14ac:dyDescent="0.25">
      <c r="A471" s="31">
        <f t="shared" si="14"/>
        <v>469</v>
      </c>
      <c r="B471" s="33">
        <f t="shared" si="15"/>
        <v>40</v>
      </c>
      <c r="C471" s="5">
        <f>Model_30y!K471+Model_30y!AG471</f>
        <v>6166629.1511080395</v>
      </c>
      <c r="D471" s="5">
        <f>Model_15y!K471+Model_15y!AG471</f>
        <v>5833843.8380244933</v>
      </c>
      <c r="E471" s="2">
        <f>Model_Renter!N471+Model_Renter!O471</f>
        <v>7626757.3940366134</v>
      </c>
    </row>
    <row r="472" spans="1:5" x14ac:dyDescent="0.25">
      <c r="A472" s="31">
        <f t="shared" si="14"/>
        <v>470</v>
      </c>
      <c r="B472" s="33">
        <f t="shared" si="15"/>
        <v>40</v>
      </c>
      <c r="C472" s="5">
        <f>Model_30y!K472+Model_30y!AG472</f>
        <v>6203673.9826191533</v>
      </c>
      <c r="D472" s="5">
        <f>Model_15y!K472+Model_15y!AG472</f>
        <v>5868618.7143947463</v>
      </c>
      <c r="E472" s="2">
        <f>Model_Renter!N472+Model_Renter!O472</f>
        <v>7680446.0152557567</v>
      </c>
    </row>
    <row r="473" spans="1:5" x14ac:dyDescent="0.25">
      <c r="A473" s="31">
        <f t="shared" si="14"/>
        <v>471</v>
      </c>
      <c r="B473" s="33">
        <f t="shared" si="15"/>
        <v>40</v>
      </c>
      <c r="C473" s="5">
        <f>Model_30y!K473+Model_30y!AG473</f>
        <v>6240939.4797344338</v>
      </c>
      <c r="D473" s="5">
        <f>Model_15y!K473+Model_15y!AG473</f>
        <v>5903598.772824252</v>
      </c>
      <c r="E473" s="2">
        <f>Model_Renter!N473+Model_Renter!O473</f>
        <v>7734534.6626441572</v>
      </c>
    </row>
    <row r="474" spans="1:5" x14ac:dyDescent="0.25">
      <c r="A474" s="31">
        <f t="shared" si="14"/>
        <v>472</v>
      </c>
      <c r="B474" s="33">
        <f t="shared" si="15"/>
        <v>40</v>
      </c>
      <c r="C474" s="5">
        <f>Model_30y!K474+Model_30y!AG474</f>
        <v>6278427.0171775203</v>
      </c>
      <c r="D474" s="5">
        <f>Model_15y!K474+Model_15y!AG474</f>
        <v>5938785.2824221589</v>
      </c>
      <c r="E474" s="2">
        <f>Model_Renter!N474+Model_Renter!O474</f>
        <v>7789026.2025656728</v>
      </c>
    </row>
    <row r="475" spans="1:5" x14ac:dyDescent="0.25">
      <c r="A475" s="31">
        <f t="shared" si="14"/>
        <v>473</v>
      </c>
      <c r="B475" s="33">
        <f t="shared" si="15"/>
        <v>40</v>
      </c>
      <c r="C475" s="5">
        <f>Model_30y!K475+Model_30y!AG475</f>
        <v>6316137.978517672</v>
      </c>
      <c r="D475" s="5">
        <f>Model_15y!K475+Model_15y!AG475</f>
        <v>5974179.5204228247</v>
      </c>
      <c r="E475" s="2">
        <f>Model_Renter!N475+Model_Renter!O475</f>
        <v>7843923.5214970857</v>
      </c>
    </row>
    <row r="476" spans="1:5" x14ac:dyDescent="0.25">
      <c r="A476" s="31">
        <f t="shared" si="14"/>
        <v>474</v>
      </c>
      <c r="B476" s="33">
        <f t="shared" si="15"/>
        <v>40</v>
      </c>
      <c r="C476" s="5">
        <f>Model_30y!K476+Model_30y!AG476</f>
        <v>6354073.7562279273</v>
      </c>
      <c r="D476" s="5">
        <f>Model_15y!K476+Model_15y!AG476</f>
        <v>6009782.7722390713</v>
      </c>
      <c r="E476" s="2">
        <f>Model_Renter!N476+Model_Renter!O476</f>
        <v>7899229.5261675753</v>
      </c>
    </row>
    <row r="477" spans="1:5" x14ac:dyDescent="0.25">
      <c r="A477" s="31">
        <f t="shared" si="14"/>
        <v>475</v>
      </c>
      <c r="B477" s="33">
        <f t="shared" si="15"/>
        <v>40</v>
      </c>
      <c r="C477" s="5">
        <f>Model_30y!K477+Model_30y!AG477</f>
        <v>6392235.7517436724</v>
      </c>
      <c r="D477" s="5">
        <f>Model_15y!K477+Model_15y!AG477</f>
        <v>6045596.3315158002</v>
      </c>
      <c r="E477" s="2">
        <f>Model_Renter!N477+Model_Renter!O477</f>
        <v>7954947.1436991617</v>
      </c>
    </row>
    <row r="478" spans="1:5" x14ac:dyDescent="0.25">
      <c r="A478" s="31">
        <f t="shared" si="14"/>
        <v>476</v>
      </c>
      <c r="B478" s="33">
        <f t="shared" si="15"/>
        <v>40</v>
      </c>
      <c r="C478" s="5">
        <f>Model_30y!K478+Model_30y!AG478</f>
        <v>6430625.3755215853</v>
      </c>
      <c r="D478" s="5">
        <f>Model_15y!K478+Model_15y!AG478</f>
        <v>6081621.5001839595</v>
      </c>
      <c r="E478" s="2">
        <f>Model_Renter!N478+Model_Renter!O478</f>
        <v>8011079.3217481058</v>
      </c>
    </row>
    <row r="479" spans="1:5" x14ac:dyDescent="0.25">
      <c r="A479" s="31">
        <f t="shared" si="14"/>
        <v>477</v>
      </c>
      <c r="B479" s="33">
        <f t="shared" si="15"/>
        <v>40</v>
      </c>
      <c r="C479" s="5">
        <f>Model_30y!K479+Model_30y!AG479</f>
        <v>6469244.0470989812</v>
      </c>
      <c r="D479" s="5">
        <f>Model_15y!K479+Model_15y!AG479</f>
        <v>6117859.5885148719</v>
      </c>
      <c r="E479" s="2">
        <f>Model_Renter!N479+Model_Renter!O479</f>
        <v>8067629.028647298</v>
      </c>
    </row>
    <row r="480" spans="1:5" x14ac:dyDescent="0.25">
      <c r="A480" s="31">
        <f t="shared" si="14"/>
        <v>478</v>
      </c>
      <c r="B480" s="33">
        <f t="shared" si="15"/>
        <v>40</v>
      </c>
      <c r="C480" s="5">
        <f>Model_30y!K480+Model_30y!AG480</f>
        <v>6508093.1951535549</v>
      </c>
      <c r="D480" s="5">
        <f>Model_15y!K480+Model_15y!AG480</f>
        <v>6154311.915174922</v>
      </c>
      <c r="E480" s="2">
        <f>Model_Renter!N480+Model_Renter!O480</f>
        <v>8124599.2535496121</v>
      </c>
    </row>
    <row r="481" spans="1:5" x14ac:dyDescent="0.25">
      <c r="A481" s="31">
        <f t="shared" si="14"/>
        <v>479</v>
      </c>
      <c r="B481" s="33">
        <f t="shared" si="15"/>
        <v>40</v>
      </c>
      <c r="C481" s="5">
        <f>Model_30y!K481+Model_30y!AG481</f>
        <v>6547174.25756351</v>
      </c>
      <c r="D481" s="5">
        <f>Model_15y!K481+Model_15y!AG481</f>
        <v>6190979.807280615</v>
      </c>
      <c r="E481" s="2">
        <f>Model_Renter!N481+Model_Renter!O481</f>
        <v>8181993.0065722559</v>
      </c>
    </row>
    <row r="482" spans="1:5" x14ac:dyDescent="0.25">
      <c r="A482" s="31">
        <f t="shared" si="14"/>
        <v>480</v>
      </c>
      <c r="B482" s="33">
        <f t="shared" si="15"/>
        <v>40</v>
      </c>
      <c r="C482" s="5">
        <f>Model_30y!K482+Model_30y!AG482</f>
        <v>6586488.6814681049</v>
      </c>
      <c r="D482" s="5">
        <f>Model_15y!K482+Model_15y!AG482</f>
        <v>6227864.6004539914</v>
      </c>
      <c r="E482" s="2">
        <f>Model_Renter!N482+Model_Renter!O482</f>
        <v>8239813.3189421156</v>
      </c>
    </row>
    <row r="483" spans="1:5" x14ac:dyDescent="0.25">
      <c r="A483" s="31">
        <f t="shared" si="14"/>
        <v>481</v>
      </c>
      <c r="B483" s="33">
        <f t="shared" si="15"/>
        <v>41</v>
      </c>
      <c r="C483" s="5">
        <f>Model_30y!K483+Model_30y!AG483</f>
        <v>6626037.9233285906</v>
      </c>
      <c r="D483" s="5">
        <f>Model_15y!K483+Model_15y!AG483</f>
        <v>6264967.63887842</v>
      </c>
      <c r="E483" s="2">
        <f>Model_Renter!N483+Model_Renter!O483</f>
        <v>8297737.0473991483</v>
      </c>
    </row>
    <row r="484" spans="1:5" x14ac:dyDescent="0.25">
      <c r="A484" s="31">
        <f t="shared" si="14"/>
        <v>482</v>
      </c>
      <c r="B484" s="33">
        <f t="shared" si="15"/>
        <v>41</v>
      </c>
      <c r="C484" s="5">
        <f>Model_30y!K484+Model_30y!AG484</f>
        <v>6665823.4489895646</v>
      </c>
      <c r="D484" s="5">
        <f>Model_15y!K484+Model_15y!AG484</f>
        <v>6302290.275354756</v>
      </c>
      <c r="E484" s="2">
        <f>Model_Renter!N484+Model_Renter!O484</f>
        <v>8356091.2365654195</v>
      </c>
    </row>
    <row r="485" spans="1:5" x14ac:dyDescent="0.25">
      <c r="A485" s="31">
        <f t="shared" si="14"/>
        <v>483</v>
      </c>
      <c r="B485" s="33">
        <f t="shared" si="15"/>
        <v>41</v>
      </c>
      <c r="C485" s="5">
        <f>Model_30y!K485+Model_30y!AG485</f>
        <v>6705846.7337407246</v>
      </c>
      <c r="D485" s="5">
        <f>Model_15y!K485+Model_15y!AG485</f>
        <v>6339833.8713578768</v>
      </c>
      <c r="E485" s="2">
        <f>Model_Renter!N485+Model_Renter!O485</f>
        <v>8414878.9667019919</v>
      </c>
    </row>
    <row r="486" spans="1:5" x14ac:dyDescent="0.25">
      <c r="A486" s="31">
        <f t="shared" si="14"/>
        <v>484</v>
      </c>
      <c r="B486" s="33">
        <f t="shared" si="15"/>
        <v>41</v>
      </c>
      <c r="C486" s="5">
        <f>Model_30y!K486+Model_30y!AG486</f>
        <v>6746109.2623790409</v>
      </c>
      <c r="D486" s="5">
        <f>Model_15y!K486+Model_15y!AG486</f>
        <v>6377599.7970935935</v>
      </c>
      <c r="E486" s="2">
        <f>Model_Renter!N486+Model_Renter!O486</f>
        <v>8474103.3396675251</v>
      </c>
    </row>
    <row r="487" spans="1:5" x14ac:dyDescent="0.25">
      <c r="A487" s="31">
        <f t="shared" si="14"/>
        <v>485</v>
      </c>
      <c r="B487" s="33">
        <f t="shared" si="15"/>
        <v>41</v>
      </c>
      <c r="C487" s="5">
        <f>Model_30y!K487+Model_30y!AG487</f>
        <v>6786612.5292713447</v>
      </c>
      <c r="D487" s="5">
        <f>Model_15y!K487+Model_15y!AG487</f>
        <v>6415589.431555938</v>
      </c>
      <c r="E487" s="2">
        <f>Model_Renter!N487+Model_Renter!O487</f>
        <v>8533767.4790679961</v>
      </c>
    </row>
    <row r="488" spans="1:5" x14ac:dyDescent="0.25">
      <c r="A488" s="31">
        <f t="shared" si="14"/>
        <v>486</v>
      </c>
      <c r="B488" s="33">
        <f t="shared" si="15"/>
        <v>41</v>
      </c>
      <c r="C488" s="5">
        <f>Model_30y!K488+Model_30y!AG488</f>
        <v>6827358.0384173244</v>
      </c>
      <c r="D488" s="5">
        <f>Model_15y!K488+Model_15y!AG488</f>
        <v>6453804.1625848394</v>
      </c>
      <c r="E488" s="2">
        <f>Model_Renter!N488+Model_Renter!O488</f>
        <v>8593874.5304074306</v>
      </c>
    </row>
    <row r="489" spans="1:5" x14ac:dyDescent="0.25">
      <c r="A489" s="31">
        <f t="shared" si="14"/>
        <v>487</v>
      </c>
      <c r="B489" s="33">
        <f t="shared" si="15"/>
        <v>41</v>
      </c>
      <c r="C489" s="5">
        <f>Model_30y!K489+Model_30y!AG489</f>
        <v>6868347.3035129569</v>
      </c>
      <c r="D489" s="5">
        <f>Model_15y!K489+Model_15y!AG489</f>
        <v>6492245.3869241728</v>
      </c>
      <c r="E489" s="2">
        <f>Model_Renter!N489+Model_Renter!O489</f>
        <v>8654427.6612396818</v>
      </c>
    </row>
    <row r="490" spans="1:5" x14ac:dyDescent="0.25">
      <c r="A490" s="31">
        <f t="shared" si="14"/>
        <v>488</v>
      </c>
      <c r="B490" s="33">
        <f t="shared" si="15"/>
        <v>41</v>
      </c>
      <c r="C490" s="5">
        <f>Model_30y!K490+Model_30y!AG490</f>
        <v>6909581.8480143491</v>
      </c>
      <c r="D490" s="5">
        <f>Model_15y!K490+Model_15y!AG490</f>
        <v>6530914.5102802105</v>
      </c>
      <c r="E490" s="2">
        <f>Model_Renter!N490+Model_Renter!O490</f>
        <v>8715430.0613212641</v>
      </c>
    </row>
    <row r="491" spans="1:5" x14ac:dyDescent="0.25">
      <c r="A491" s="31">
        <f t="shared" si="14"/>
        <v>489</v>
      </c>
      <c r="B491" s="33">
        <f t="shared" si="15"/>
        <v>41</v>
      </c>
      <c r="C491" s="5">
        <f>Model_30y!K491+Model_30y!AG491</f>
        <v>6951063.205202017</v>
      </c>
      <c r="D491" s="5">
        <f>Model_15y!K491+Model_15y!AG491</f>
        <v>6569812.9473804459</v>
      </c>
      <c r="E491" s="2">
        <f>Model_Renter!N491+Model_Renter!O491</f>
        <v>8776884.942765221</v>
      </c>
    </row>
    <row r="492" spans="1:5" x14ac:dyDescent="0.25">
      <c r="A492" s="31">
        <f t="shared" si="14"/>
        <v>490</v>
      </c>
      <c r="B492" s="33">
        <f t="shared" si="15"/>
        <v>41</v>
      </c>
      <c r="C492" s="5">
        <f>Model_30y!K492+Model_30y!AG492</f>
        <v>6992792.9182455782</v>
      </c>
      <c r="D492" s="5">
        <f>Model_15y!K492+Model_15y!AG492</f>
        <v>6608942.1220328212</v>
      </c>
      <c r="E492" s="2">
        <f>Model_Renter!N492+Model_Renter!O492</f>
        <v>8838795.540196063</v>
      </c>
    </row>
    <row r="493" spans="1:5" x14ac:dyDescent="0.25">
      <c r="A493" s="31">
        <f t="shared" si="14"/>
        <v>491</v>
      </c>
      <c r="B493" s="33">
        <f t="shared" si="15"/>
        <v>41</v>
      </c>
      <c r="C493" s="5">
        <f>Model_30y!K493+Model_30y!AG493</f>
        <v>7034772.5402688961</v>
      </c>
      <c r="D493" s="5">
        <f>Model_15y!K493+Model_15y!AG493</f>
        <v>6648303.4671853445</v>
      </c>
      <c r="E493" s="2">
        <f>Model_Renter!N493+Model_Renter!O493</f>
        <v>8901165.1109057702</v>
      </c>
    </row>
    <row r="494" spans="1:5" x14ac:dyDescent="0.25">
      <c r="A494" s="31">
        <f t="shared" si="14"/>
        <v>492</v>
      </c>
      <c r="B494" s="33">
        <f t="shared" si="15"/>
        <v>41</v>
      </c>
      <c r="C494" s="5">
        <f>Model_30y!K494+Model_30y!AG494</f>
        <v>7077003.6344156433</v>
      </c>
      <c r="D494" s="5">
        <f>Model_15y!K494+Model_15y!AG494</f>
        <v>6687898.4249861063</v>
      </c>
      <c r="E494" s="2">
        <f>Model_Renter!N494+Model_Renter!O494</f>
        <v>8963996.9350108709</v>
      </c>
    </row>
    <row r="495" spans="1:5" x14ac:dyDescent="0.25">
      <c r="A495" s="31">
        <f t="shared" si="14"/>
        <v>493</v>
      </c>
      <c r="B495" s="33">
        <f t="shared" si="15"/>
        <v>42</v>
      </c>
      <c r="C495" s="5">
        <f>Model_30y!K495+Model_30y!AG495</f>
        <v>7119487.7739153076</v>
      </c>
      <c r="D495" s="5">
        <f>Model_15y!K495+Model_15y!AG495</f>
        <v>6727728.4468436912</v>
      </c>
      <c r="E495" s="2">
        <f>Model_Renter!N495+Model_Renter!O495</f>
        <v>9026957.2923625521</v>
      </c>
    </row>
    <row r="496" spans="1:5" x14ac:dyDescent="0.25">
      <c r="A496" s="31">
        <f t="shared" si="14"/>
        <v>494</v>
      </c>
      <c r="B496" s="33">
        <f t="shared" si="15"/>
        <v>42</v>
      </c>
      <c r="C496" s="5">
        <f>Model_30y!K496+Model_30y!AG496</f>
        <v>7162226.5421496462</v>
      </c>
      <c r="D496" s="5">
        <f>Model_15y!K496+Model_15y!AG496</f>
        <v>6767794.9934879998</v>
      </c>
      <c r="E496" s="2">
        <f>Model_Renter!N496+Model_Renter!O496</f>
        <v>9090384.2335876115</v>
      </c>
    </row>
    <row r="497" spans="1:5" x14ac:dyDescent="0.25">
      <c r="A497" s="31">
        <f t="shared" si="14"/>
        <v>495</v>
      </c>
      <c r="B497" s="33">
        <f t="shared" si="15"/>
        <v>42</v>
      </c>
      <c r="C497" s="5">
        <f>Model_30y!K497+Model_30y!AG497</f>
        <v>7205221.5327195656</v>
      </c>
      <c r="D497" s="5">
        <f>Model_15y!K497+Model_15y!AG497</f>
        <v>6808099.5350314695</v>
      </c>
      <c r="E497" s="2">
        <f>Model_Renter!N497+Model_Renter!O497</f>
        <v>9154281.0925488025</v>
      </c>
    </row>
    <row r="498" spans="1:5" x14ac:dyDescent="0.25">
      <c r="A498" s="31">
        <f t="shared" si="14"/>
        <v>496</v>
      </c>
      <c r="B498" s="33">
        <f t="shared" si="15"/>
        <v>42</v>
      </c>
      <c r="C498" s="5">
        <f>Model_30y!K498+Model_30y!AG498</f>
        <v>7248474.349512469</v>
      </c>
      <c r="D498" s="5">
        <f>Model_15y!K498+Model_15y!AG498</f>
        <v>6848643.5510307075</v>
      </c>
      <c r="E498" s="2">
        <f>Model_Renter!N498+Model_Renter!O498</f>
        <v>9218651.2264656648</v>
      </c>
    </row>
    <row r="499" spans="1:5" x14ac:dyDescent="0.25">
      <c r="A499" s="31">
        <f t="shared" si="14"/>
        <v>497</v>
      </c>
      <c r="B499" s="33">
        <f t="shared" si="15"/>
        <v>42</v>
      </c>
      <c r="C499" s="5">
        <f>Model_30y!K499+Model_30y!AG499</f>
        <v>7291986.6067700405</v>
      </c>
      <c r="D499" s="5">
        <f>Model_15y!K499+Model_15y!AG499</f>
        <v>6889428.5305485297</v>
      </c>
      <c r="E499" s="2">
        <f>Model_Renter!N499+Model_Renter!O499</f>
        <v>9283498.0160763487</v>
      </c>
    </row>
    <row r="500" spans="1:5" x14ac:dyDescent="0.25">
      <c r="A500" s="31">
        <f t="shared" si="14"/>
        <v>498</v>
      </c>
      <c r="B500" s="33">
        <f t="shared" si="15"/>
        <v>42</v>
      </c>
      <c r="C500" s="5">
        <f>Model_30y!K500+Model_30y!AG500</f>
        <v>7335759.9291564841</v>
      </c>
      <c r="D500" s="5">
        <f>Model_15y!K500+Model_15y!AG500</f>
        <v>6930455.9722164189</v>
      </c>
      <c r="E500" s="2">
        <f>Model_Renter!N500+Model_Renter!O500</f>
        <v>9348824.8658005651</v>
      </c>
    </row>
    <row r="501" spans="1:5" x14ac:dyDescent="0.25">
      <c r="A501" s="31">
        <f t="shared" si="14"/>
        <v>499</v>
      </c>
      <c r="B501" s="33">
        <f t="shared" si="15"/>
        <v>42</v>
      </c>
      <c r="C501" s="5">
        <f>Model_30y!K501+Model_30y!AG501</f>
        <v>7379795.9518272188</v>
      </c>
      <c r="D501" s="5">
        <f>Model_15y!K501+Model_15y!AG501</f>
        <v>6971727.3842973942</v>
      </c>
      <c r="E501" s="2">
        <f>Model_Renter!N501+Model_Renter!O501</f>
        <v>9414635.203903636</v>
      </c>
    </row>
    <row r="502" spans="1:5" x14ac:dyDescent="0.25">
      <c r="A502" s="31">
        <f t="shared" si="14"/>
        <v>500</v>
      </c>
      <c r="B502" s="33">
        <f t="shared" si="15"/>
        <v>42</v>
      </c>
      <c r="C502" s="5">
        <f>Model_30y!K502+Model_30y!AG502</f>
        <v>7424096.3204980381</v>
      </c>
      <c r="D502" s="5">
        <f>Model_15y!K502+Model_15y!AG502</f>
        <v>7013244.284749303</v>
      </c>
      <c r="E502" s="2">
        <f>Model_Renter!N502+Model_Renter!O502</f>
        <v>9480932.4826617073</v>
      </c>
    </row>
    <row r="503" spans="1:5" x14ac:dyDescent="0.25">
      <c r="A503" s="31">
        <f t="shared" si="14"/>
        <v>501</v>
      </c>
      <c r="B503" s="33">
        <f t="shared" si="15"/>
        <v>42</v>
      </c>
      <c r="C503" s="5">
        <f>Model_30y!K503+Model_30y!AG503</f>
        <v>7468662.6915147211</v>
      </c>
      <c r="D503" s="5">
        <f>Model_15y!K503+Model_15y!AG503</f>
        <v>7055008.2012885353</v>
      </c>
      <c r="E503" s="2">
        <f>Model_Renter!N503+Model_Renter!O503</f>
        <v>9547720.1785280667</v>
      </c>
    </row>
    <row r="504" spans="1:5" x14ac:dyDescent="0.25">
      <c r="A504" s="31">
        <f t="shared" si="14"/>
        <v>502</v>
      </c>
      <c r="B504" s="33">
        <f t="shared" si="15"/>
        <v>42</v>
      </c>
      <c r="C504" s="5">
        <f>Model_30y!K504+Model_30y!AG504</f>
        <v>7513496.7319231154</v>
      </c>
      <c r="D504" s="5">
        <f>Model_15y!K504+Model_15y!AG504</f>
        <v>7097020.6714541558</v>
      </c>
      <c r="E504" s="2">
        <f>Model_Renter!N504+Model_Renter!O504</f>
        <v>9615001.792300621</v>
      </c>
    </row>
    <row r="505" spans="1:5" x14ac:dyDescent="0.25">
      <c r="A505" s="31">
        <f t="shared" si="14"/>
        <v>503</v>
      </c>
      <c r="B505" s="33">
        <f t="shared" si="15"/>
        <v>42</v>
      </c>
      <c r="C505" s="5">
        <f>Model_30y!K505+Model_30y!AG505</f>
        <v>7558600.1195396911</v>
      </c>
      <c r="D505" s="5">
        <f>Model_15y!K505+Model_15y!AG505</f>
        <v>7139283.2426724732</v>
      </c>
      <c r="E505" s="2">
        <f>Model_Renter!N505+Model_Renter!O505</f>
        <v>9682780.8492905367</v>
      </c>
    </row>
    <row r="506" spans="1:5" x14ac:dyDescent="0.25">
      <c r="A506" s="31">
        <f t="shared" si="14"/>
        <v>504</v>
      </c>
      <c r="B506" s="33">
        <f t="shared" si="15"/>
        <v>42</v>
      </c>
      <c r="C506" s="5">
        <f>Model_30y!K506+Model_30y!AG506</f>
        <v>7603974.5430225534</v>
      </c>
      <c r="D506" s="5">
        <f>Model_15y!K506+Model_15y!AG506</f>
        <v>7181797.4723220374</v>
      </c>
      <c r="E506" s="2">
        <f>Model_Renter!N506+Model_Renter!O506</f>
        <v>9751060.8994920161</v>
      </c>
    </row>
    <row r="507" spans="1:5" x14ac:dyDescent="0.25">
      <c r="A507" s="31">
        <f t="shared" si="14"/>
        <v>505</v>
      </c>
      <c r="B507" s="33">
        <f t="shared" si="15"/>
        <v>43</v>
      </c>
      <c r="C507" s="5">
        <f>Model_30y!K507+Model_30y!AG507</f>
        <v>7649621.7019429477</v>
      </c>
      <c r="D507" s="5">
        <f>Model_15y!K507+Model_15y!AG507</f>
        <v>7224564.92779906</v>
      </c>
      <c r="E507" s="2">
        <f>Model_Renter!N507+Model_Renter!O507</f>
        <v>9819497.330662217</v>
      </c>
    </row>
    <row r="508" spans="1:5" x14ac:dyDescent="0.25">
      <c r="A508" s="31">
        <f t="shared" si="14"/>
        <v>506</v>
      </c>
      <c r="B508" s="33">
        <f t="shared" si="15"/>
        <v>43</v>
      </c>
      <c r="C508" s="5">
        <f>Model_30y!K508+Model_30y!AG508</f>
        <v>7695543.3068572246</v>
      </c>
      <c r="D508" s="5">
        <f>Model_15y!K508+Model_15y!AG508</f>
        <v>7267587.1865832899</v>
      </c>
      <c r="E508" s="2">
        <f>Model_Renter!N508+Model_Renter!O508</f>
        <v>9888439.5547546335</v>
      </c>
    </row>
    <row r="509" spans="1:5" x14ac:dyDescent="0.25">
      <c r="A509" s="31">
        <f t="shared" ref="A509:A542" si="16">A508+1</f>
        <v>507</v>
      </c>
      <c r="B509" s="33">
        <f t="shared" si="15"/>
        <v>43</v>
      </c>
      <c r="C509" s="5">
        <f>Model_30y!K509+Model_30y!AG509</f>
        <v>7741741.0793793015</v>
      </c>
      <c r="D509" s="5">
        <f>Model_15y!K509+Model_15y!AG509</f>
        <v>7310865.8363043107</v>
      </c>
      <c r="E509" s="2">
        <f>Model_Renter!N509+Model_Renter!O509</f>
        <v>9957891.1806429159</v>
      </c>
    </row>
    <row r="510" spans="1:5" x14ac:dyDescent="0.25">
      <c r="A510" s="31">
        <f t="shared" si="16"/>
        <v>508</v>
      </c>
      <c r="B510" s="33">
        <f t="shared" si="15"/>
        <v>43</v>
      </c>
      <c r="C510" s="5">
        <f>Model_30y!K510+Model_30y!AG510</f>
        <v>7788216.7522535902</v>
      </c>
      <c r="D510" s="5">
        <f>Model_15y!K510+Model_15y!AG510</f>
        <v>7354402.4748082869</v>
      </c>
      <c r="E510" s="2">
        <f>Model_Renter!N510+Model_Renter!O510</f>
        <v>10027855.842464183</v>
      </c>
    </row>
    <row r="511" spans="1:5" x14ac:dyDescent="0.25">
      <c r="A511" s="31">
        <f t="shared" si="16"/>
        <v>509</v>
      </c>
      <c r="B511" s="33">
        <f t="shared" si="15"/>
        <v>43</v>
      </c>
      <c r="C511" s="5">
        <f>Model_30y!K511+Model_30y!AG511</f>
        <v>7834972.0694284346</v>
      </c>
      <c r="D511" s="5">
        <f>Model_15y!K511+Model_15y!AG511</f>
        <v>7398198.710225163</v>
      </c>
      <c r="E511" s="2">
        <f>Model_Renter!N511+Model_Renter!O511</f>
        <v>10098337.199793976</v>
      </c>
    </row>
    <row r="512" spans="1:5" x14ac:dyDescent="0.25">
      <c r="A512" s="31">
        <f t="shared" si="16"/>
        <v>510</v>
      </c>
      <c r="B512" s="33">
        <f t="shared" si="15"/>
        <v>43</v>
      </c>
      <c r="C512" s="5">
        <f>Model_30y!K512+Model_30y!AG512</f>
        <v>7882008.7861300204</v>
      </c>
      <c r="D512" s="5">
        <f>Model_15y!K512+Model_15y!AG512</f>
        <v>7442256.161036293</v>
      </c>
      <c r="E512" s="2">
        <f>Model_Renter!N512+Model_Renter!O512</f>
        <v>10169338.937822431</v>
      </c>
    </row>
    <row r="513" spans="1:5" x14ac:dyDescent="0.25">
      <c r="A513" s="31">
        <f t="shared" si="16"/>
        <v>511</v>
      </c>
      <c r="B513" s="33">
        <f t="shared" si="15"/>
        <v>43</v>
      </c>
      <c r="C513" s="5">
        <f>Model_30y!K513+Model_30y!AG513</f>
        <v>7929328.6689367834</v>
      </c>
      <c r="D513" s="5">
        <f>Model_15y!K513+Model_15y!AG513</f>
        <v>7486576.4561425382</v>
      </c>
      <c r="E513" s="2">
        <f>Model_Renter!N513+Model_Renter!O513</f>
        <v>10240864.767531654</v>
      </c>
    </row>
    <row r="514" spans="1:5" x14ac:dyDescent="0.25">
      <c r="A514" s="31">
        <f t="shared" si="16"/>
        <v>512</v>
      </c>
      <c r="B514" s="33">
        <f t="shared" si="15"/>
        <v>43</v>
      </c>
      <c r="C514" s="5">
        <f>Model_30y!K514+Model_30y!AG514</f>
        <v>7976933.4958543237</v>
      </c>
      <c r="D514" s="5">
        <f>Model_15y!K514+Model_15y!AG514</f>
        <v>7531161.234932811</v>
      </c>
      <c r="E514" s="2">
        <f>Model_Renter!N514+Model_Renter!O514</f>
        <v>10312918.425874311</v>
      </c>
    </row>
    <row r="515" spans="1:5" x14ac:dyDescent="0.25">
      <c r="A515" s="31">
        <f t="shared" si="16"/>
        <v>513</v>
      </c>
      <c r="B515" s="33">
        <f t="shared" si="15"/>
        <v>43</v>
      </c>
      <c r="C515" s="5">
        <f>Model_30y!K515+Model_30y!AG515</f>
        <v>8024825.0563908033</v>
      </c>
      <c r="D515" s="5">
        <f>Model_15y!K515+Model_15y!AG515</f>
        <v>7576012.1473530754</v>
      </c>
      <c r="E515" s="2">
        <f>Model_Renter!N515+Model_Renter!O515</f>
        <v>10385503.675953465</v>
      </c>
    </row>
    <row r="516" spans="1:5" x14ac:dyDescent="0.25">
      <c r="A516" s="31">
        <f t="shared" si="16"/>
        <v>514</v>
      </c>
      <c r="B516" s="33">
        <f t="shared" ref="B516:B542" si="17">ROUNDUP(A516/12, 0)</f>
        <v>43</v>
      </c>
      <c r="C516" s="5">
        <f>Model_30y!K516+Model_30y!AG516</f>
        <v>8073005.1516328724</v>
      </c>
      <c r="D516" s="5">
        <f>Model_15y!K516+Model_15y!AG516</f>
        <v>7621130.8539758138</v>
      </c>
      <c r="E516" s="2">
        <f>Model_Renter!N516+Model_Renter!O516</f>
        <v>10458624.307203632</v>
      </c>
    </row>
    <row r="517" spans="1:5" x14ac:dyDescent="0.25">
      <c r="A517" s="31">
        <f t="shared" si="16"/>
        <v>515</v>
      </c>
      <c r="B517" s="33">
        <f t="shared" si="17"/>
        <v>43</v>
      </c>
      <c r="C517" s="5">
        <f>Model_30y!K517+Model_30y!AG517</f>
        <v>8121475.5943220779</v>
      </c>
      <c r="D517" s="5">
        <f>Model_15y!K517+Model_15y!AG517</f>
        <v>7666519.0260699475</v>
      </c>
      <c r="E517" s="2">
        <f>Model_Renter!N517+Model_Renter!O517</f>
        <v>10532284.135573098</v>
      </c>
    </row>
    <row r="518" spans="1:5" x14ac:dyDescent="0.25">
      <c r="A518" s="31">
        <f t="shared" si="16"/>
        <v>516</v>
      </c>
      <c r="B518" s="33">
        <f t="shared" si="17"/>
        <v>43</v>
      </c>
      <c r="C518" s="5">
        <f>Model_30y!K518+Model_30y!AG518</f>
        <v>8170238.208931799</v>
      </c>
      <c r="D518" s="5">
        <f>Model_15y!K518+Model_15y!AG518</f>
        <v>7712178.3456712347</v>
      </c>
      <c r="E518" s="2">
        <f>Model_Renter!N518+Model_Renter!O518</f>
        <v>10606487.003707478</v>
      </c>
    </row>
    <row r="519" spans="1:5" x14ac:dyDescent="0.25">
      <c r="A519" s="31">
        <f t="shared" si="16"/>
        <v>517</v>
      </c>
      <c r="B519" s="33">
        <f t="shared" si="17"/>
        <v>44</v>
      </c>
      <c r="C519" s="5">
        <f>Model_30y!K519+Model_30y!AG519</f>
        <v>8219294.8317446876</v>
      </c>
      <c r="D519" s="5">
        <f>Model_15y!K519+Model_15y!AG519</f>
        <v>7758110.505653128</v>
      </c>
      <c r="E519" s="2">
        <f>Model_Renter!N519+Model_Renter!O519</f>
        <v>10680877.084714094</v>
      </c>
    </row>
    <row r="520" spans="1:5" x14ac:dyDescent="0.25">
      <c r="A520" s="31">
        <f t="shared" si="16"/>
        <v>518</v>
      </c>
      <c r="B520" s="33">
        <f t="shared" si="17"/>
        <v>44</v>
      </c>
      <c r="C520" s="5">
        <f>Model_30y!K520+Model_30y!AG520</f>
        <v>8268647.3109306358</v>
      </c>
      <c r="D520" s="5">
        <f>Model_15y!K520+Model_15y!AG520</f>
        <v>7804317.2097981181</v>
      </c>
      <c r="E520" s="2">
        <f>Model_Renter!N520+Model_Renter!O520</f>
        <v>10755815.518091485</v>
      </c>
    </row>
    <row r="521" spans="1:5" x14ac:dyDescent="0.25">
      <c r="A521" s="31">
        <f t="shared" si="16"/>
        <v>519</v>
      </c>
      <c r="B521" s="33">
        <f t="shared" si="17"/>
        <v>44</v>
      </c>
      <c r="C521" s="5">
        <f>Model_30y!K521+Model_30y!AG521</f>
        <v>8318297.5066252574</v>
      </c>
      <c r="D521" s="5">
        <f>Model_15y!K521+Model_15y!AG521</f>
        <v>7850800.1728695333</v>
      </c>
      <c r="E521" s="2">
        <f>Model_Renter!N521+Model_Renter!O521</f>
        <v>10831306.210955685</v>
      </c>
    </row>
    <row r="522" spans="1:5" x14ac:dyDescent="0.25">
      <c r="A522" s="31">
        <f t="shared" si="16"/>
        <v>520</v>
      </c>
      <c r="B522" s="33">
        <f t="shared" si="17"/>
        <v>44</v>
      </c>
      <c r="C522" s="5">
        <f>Model_30y!K522+Model_30y!AG522</f>
        <v>8368247.2910088962</v>
      </c>
      <c r="D522" s="5">
        <f>Model_15y!K522+Model_15y!AG522</f>
        <v>7897561.1206838395</v>
      </c>
      <c r="E522" s="2">
        <f>Model_Renter!N522+Model_Renter!O522</f>
        <v>10907353.097752877</v>
      </c>
    </row>
    <row r="523" spans="1:5" x14ac:dyDescent="0.25">
      <c r="A523" s="31">
        <f t="shared" si="16"/>
        <v>521</v>
      </c>
      <c r="B523" s="33">
        <f t="shared" si="17"/>
        <v>44</v>
      </c>
      <c r="C523" s="5">
        <f>Model_30y!K523+Model_30y!AG523</f>
        <v>8418498.5483861603</v>
      </c>
      <c r="D523" s="5">
        <f>Model_15y!K523+Model_15y!AG523</f>
        <v>7944601.7901834082</v>
      </c>
      <c r="E523" s="2">
        <f>Model_Renter!N523+Model_Renter!O523</f>
        <v>10983960.140448594</v>
      </c>
    </row>
    <row r="524" spans="1:5" x14ac:dyDescent="0.25">
      <c r="A524" s="31">
        <f t="shared" si="16"/>
        <v>522</v>
      </c>
      <c r="B524" s="33">
        <f t="shared" si="17"/>
        <v>44</v>
      </c>
      <c r="C524" s="5">
        <f>Model_30y!K524+Model_30y!AG524</f>
        <v>8469053.1752659976</v>
      </c>
      <c r="D524" s="5">
        <f>Model_15y!K524+Model_15y!AG524</f>
        <v>7991923.9295097776</v>
      </c>
      <c r="E524" s="2">
        <f>Model_Renter!N524+Model_Renter!O524</f>
        <v>11061131.328718198</v>
      </c>
    </row>
    <row r="525" spans="1:5" x14ac:dyDescent="0.25">
      <c r="A525" s="31">
        <f t="shared" si="16"/>
        <v>523</v>
      </c>
      <c r="B525" s="33">
        <f t="shared" si="17"/>
        <v>44</v>
      </c>
      <c r="C525" s="5">
        <f>Model_30y!K525+Model_30y!AG525</f>
        <v>8519913.0804422926</v>
      </c>
      <c r="D525" s="5">
        <f>Model_15y!K525+Model_15y!AG525</f>
        <v>8039529.2980773989</v>
      </c>
      <c r="E525" s="2">
        <f>Model_Renter!N525+Model_Renter!O525</f>
        <v>11138870.68013869</v>
      </c>
    </row>
    <row r="526" spans="1:5" x14ac:dyDescent="0.25">
      <c r="A526" s="31">
        <f t="shared" si="16"/>
        <v>524</v>
      </c>
      <c r="B526" s="33">
        <f t="shared" si="17"/>
        <v>44</v>
      </c>
      <c r="C526" s="5">
        <f>Model_30y!K526+Model_30y!AG526</f>
        <v>8571080.1850750148</v>
      </c>
      <c r="D526" s="5">
        <f>Model_15y!K526+Model_15y!AG526</f>
        <v>8087419.6666478794</v>
      </c>
      <c r="E526" s="2">
        <f>Model_Renter!N526+Model_Renter!O526</f>
        <v>11217182.240381826</v>
      </c>
    </row>
    <row r="527" spans="1:5" x14ac:dyDescent="0.25">
      <c r="A527" s="31">
        <f t="shared" si="16"/>
        <v>525</v>
      </c>
      <c r="B527" s="33">
        <f t="shared" si="17"/>
        <v>44</v>
      </c>
      <c r="C527" s="5">
        <f>Model_30y!K527+Model_30y!AG527</f>
        <v>8622556.4227719009</v>
      </c>
      <c r="D527" s="5">
        <f>Model_15y!K527+Model_15y!AG527</f>
        <v>8135596.8174047126</v>
      </c>
      <c r="E527" s="2">
        <f>Model_Renter!N527+Model_Renter!O527</f>
        <v>11296070.083408566</v>
      </c>
    </row>
    <row r="528" spans="1:5" x14ac:dyDescent="0.25">
      <c r="A528" s="31">
        <f t="shared" si="16"/>
        <v>526</v>
      </c>
      <c r="B528" s="33">
        <f t="shared" si="17"/>
        <v>44</v>
      </c>
      <c r="C528" s="5">
        <f>Model_30y!K528+Model_30y!AG528</f>
        <v>8674343.7396706846</v>
      </c>
      <c r="D528" s="5">
        <f>Model_15y!K528+Model_15y!AG528</f>
        <v>8184062.5440285169</v>
      </c>
      <c r="E528" s="2">
        <f>Model_Renter!N528+Model_Renter!O528</f>
        <v>11375538.311664872</v>
      </c>
    </row>
    <row r="529" spans="1:5" x14ac:dyDescent="0.25">
      <c r="A529" s="31">
        <f t="shared" si="16"/>
        <v>527</v>
      </c>
      <c r="B529" s="33">
        <f t="shared" si="17"/>
        <v>44</v>
      </c>
      <c r="C529" s="5">
        <f>Model_30y!K529+Model_30y!AG529</f>
        <v>8726444.0945218895</v>
      </c>
      <c r="D529" s="5">
        <f>Model_15y!K529+Model_15y!AG529</f>
        <v>8232818.651772772</v>
      </c>
      <c r="E529" s="2">
        <f>Model_Renter!N529+Model_Renter!O529</f>
        <v>11455591.056278825</v>
      </c>
    </row>
    <row r="530" spans="1:5" x14ac:dyDescent="0.25">
      <c r="A530" s="31">
        <f t="shared" si="16"/>
        <v>528</v>
      </c>
      <c r="B530" s="33">
        <f t="shared" si="17"/>
        <v>44</v>
      </c>
      <c r="C530" s="5">
        <f>Model_30y!K530+Model_30y!AG530</f>
        <v>8778859.4587721527</v>
      </c>
      <c r="D530" s="5">
        <f>Model_15y!K530+Model_15y!AG530</f>
        <v>8281866.9575400576</v>
      </c>
      <c r="E530" s="2">
        <f>Model_Renter!N530+Model_Renter!O530</f>
        <v>11536232.477259137</v>
      </c>
    </row>
    <row r="531" spans="1:5" x14ac:dyDescent="0.25">
      <c r="A531" s="31">
        <f t="shared" si="16"/>
        <v>529</v>
      </c>
      <c r="B531" s="33">
        <f t="shared" si="17"/>
        <v>45</v>
      </c>
      <c r="C531" s="5">
        <f>Model_30y!K531+Model_30y!AG531</f>
        <v>8831591.8166481219</v>
      </c>
      <c r="D531" s="5">
        <f>Model_15y!K531+Model_15y!AG531</f>
        <v>8331209.2899588114</v>
      </c>
      <c r="E531" s="2">
        <f>Model_Renter!N531+Model_Renter!O531</f>
        <v>11617095.203139601</v>
      </c>
    </row>
    <row r="532" spans="1:5" x14ac:dyDescent="0.25">
      <c r="A532" s="31">
        <f t="shared" si="16"/>
        <v>530</v>
      </c>
      <c r="B532" s="33">
        <f t="shared" si="17"/>
        <v>45</v>
      </c>
      <c r="C532" s="5">
        <f>Model_30y!K532+Model_30y!AG532</f>
        <v>8884643.1652409155</v>
      </c>
      <c r="D532" s="5">
        <f>Model_15y!K532+Model_15y!AG532</f>
        <v>8380847.4894605856</v>
      </c>
      <c r="E532" s="2">
        <f>Model_Renter!N532+Model_Renter!O532</f>
        <v>11698552.478402339</v>
      </c>
    </row>
    <row r="533" spans="1:5" x14ac:dyDescent="0.25">
      <c r="A533" s="31">
        <f t="shared" si="16"/>
        <v>531</v>
      </c>
      <c r="B533" s="33">
        <f t="shared" si="17"/>
        <v>45</v>
      </c>
      <c r="C533" s="5">
        <f>Model_30y!K533+Model_30y!AG533</f>
        <v>8938015.5145911332</v>
      </c>
      <c r="D533" s="5">
        <f>Model_15y!K533+Model_15y!AG533</f>
        <v>8430783.4083578344</v>
      </c>
      <c r="E533" s="2">
        <f>Model_Renter!N533+Model_Renter!O533</f>
        <v>11780608.533614924</v>
      </c>
    </row>
    <row r="534" spans="1:5" x14ac:dyDescent="0.25">
      <c r="A534" s="31">
        <f t="shared" si="16"/>
        <v>532</v>
      </c>
      <c r="B534" s="33">
        <f t="shared" si="17"/>
        <v>45</v>
      </c>
      <c r="C534" s="5">
        <f>Model_30y!K534+Model_30y!AG534</f>
        <v>8991710.8877744507</v>
      </c>
      <c r="D534" s="5">
        <f>Model_15y!K534+Model_15y!AG534</f>
        <v>8481018.9109222088</v>
      </c>
      <c r="E534" s="2">
        <f>Model_Renter!N534+Model_Renter!O534</f>
        <v>11863267.628915334</v>
      </c>
    </row>
    <row r="535" spans="1:5" x14ac:dyDescent="0.25">
      <c r="A535" s="31">
        <f t="shared" si="16"/>
        <v>533</v>
      </c>
      <c r="B535" s="33">
        <f t="shared" si="17"/>
        <v>45</v>
      </c>
      <c r="C535" s="5">
        <f>Model_30y!K535+Model_30y!AG535</f>
        <v>9045731.3209877796</v>
      </c>
      <c r="D535" s="5">
        <f>Model_15y!K535+Model_15y!AG535</f>
        <v>8531555.8734633774</v>
      </c>
      <c r="E535" s="2">
        <f>Model_Renter!N535+Model_Renter!O535</f>
        <v>11946534.054216575</v>
      </c>
    </row>
    <row r="536" spans="1:5" x14ac:dyDescent="0.25">
      <c r="A536" s="31">
        <f t="shared" si="16"/>
        <v>534</v>
      </c>
      <c r="B536" s="33">
        <f t="shared" si="17"/>
        <v>45</v>
      </c>
      <c r="C536" s="5">
        <f>Model_30y!K536+Model_30y!AG536</f>
        <v>9100078.8636359982</v>
      </c>
      <c r="D536" s="5">
        <f>Model_15y!K536+Model_15y!AG536</f>
        <v>8582396.1844083779</v>
      </c>
      <c r="E536" s="2">
        <f>Model_Renter!N536+Model_Renter!O536</f>
        <v>12030412.12941269</v>
      </c>
    </row>
    <row r="537" spans="1:5" x14ac:dyDescent="0.25">
      <c r="A537" s="31">
        <f t="shared" si="16"/>
        <v>535</v>
      </c>
      <c r="B537" s="33">
        <f t="shared" si="17"/>
        <v>45</v>
      </c>
      <c r="C537" s="5">
        <f>Model_30y!K537+Model_30y!AG537</f>
        <v>9154755.5784192849</v>
      </c>
      <c r="D537" s="5">
        <f>Model_15y!K537+Model_15y!AG537</f>
        <v>8633541.7443814985</v>
      </c>
      <c r="E537" s="2">
        <f>Model_Renter!N537+Model_Renter!O537</f>
        <v>12114906.204586195</v>
      </c>
    </row>
    <row r="538" spans="1:5" x14ac:dyDescent="0.25">
      <c r="A538" s="31">
        <f t="shared" si="16"/>
        <v>536</v>
      </c>
      <c r="B538" s="33">
        <f t="shared" si="17"/>
        <v>45</v>
      </c>
      <c r="C538" s="5">
        <f>Model_30y!K538+Model_30y!AG538</f>
        <v>9209763.5414209999</v>
      </c>
      <c r="D538" s="5">
        <f>Model_15y!K538+Model_15y!AG538</f>
        <v>8684994.466284683</v>
      </c>
      <c r="E538" s="2">
        <f>Model_Renter!N538+Model_Renter!O538</f>
        <v>12200020.660216928</v>
      </c>
    </row>
    <row r="539" spans="1:5" x14ac:dyDescent="0.25">
      <c r="A539" s="31">
        <f t="shared" si="16"/>
        <v>537</v>
      </c>
      <c r="B539" s="33">
        <f t="shared" si="17"/>
        <v>45</v>
      </c>
      <c r="C539" s="5">
        <f>Model_30y!K539+Model_30y!AG539</f>
        <v>9265104.8421961926</v>
      </c>
      <c r="D539" s="5">
        <f>Model_15y!K539+Model_15y!AG539</f>
        <v>8736756.275378488</v>
      </c>
      <c r="E539" s="2">
        <f>Model_Renter!N539+Model_Renter!O539</f>
        <v>12285759.90739236</v>
      </c>
    </row>
    <row r="540" spans="1:5" x14ac:dyDescent="0.25">
      <c r="A540" s="31">
        <f t="shared" si="16"/>
        <v>538</v>
      </c>
      <c r="B540" s="33">
        <f t="shared" si="17"/>
        <v>45</v>
      </c>
      <c r="C540" s="5">
        <f>Model_30y!K540+Model_30y!AG540</f>
        <v>9320781.5838606711</v>
      </c>
      <c r="D540" s="5">
        <f>Model_15y!K540+Model_15y!AG540</f>
        <v>8788829.1093635634</v>
      </c>
      <c r="E540" s="2">
        <f>Model_Renter!N540+Model_Renter!O540</f>
        <v>12372128.388019335</v>
      </c>
    </row>
    <row r="541" spans="1:5" x14ac:dyDescent="0.25">
      <c r="A541" s="31">
        <f t="shared" si="16"/>
        <v>539</v>
      </c>
      <c r="B541" s="33">
        <f t="shared" si="17"/>
        <v>45</v>
      </c>
      <c r="C541" s="5">
        <f>Model_30y!K541+Model_30y!AG541</f>
        <v>9376795.8831806947</v>
      </c>
      <c r="D541" s="5">
        <f>Model_15y!K541+Model_15y!AG541</f>
        <v>8841214.9184627011</v>
      </c>
      <c r="E541" s="2">
        <f>Model_Renter!N541+Model_Renter!O541</f>
        <v>12459130.575037261</v>
      </c>
    </row>
    <row r="542" spans="1:5" x14ac:dyDescent="0.25">
      <c r="A542" s="31">
        <f t="shared" si="16"/>
        <v>540</v>
      </c>
      <c r="B542" s="33">
        <f t="shared" si="17"/>
        <v>45</v>
      </c>
      <c r="C542" s="5">
        <f>Model_30y!K542+Model_30y!AG542</f>
        <v>9433149.8706632387</v>
      </c>
      <c r="D542" s="5">
        <f>Model_15y!K542+Model_15y!AG542</f>
        <v>8893915.6655033994</v>
      </c>
      <c r="E542" s="2">
        <f>Model_Renter!N542+Model_Renter!O542</f>
        <v>12546770.972632786</v>
      </c>
    </row>
  </sheetData>
  <sheetProtection algorithmName="SHA-512" hashValue="KccdiCkbg7HQfPua8WxMfkec/cf9b4KISPjsLy1ZdiGzlmsfAPsT6we6OQ8SXPj7bV6bisrpPdHjnX7jcvyBNw==" saltValue="WXcSOaVt6hPA/pxD383/0g==" spinCount="100000"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A9D7B-2273-4EB7-8D94-A5D3ED332229}">
  <sheetPr>
    <tabColor rgb="FFC00000"/>
  </sheetPr>
  <dimension ref="A1:T545"/>
  <sheetViews>
    <sheetView workbookViewId="0"/>
  </sheetViews>
  <sheetFormatPr defaultRowHeight="15" x14ac:dyDescent="0.25"/>
  <cols>
    <col min="1" max="3" width="14.28515625" customWidth="1"/>
    <col min="4" max="4" width="14.28515625" bestFit="1" customWidth="1"/>
    <col min="6" max="6" width="9.140625" style="17"/>
    <col min="7" max="8" width="14.28515625" customWidth="1"/>
    <col min="9" max="9" width="14.28515625" bestFit="1" customWidth="1"/>
    <col min="11" max="11" width="9.140625" style="17"/>
    <col min="12" max="13" width="14.28515625" customWidth="1"/>
    <col min="14" max="14" width="14.28515625" bestFit="1" customWidth="1"/>
    <col min="16" max="16" width="9.140625" style="17"/>
    <col min="18" max="18" width="11.5703125" bestFit="1" customWidth="1"/>
  </cols>
  <sheetData>
    <row r="1" spans="1:20" ht="30" x14ac:dyDescent="0.25">
      <c r="A1" s="32" t="s">
        <v>0</v>
      </c>
      <c r="B1" s="19" t="s">
        <v>32</v>
      </c>
      <c r="C1" s="18" t="s">
        <v>28</v>
      </c>
      <c r="D1" s="18" t="s">
        <v>66</v>
      </c>
      <c r="E1" s="18" t="s">
        <v>24</v>
      </c>
      <c r="F1" s="18" t="s">
        <v>67</v>
      </c>
      <c r="G1" s="19" t="s">
        <v>30</v>
      </c>
      <c r="H1" s="18" t="s">
        <v>28</v>
      </c>
      <c r="I1" s="18" t="s">
        <v>66</v>
      </c>
      <c r="J1" s="18" t="s">
        <v>24</v>
      </c>
      <c r="K1" s="18" t="s">
        <v>67</v>
      </c>
      <c r="L1" s="19" t="s">
        <v>31</v>
      </c>
      <c r="M1" s="18" t="s">
        <v>28</v>
      </c>
      <c r="N1" s="18" t="s">
        <v>66</v>
      </c>
      <c r="O1" s="18" t="s">
        <v>24</v>
      </c>
      <c r="P1" s="18" t="s">
        <v>67</v>
      </c>
    </row>
    <row r="2" spans="1:20" x14ac:dyDescent="0.25">
      <c r="A2" s="33">
        <v>0</v>
      </c>
      <c r="B2" s="23">
        <f>SUMIFS(Model_30y!$AJ:$AJ, Model_30y!$B:$B, IRR_Calculations!$A2)</f>
        <v>-99884</v>
      </c>
      <c r="C2" s="2">
        <f>_xlfn.XLOOKUP($A2, Net_Worth_Calculations!$B:$B,Net_Worth_Calculations!$C:$C, 0, 0, -1)</f>
        <v>85000</v>
      </c>
      <c r="D2" s="100">
        <f>B2+C2</f>
        <v>-14884</v>
      </c>
      <c r="E2" s="99">
        <v>0</v>
      </c>
      <c r="F2" s="101">
        <v>1</v>
      </c>
      <c r="G2" s="23">
        <f>SUMIFS(Model_15y!$AJ:$AJ, Model_15y!$B:$B, IRR_Calculations!$A2)</f>
        <v>-99884</v>
      </c>
      <c r="H2" s="2">
        <f>_xlfn.XLOOKUP($A2, Net_Worth_Calculations!$B:$B,Net_Worth_Calculations!$D:$D, 0, 0, -1)</f>
        <v>85000</v>
      </c>
      <c r="I2" s="100">
        <f>G2+H2</f>
        <v>-14884</v>
      </c>
      <c r="J2" s="99">
        <v>0</v>
      </c>
      <c r="K2" s="101">
        <v>1</v>
      </c>
      <c r="L2" s="23">
        <f>SUMIFS(Model_Renter!P:P, Model_Renter!$B:$B,$A2)</f>
        <v>-111571.5</v>
      </c>
      <c r="M2" s="2">
        <f>_xlfn.XLOOKUP($A2, Net_Worth_Calculations!$B:$B,Net_Worth_Calculations!E:E, 0, 0, -1)</f>
        <v>111571.5</v>
      </c>
      <c r="N2" s="100">
        <f t="shared" ref="N2:N47" si="0">L2+M2</f>
        <v>0</v>
      </c>
      <c r="O2" s="99">
        <v>0</v>
      </c>
      <c r="P2" s="101">
        <v>1</v>
      </c>
      <c r="R2" s="5"/>
      <c r="S2" s="29"/>
    </row>
    <row r="3" spans="1:20" x14ac:dyDescent="0.25">
      <c r="A3" s="33">
        <f>A2+1</f>
        <v>1</v>
      </c>
      <c r="B3" s="23">
        <f>SUMIFS(Model_30y!$AJ:$AJ, Model_30y!$B:$B, IRR_Calculations!$A3)</f>
        <v>-1211.7498235064209</v>
      </c>
      <c r="C3" s="2">
        <f>_xlfn.XLOOKUP($A3, Net_Worth_Calculations!$B:$B,Net_Worth_Calculations!$C:$C, 0, 0, -1)</f>
        <v>121448.51344790851</v>
      </c>
      <c r="D3" s="100">
        <f>B3+C3</f>
        <v>120236.76362440208</v>
      </c>
      <c r="E3" s="99" cm="1">
        <f t="array" ref="E3">_xlfn.LET(
    _xlpm.k, ROW()-1,
    _xlpm.baseFlows, $B$2:INDEX($B$2:$B$47, _xlpm.k-1),
    _xlpm.lastCF, INDEX($B$2:$B$47, _xlpm.k) + INDEX($C$2:$C$47, _xlpm.k),
    IRR(_xlfn.VSTACK(_xlpm.baseFlows, _xlpm.lastCF))
)</f>
        <v>0.20376400248690563</v>
      </c>
      <c r="F3" s="101">
        <v>1</v>
      </c>
      <c r="G3" s="23">
        <f>SUMIFS(Model_15y!$AJ:$AJ, Model_15y!$B:$B, IRR_Calculations!$A3)</f>
        <v>-1211.7498235064209</v>
      </c>
      <c r="H3" s="2">
        <f>_xlfn.XLOOKUP($A3, Net_Worth_Calculations!$B:$B,Net_Worth_Calculations!$D:$D, 0, 0, -1)</f>
        <v>123884.93204922938</v>
      </c>
      <c r="I3" s="100">
        <f>G3+H3</f>
        <v>122673.18222572295</v>
      </c>
      <c r="J3" s="99" cm="1">
        <f t="array" ref="J3">_xlfn.LET(
    _xlpm.k, ROW()-1,
    _xlpm.baseFlows, $G$2:INDEX($G$2:$G$47, _xlpm.k-1),
    _xlpm.lastCF, INDEX($G$2:$G$47, _xlpm.k) + INDEX($H$2:$H$47, _xlpm.k),
    IRR(_xlfn.VSTACK(_xlpm.baseFlows, _xlpm.lastCF))
)</f>
        <v>0.22815648377841247</v>
      </c>
      <c r="K3" s="101">
        <v>1</v>
      </c>
      <c r="L3" s="23">
        <f>SUMIFS(Model_Renter!P:P, Model_Renter!$B:$B,$A3)</f>
        <v>-20058.52558259443</v>
      </c>
      <c r="M3" s="2">
        <f>_xlfn.XLOOKUP($A3, Net_Worth_Calculations!$B:$B,Net_Worth_Calculations!E:E, 0, 0, -1)</f>
        <v>141353.4398455233</v>
      </c>
      <c r="N3" s="100">
        <f t="shared" si="0"/>
        <v>121294.91426292887</v>
      </c>
      <c r="O3" s="99" cm="1">
        <f t="array" ref="O3">_xlfn.LET(
    _xlpm.k, ROW()-1,
    _xlpm.baseFlows, $L$2:INDEX($L$2:$L$47, _xlpm.k-1),
    _xlpm.lastCF, INDEX($L$2:$L$47, _xlpm.k) + INDEX($M$2:$M$47, _xlpm.k),
    IRR(_xlfn.VSTACK(_xlpm.baseFlows, _xlpm.lastCF))
)</f>
        <v>8.7149623899731132E-2</v>
      </c>
      <c r="P3" s="101">
        <v>1</v>
      </c>
      <c r="R3" s="5"/>
    </row>
    <row r="4" spans="1:20" x14ac:dyDescent="0.25">
      <c r="A4" s="33">
        <f t="shared" ref="A4:A47" si="1">A3+1</f>
        <v>2</v>
      </c>
      <c r="B4" s="23">
        <f>SUMIFS(Model_30y!$AJ:$AJ, Model_30y!$B:$B, IRR_Calculations!$A4)</f>
        <v>-964.29168870095555</v>
      </c>
      <c r="C4" s="2">
        <f>_xlfn.XLOOKUP($A4, Net_Worth_Calculations!$B:$B,Net_Worth_Calculations!$C:$C, 0, 0, -1)</f>
        <v>160154.83630461013</v>
      </c>
      <c r="D4" s="100">
        <f t="shared" ref="D4:D47" si="2">B4+C4</f>
        <v>159190.54461590917</v>
      </c>
      <c r="E4" s="99" cm="1">
        <f t="array" ref="E4">_xlfn.LET(
    _xlpm.k, ROW()-1,
    _xlpm.baseFlows, $B$2:INDEX($B$2:$B$47, _xlpm.k-1),
    _xlpm.lastCF, INDEX($B$2:$B$47, _xlpm.k) + INDEX($C$2:$C$47, _xlpm.k),
    IRR(_xlfn.VSTACK(_xlpm.baseFlows, _xlpm.lastCF))
)</f>
        <v>0.25638856811654032</v>
      </c>
      <c r="F4" s="101">
        <v>1</v>
      </c>
      <c r="G4" s="23">
        <f>SUMIFS(Model_15y!$AJ:$AJ, Model_15y!$B:$B, IRR_Calculations!$A4)</f>
        <v>-964.29168870095555</v>
      </c>
      <c r="H4" s="2">
        <f>_xlfn.XLOOKUP($A4, Net_Worth_Calculations!$B:$B,Net_Worth_Calculations!$D:$D, 0, 0, -1)</f>
        <v>164831.22063962332</v>
      </c>
      <c r="I4" s="100">
        <f t="shared" ref="I4:I47" si="3">G4+H4</f>
        <v>163866.92895092236</v>
      </c>
      <c r="J4" s="99" cm="1">
        <f t="array" ref="J4">_xlfn.LET(
    _xlpm.k, ROW()-1,
    _xlpm.baseFlows, $G$2:INDEX($G$2:$G$47, _xlpm.k-1),
    _xlpm.lastCF, INDEX($G$2:$G$47, _xlpm.k) + INDEX($H$2:$H$47, _xlpm.k),
    IRR(_xlfn.VSTACK(_xlpm.baseFlows, _xlpm.lastCF))
)</f>
        <v>0.27479687199880365</v>
      </c>
      <c r="K4" s="101">
        <v>1</v>
      </c>
      <c r="L4" s="23">
        <f>SUMIFS(Model_Renter!P:P, Model_Renter!$B:$B,$A4)</f>
        <v>-19773.179254644943</v>
      </c>
      <c r="M4" s="2">
        <f>_xlfn.XLOOKUP($A4, Net_Worth_Calculations!$B:$B,Net_Worth_Calculations!E:E, 0, 0, -1)</f>
        <v>173359.46093395783</v>
      </c>
      <c r="N4" s="100">
        <f t="shared" si="0"/>
        <v>153586.28167931287</v>
      </c>
      <c r="O4" s="99" cm="1">
        <f t="array" ref="O4">_xlfn.LET(
    _xlpm.k, ROW()-1,
    _xlpm.baseFlows, $L$2:INDEX($L$2:$L$47, _xlpm.k-1),
    _xlpm.lastCF, INDEX($L$2:$L$47, _xlpm.k) + INDEX($M$2:$M$47, _xlpm.k),
    IRR(_xlfn.VSTACK(_xlpm.baseFlows, _xlpm.lastCF))
)</f>
        <v>8.6821926179456055E-2</v>
      </c>
      <c r="P4" s="101">
        <v>1</v>
      </c>
      <c r="R4" s="5"/>
    </row>
    <row r="5" spans="1:20" x14ac:dyDescent="0.25">
      <c r="A5" s="33">
        <f t="shared" si="1"/>
        <v>3</v>
      </c>
      <c r="B5" s="23">
        <f>SUMIFS(Model_30y!$AJ:$AJ, Model_30y!$B:$B, IRR_Calculations!$A5)</f>
        <v>-720.77707526458562</v>
      </c>
      <c r="C5" s="2">
        <f>_xlfn.XLOOKUP($A5, Net_Worth_Calculations!$B:$B,Net_Worth_Calculations!$C:$C, 0, 0, -1)</f>
        <v>201267.00135108639</v>
      </c>
      <c r="D5" s="100">
        <f t="shared" si="2"/>
        <v>200546.22427582182</v>
      </c>
      <c r="E5" s="99" cm="1">
        <f t="array" ref="E5">_xlfn.LET(
    _xlpm.k, ROW()-1,
    _xlpm.baseFlows, $B$2:INDEX($B$2:$B$47, _xlpm.k-1),
    _xlpm.lastCF, INDEX($B$2:$B$47, _xlpm.k) + INDEX($C$2:$C$47, _xlpm.k),
    IRR(_xlfn.VSTACK(_xlpm.baseFlows, _xlpm.lastCF))
)</f>
        <v>0.25498141975406163</v>
      </c>
      <c r="F5" s="101">
        <v>1</v>
      </c>
      <c r="G5" s="23">
        <f>SUMIFS(Model_15y!$AJ:$AJ, Model_15y!$B:$B, IRR_Calculations!$A5)</f>
        <v>-720.77707526458562</v>
      </c>
      <c r="H5" s="2">
        <f>_xlfn.XLOOKUP($A5, Net_Worth_Calculations!$B:$B,Net_Worth_Calculations!$D:$D, 0, 0, -1)</f>
        <v>207946.83998054566</v>
      </c>
      <c r="I5" s="100">
        <f t="shared" si="3"/>
        <v>207226.06290528108</v>
      </c>
      <c r="J5" s="99" cm="1">
        <f t="array" ref="J5">_xlfn.LET(
    _xlpm.k, ROW()-1,
    _xlpm.baseFlows, $G$2:INDEX($G$2:$G$47, _xlpm.k-1),
    _xlpm.lastCF, INDEX($G$2:$G$47, _xlpm.k) + INDEX($H$2:$H$47, _xlpm.k),
    IRR(_xlfn.VSTACK(_xlpm.baseFlows, _xlpm.lastCF))
)</f>
        <v>0.26886283168590586</v>
      </c>
      <c r="K5" s="101">
        <v>1</v>
      </c>
      <c r="L5" s="23">
        <f>SUMIFS(Model_Renter!P:P, Model_Renter!$B:$B,$A5)</f>
        <v>-19489.150459577981</v>
      </c>
      <c r="M5" s="2">
        <f>_xlfn.XLOOKUP($A5, Net_Worth_Calculations!$B:$B,Net_Worth_Calculations!E:E, 0, 0, -1)</f>
        <v>207779.55240492508</v>
      </c>
      <c r="N5" s="100">
        <f t="shared" si="0"/>
        <v>188290.40194534711</v>
      </c>
      <c r="O5" s="99" cm="1">
        <f t="array" ref="O5">_xlfn.LET(
    _xlpm.k, ROW()-1,
    _xlpm.baseFlows, $L$2:INDEX($L$2:$L$47, _xlpm.k-1),
    _xlpm.lastCF, INDEX($L$2:$L$47, _xlpm.k) + INDEX($M$2:$M$47, _xlpm.k),
    IRR(_xlfn.VSTACK(_xlpm.baseFlows, _xlpm.lastCF))
)</f>
        <v>8.6559272186649272E-2</v>
      </c>
      <c r="P5" s="101">
        <v>1</v>
      </c>
      <c r="R5" s="5"/>
      <c r="T5" s="29"/>
    </row>
    <row r="6" spans="1:20" x14ac:dyDescent="0.25">
      <c r="A6" s="33">
        <f t="shared" si="1"/>
        <v>4</v>
      </c>
      <c r="B6" s="23">
        <f>SUMIFS(Model_30y!$AJ:$AJ, Model_30y!$B:$B, IRR_Calculations!$A6)</f>
        <v>-482.03673754305009</v>
      </c>
      <c r="C6" s="2">
        <f>_xlfn.XLOOKUP($A6, Net_Worth_Calculations!$B:$B,Net_Worth_Calculations!$C:$C, 0, 0, -1)</f>
        <v>244943.30079484099</v>
      </c>
      <c r="D6" s="100">
        <f t="shared" si="2"/>
        <v>244461.26405729796</v>
      </c>
      <c r="E6" s="99" cm="1">
        <f t="array" ref="E6">_xlfn.LET(
    _xlpm.k, ROW()-1,
    _xlpm.baseFlows, $B$2:INDEX($B$2:$B$47, _xlpm.k-1),
    _xlpm.lastCF, INDEX($B$2:$B$47, _xlpm.k) + INDEX($C$2:$C$47, _xlpm.k),
    IRR(_xlfn.VSTACK(_xlpm.baseFlows, _xlpm.lastCF))
)</f>
        <v>0.24468152629477524</v>
      </c>
      <c r="F6" s="101">
        <v>1</v>
      </c>
      <c r="G6" s="23">
        <f>SUMIFS(Model_15y!$AJ:$AJ, Model_15y!$B:$B, IRR_Calculations!$A6)</f>
        <v>-482.03673754305009</v>
      </c>
      <c r="H6" s="2">
        <f>_xlfn.XLOOKUP($A6, Net_Worth_Calculations!$B:$B,Net_Worth_Calculations!$D:$D, 0, 0, -1)</f>
        <v>253345.27669194504</v>
      </c>
      <c r="I6" s="100">
        <f t="shared" si="3"/>
        <v>252863.239954402</v>
      </c>
      <c r="J6" s="99" cm="1">
        <f t="array" ref="J6">_xlfn.LET(
    _xlpm.k, ROW()-1,
    _xlpm.baseFlows, $G$2:INDEX($G$2:$G$47, _xlpm.k-1),
    _xlpm.lastCF, INDEX($G$2:$G$47, _xlpm.k) + INDEX($H$2:$H$47, _xlpm.k),
    IRR(_xlfn.VSTACK(_xlpm.baseFlows, _xlpm.lastCF))
)</f>
        <v>0.25532800978733072</v>
      </c>
      <c r="K6" s="101">
        <v>1</v>
      </c>
      <c r="L6" s="23">
        <f>SUMIFS(Model_Renter!P:P, Model_Renter!$B:$B,$A6)</f>
        <v>-19207.087947400745</v>
      </c>
      <c r="M6" s="2">
        <f>_xlfn.XLOOKUP($A6, Net_Worth_Calculations!$B:$B,Net_Worth_Calculations!E:E, 0, 0, -1)</f>
        <v>244820.50935916475</v>
      </c>
      <c r="N6" s="100">
        <f t="shared" si="0"/>
        <v>225613.42141176399</v>
      </c>
      <c r="O6" s="99" cm="1">
        <f t="array" ref="O6">_xlfn.LET(
    _xlpm.k, ROW()-1,
    _xlpm.baseFlows, $L$2:INDEX($L$2:$L$47, _xlpm.k-1),
    _xlpm.lastCF, INDEX($L$2:$L$47, _xlpm.k) + INDEX($M$2:$M$47, _xlpm.k),
    IRR(_xlfn.VSTACK(_xlpm.baseFlows, _xlpm.lastCF))
)</f>
        <v>8.6344798963153169E-2</v>
      </c>
      <c r="P6" s="101">
        <v>1</v>
      </c>
      <c r="R6" s="5"/>
    </row>
    <row r="7" spans="1:20" x14ac:dyDescent="0.25">
      <c r="A7" s="33">
        <f t="shared" si="1"/>
        <v>5</v>
      </c>
      <c r="B7" s="23">
        <f>SUMIFS(Model_30y!$AJ:$AJ, Model_30y!$B:$B, IRR_Calculations!$A7)</f>
        <v>-248.96828136429895</v>
      </c>
      <c r="C7" s="2">
        <f>_xlfn.XLOOKUP($A7, Net_Worth_Calculations!$B:$B,Net_Worth_Calculations!$C:$C, 0, 0, -1)</f>
        <v>291353.03318864544</v>
      </c>
      <c r="D7" s="100">
        <f t="shared" si="2"/>
        <v>291104.06490728114</v>
      </c>
      <c r="E7" s="99" cm="1">
        <f t="array" ref="E7">_xlfn.LET(
    _xlpm.k, ROW()-1,
    _xlpm.baseFlows, $B$2:INDEX($B$2:$B$47, _xlpm.k-1),
    _xlpm.lastCF, INDEX($B$2:$B$47, _xlpm.k) + INDEX($C$2:$C$47, _xlpm.k),
    IRR(_xlfn.VSTACK(_xlpm.baseFlows, _xlpm.lastCF))
)</f>
        <v>0.23313293504574273</v>
      </c>
      <c r="F7" s="101">
        <v>1</v>
      </c>
      <c r="G7" s="23">
        <f>SUMIFS(Model_15y!$AJ:$AJ, Model_15y!$B:$B, IRR_Calculations!$A7)</f>
        <v>-248.96828136429895</v>
      </c>
      <c r="H7" s="2">
        <f>_xlfn.XLOOKUP($A7, Net_Worth_Calculations!$B:$B,Net_Worth_Calculations!$D:$D, 0, 0, -1)</f>
        <v>301145.7968612148</v>
      </c>
      <c r="I7" s="100">
        <f t="shared" si="3"/>
        <v>300896.82857985049</v>
      </c>
      <c r="J7" s="99" cm="1">
        <f t="array" ref="J7">_xlfn.LET(
    _xlpm.k, ROW()-1,
    _xlpm.baseFlows, $G$2:INDEX($G$2:$G$47, _xlpm.k-1),
    _xlpm.lastCF, INDEX($G$2:$G$47, _xlpm.k) + INDEX($H$2:$H$47, _xlpm.k),
    IRR(_xlfn.VSTACK(_xlpm.baseFlows, _xlpm.lastCF))
)</f>
        <v>0.24138825461069868</v>
      </c>
      <c r="K7" s="101">
        <v>1</v>
      </c>
      <c r="L7" s="23">
        <f>SUMIFS(Model_Renter!P:P, Model_Renter!$B:$B,$A7)</f>
        <v>-18927.69470508457</v>
      </c>
      <c r="M7" s="2">
        <f>_xlfn.XLOOKUP($A7, Net_Worth_Calculations!$B:$B,Net_Worth_Calculations!E:E, 0, 0, -1)</f>
        <v>284707.41699161188</v>
      </c>
      <c r="N7" s="100">
        <f t="shared" si="0"/>
        <v>265779.72228652734</v>
      </c>
      <c r="O7" s="99" cm="1">
        <f t="array" ref="O7">_xlfn.LET(
    _xlpm.k, ROW()-1,
    _xlpm.baseFlows, $L$2:INDEX($L$2:$L$47, _xlpm.k-1),
    _xlpm.lastCF, INDEX($L$2:$L$47, _xlpm.k) + INDEX($M$2:$M$47, _xlpm.k),
    IRR(_xlfn.VSTACK(_xlpm.baseFlows, _xlpm.lastCF))
)</f>
        <v>8.6167003767837036E-2</v>
      </c>
      <c r="P7" s="101">
        <v>1</v>
      </c>
      <c r="R7" s="5"/>
    </row>
    <row r="8" spans="1:20" x14ac:dyDescent="0.25">
      <c r="A8" s="33">
        <f t="shared" si="1"/>
        <v>6</v>
      </c>
      <c r="B8" s="23">
        <f>SUMIFS(Model_30y!$AJ:$AJ, Model_30y!$B:$B, IRR_Calculations!$A8)</f>
        <v>-22.540565484868694</v>
      </c>
      <c r="C8" s="2">
        <f>_xlfn.XLOOKUP($A8, Net_Worth_Calculations!$B:$B,Net_Worth_Calculations!$C:$C, 0, 0, -1)</f>
        <v>340677.30695924116</v>
      </c>
      <c r="D8" s="100">
        <f t="shared" si="2"/>
        <v>340654.76639375632</v>
      </c>
      <c r="E8" s="99" cm="1">
        <f t="array" ref="E8">_xlfn.LET(
    _xlpm.k, ROW()-1,
    _xlpm.baseFlows, $B$2:INDEX($B$2:$B$47, _xlpm.k-1),
    _xlpm.lastCF, INDEX($B$2:$B$47, _xlpm.k) + INDEX($C$2:$C$47, _xlpm.k),
    IRR(_xlfn.VSTACK(_xlpm.baseFlows, _xlpm.lastCF))
)</f>
        <v>0.22215826388445237</v>
      </c>
      <c r="F8" s="101">
        <v>1</v>
      </c>
      <c r="G8" s="23">
        <f>SUMIFS(Model_15y!$AJ:$AJ, Model_15y!$B:$B, IRR_Calculations!$A8)</f>
        <v>-22.540565484868694</v>
      </c>
      <c r="H8" s="2">
        <f>_xlfn.XLOOKUP($A8, Net_Worth_Calculations!$B:$B,Net_Worth_Calculations!$D:$D, 0, 0, -1)</f>
        <v>351473.72462965752</v>
      </c>
      <c r="I8" s="100">
        <f t="shared" si="3"/>
        <v>351451.18406417267</v>
      </c>
      <c r="J8" s="99" cm="1">
        <f t="array" ref="J8">_xlfn.LET(
    _xlpm.k, ROW()-1,
    _xlpm.baseFlows, $G$2:INDEX($G$2:$G$47, _xlpm.k-1),
    _xlpm.lastCF, INDEX($G$2:$G$47, _xlpm.k) + INDEX($H$2:$H$47, _xlpm.k),
    IRR(_xlfn.VSTACK(_xlpm.baseFlows, _xlpm.lastCF))
)</f>
        <v>0.22858021641484494</v>
      </c>
      <c r="K8" s="101">
        <v>1</v>
      </c>
      <c r="L8" s="23">
        <f>SUMIFS(Model_Renter!P:P, Model_Renter!$B:$B,$A8)</f>
        <v>-18651.731483713073</v>
      </c>
      <c r="M8" s="2">
        <f>_xlfn.XLOOKUP($A8, Net_Worth_Calculations!$B:$B,Net_Worth_Calculations!E:E, 0, 0, -1)</f>
        <v>327685.26450717653</v>
      </c>
      <c r="N8" s="100">
        <f t="shared" si="0"/>
        <v>309033.53302346345</v>
      </c>
      <c r="O8" s="99" cm="1">
        <f t="array" ref="O8">_xlfn.LET(
    _xlpm.k, ROW()-1,
    _xlpm.baseFlows, $L$2:INDEX($L$2:$L$47, _xlpm.k-1),
    _xlpm.lastCF, INDEX($L$2:$L$47, _xlpm.k) + INDEX($M$2:$M$47, _xlpm.k),
    IRR(_xlfn.VSTACK(_xlpm.baseFlows, _xlpm.lastCF))
)</f>
        <v>8.6017767858081573E-2</v>
      </c>
      <c r="P8" s="101">
        <v>1</v>
      </c>
      <c r="R8" s="5"/>
    </row>
    <row r="9" spans="1:20" x14ac:dyDescent="0.25">
      <c r="A9" s="33">
        <f t="shared" si="1"/>
        <v>7</v>
      </c>
      <c r="B9" s="23">
        <f>SUMIFS(Model_30y!$AJ:$AJ, Model_30y!$B:$B, IRR_Calculations!$A9)</f>
        <v>196.20162951750581</v>
      </c>
      <c r="C9" s="2">
        <f>_xlfn.XLOOKUP($A9, Net_Worth_Calculations!$B:$B,Net_Worth_Calculations!$C:$C, 0, 0, -1)</f>
        <v>393109.90497084125</v>
      </c>
      <c r="D9" s="100">
        <f t="shared" si="2"/>
        <v>393306.10660035873</v>
      </c>
      <c r="E9" s="99" cm="1">
        <f t="array" ref="E9">_xlfn.LET(
    _xlpm.k, ROW()-1,
    _xlpm.baseFlows, $B$2:INDEX($B$2:$B$47, _xlpm.k-1),
    _xlpm.lastCF, INDEX($B$2:$B$47, _xlpm.k) + INDEX($C$2:$C$47, _xlpm.k),
    IRR(_xlfn.VSTACK(_xlpm.baseFlows, _xlpm.lastCF))
)</f>
        <v>0.21218496249479379</v>
      </c>
      <c r="F9" s="101">
        <v>1</v>
      </c>
      <c r="G9" s="23">
        <f>SUMIFS(Model_15y!$AJ:$AJ, Model_15y!$B:$B, IRR_Calculations!$A9)</f>
        <v>196.20162951750581</v>
      </c>
      <c r="H9" s="2">
        <f>_xlfn.XLOOKUP($A9, Net_Worth_Calculations!$B:$B,Net_Worth_Calculations!$D:$D, 0, 0, -1)</f>
        <v>404460.73266423913</v>
      </c>
      <c r="I9" s="100">
        <f t="shared" si="3"/>
        <v>404656.93429375661</v>
      </c>
      <c r="J9" s="99" cm="1">
        <f t="array" ref="J9">_xlfn.LET(
    _xlpm.k, ROW()-1,
    _xlpm.baseFlows, $G$2:INDEX($G$2:$G$47, _xlpm.k-1),
    _xlpm.lastCF, INDEX($G$2:$G$47, _xlpm.k) + INDEX($H$2:$H$47, _xlpm.k),
    IRR(_xlfn.VSTACK(_xlpm.baseFlows, _xlpm.lastCF))
)</f>
        <v>0.21715606914371044</v>
      </c>
      <c r="K9" s="101">
        <v>1</v>
      </c>
      <c r="L9" s="23">
        <f>SUMIFS(Model_Renter!P:P, Model_Renter!$B:$B,$A9)</f>
        <v>-18380.020532479972</v>
      </c>
      <c r="M9" s="2">
        <f>_xlfn.XLOOKUP($A9, Net_Worth_Calculations!$B:$B,Net_Worth_Calculations!E:E, 0, 0, -1)</f>
        <v>374020.7000639459</v>
      </c>
      <c r="N9" s="100">
        <f t="shared" si="0"/>
        <v>355640.67953146592</v>
      </c>
      <c r="O9" s="99" cm="1">
        <f t="array" ref="O9">_xlfn.LET(
    _xlpm.k, ROW()-1,
    _xlpm.baseFlows, $L$2:INDEX($L$2:$L$47, _xlpm.k-1),
    _xlpm.lastCF, INDEX($L$2:$L$47, _xlpm.k) + INDEX($M$2:$M$47, _xlpm.k),
    IRR(_xlfn.VSTACK(_xlpm.baseFlows, _xlpm.lastCF))
)</f>
        <v>8.5891195420916722E-2</v>
      </c>
      <c r="P9" s="101">
        <v>1</v>
      </c>
      <c r="R9" s="5"/>
    </row>
    <row r="10" spans="1:20" x14ac:dyDescent="0.25">
      <c r="A10" s="33">
        <f t="shared" si="1"/>
        <v>8</v>
      </c>
      <c r="B10" s="23">
        <f>SUMIFS(Model_30y!$AJ:$AJ, Model_30y!$B:$B, IRR_Calculations!$A10)</f>
        <v>406.13264922224971</v>
      </c>
      <c r="C10" s="2">
        <f>_xlfn.XLOOKUP($A10, Net_Worth_Calculations!$B:$B,Net_Worth_Calculations!$C:$C, 0, 0, -1)</f>
        <v>448858.21490205819</v>
      </c>
      <c r="D10" s="100">
        <f t="shared" si="2"/>
        <v>449264.34755128046</v>
      </c>
      <c r="E10" s="99" cm="1">
        <f t="array" ref="E10">_xlfn.LET(
    _xlpm.k, ROW()-1,
    _xlpm.baseFlows, $B$2:INDEX($B$2:$B$47, _xlpm.k-1),
    _xlpm.lastCF, INDEX($B$2:$B$47, _xlpm.k) + INDEX($C$2:$C$47, _xlpm.k),
    IRR(_xlfn.VSTACK(_xlpm.baseFlows, _xlpm.lastCF))
)</f>
        <v>0.20324234437558508</v>
      </c>
      <c r="F10" s="101">
        <v>1</v>
      </c>
      <c r="G10" s="23">
        <f>SUMIFS(Model_15y!$AJ:$AJ, Model_15y!$B:$B, IRR_Calculations!$A10)</f>
        <v>406.13264922224971</v>
      </c>
      <c r="H10" s="2">
        <f>_xlfn.XLOOKUP($A10, Net_Worth_Calculations!$B:$B,Net_Worth_Calculations!$D:$D, 0, 0, -1)</f>
        <v>460245.14486539218</v>
      </c>
      <c r="I10" s="100">
        <f t="shared" si="3"/>
        <v>460651.27751461446</v>
      </c>
      <c r="J10" s="99" cm="1">
        <f t="array" ref="J10">_xlfn.LET(
    _xlpm.k, ROW()-1,
    _xlpm.baseFlows, $G$2:INDEX($G$2:$G$47, _xlpm.k-1),
    _xlpm.lastCF, INDEX($G$2:$G$47, _xlpm.k) + INDEX($H$2:$H$47, _xlpm.k),
    IRR(_xlfn.VSTACK(_xlpm.baseFlows, _xlpm.lastCF))
)</f>
        <v>0.20703442798846972</v>
      </c>
      <c r="K10" s="101">
        <v>1</v>
      </c>
      <c r="L10" s="23">
        <f>SUMIFS(Model_Renter!P:P, Model_Renter!$B:$B,$A10)</f>
        <v>-18113.449551019312</v>
      </c>
      <c r="M10" s="2">
        <f>_xlfn.XLOOKUP($A10, Net_Worth_Calculations!$B:$B,Net_Worth_Calculations!E:E, 0, 0, -1)</f>
        <v>424003.9389561665</v>
      </c>
      <c r="N10" s="100">
        <f t="shared" si="0"/>
        <v>405890.48940514721</v>
      </c>
      <c r="O10" s="99" cm="1">
        <f t="array" ref="O10">_xlfn.LET(
    _xlpm.k, ROW()-1,
    _xlpm.baseFlows, $L$2:INDEX($L$2:$L$47, _xlpm.k-1),
    _xlpm.lastCF, INDEX($L$2:$L$47, _xlpm.k) + INDEX($M$2:$M$47, _xlpm.k),
    IRR(_xlfn.VSTACK(_xlpm.baseFlows, _xlpm.lastCF))
)</f>
        <v>8.5782900297504128E-2</v>
      </c>
      <c r="P10" s="101">
        <v>1</v>
      </c>
      <c r="R10" s="5"/>
    </row>
    <row r="11" spans="1:20" x14ac:dyDescent="0.25">
      <c r="A11" s="33">
        <f t="shared" si="1"/>
        <v>9</v>
      </c>
      <c r="B11" s="23">
        <f>SUMIFS(Model_30y!$AJ:$AJ, Model_30y!$B:$B, IRR_Calculations!$A11)</f>
        <v>606.04071362457444</v>
      </c>
      <c r="C11" s="2">
        <f>_xlfn.XLOOKUP($A11, Net_Worth_Calculations!$B:$B,Net_Worth_Calculations!$C:$C, 0, 0, -1)</f>
        <v>508144.23059739184</v>
      </c>
      <c r="D11" s="100">
        <f t="shared" si="2"/>
        <v>508750.2713110164</v>
      </c>
      <c r="E11" s="99" cm="1">
        <f t="array" ref="E11">_xlfn.LET(
    _xlpm.k, ROW()-1,
    _xlpm.baseFlows, $B$2:INDEX($B$2:$B$47, _xlpm.k-1),
    _xlpm.lastCF, INDEX($B$2:$B$47, _xlpm.k) + INDEX($C$2:$C$47, _xlpm.k),
    IRR(_xlfn.VSTACK(_xlpm.baseFlows, _xlpm.lastCF))
)</f>
        <v>0.19524384082919055</v>
      </c>
      <c r="F11" s="101">
        <v>1</v>
      </c>
      <c r="G11" s="23">
        <f>SUMIFS(Model_15y!$AJ:$AJ, Model_15y!$B:$B, IRR_Calculations!$A11)</f>
        <v>606.04071362457444</v>
      </c>
      <c r="H11" s="2">
        <f>_xlfn.XLOOKUP($A11, Net_Worth_Calculations!$B:$B,Net_Worth_Calculations!$D:$D, 0, 0, -1)</f>
        <v>518972.2516542559</v>
      </c>
      <c r="I11" s="100">
        <f t="shared" si="3"/>
        <v>519578.29236788047</v>
      </c>
      <c r="J11" s="99" cm="1">
        <f t="array" ref="J11">_xlfn.LET(
    _xlpm.k, ROW()-1,
    _xlpm.baseFlows, $G$2:INDEX($G$2:$G$47, _xlpm.k-1),
    _xlpm.lastCF, INDEX($G$2:$G$47, _xlpm.k) + INDEX($H$2:$H$47, _xlpm.k),
    IRR(_xlfn.VSTACK(_xlpm.baseFlows, _xlpm.lastCF))
)</f>
        <v>0.19805611535233658</v>
      </c>
      <c r="K11" s="101">
        <v>1</v>
      </c>
      <c r="L11" s="23">
        <f>SUMIFS(Model_Renter!P:P, Model_Renter!$B:$B,$A11)</f>
        <v>-17852.975872168019</v>
      </c>
      <c r="M11" s="2">
        <f>_xlfn.XLOOKUP($A11, Net_Worth_Calculations!$B:$B,Net_Worth_Calculations!E:E, 0, 0, -1)</f>
        <v>477950.83829986752</v>
      </c>
      <c r="N11" s="100">
        <f t="shared" si="0"/>
        <v>460097.8624276995</v>
      </c>
      <c r="O11" s="99" cm="1">
        <f t="array" ref="O11">_xlfn.LET(
    _xlpm.k, ROW()-1,
    _xlpm.baseFlows, $L$2:INDEX($L$2:$L$47, _xlpm.k-1),
    _xlpm.lastCF, INDEX($L$2:$L$47, _xlpm.k) + INDEX($M$2:$M$47, _xlpm.k),
    IRR(_xlfn.VSTACK(_xlpm.baseFlows, _xlpm.lastCF))
)</f>
        <v>8.5689551039587197E-2</v>
      </c>
      <c r="P11" s="101">
        <v>1</v>
      </c>
      <c r="R11" s="5"/>
    </row>
    <row r="12" spans="1:20" x14ac:dyDescent="0.25">
      <c r="A12" s="33">
        <f t="shared" si="1"/>
        <v>10</v>
      </c>
      <c r="B12" s="23">
        <f>SUMIFS(Model_30y!$AJ:$AJ, Model_30y!$B:$B, IRR_Calculations!$A12)</f>
        <v>794.62234812330189</v>
      </c>
      <c r="C12" s="2">
        <f>_xlfn.XLOOKUP($A12, Net_Worth_Calculations!$B:$B,Net_Worth_Calculations!$C:$C, 0, 0, -1)</f>
        <v>571205.62996805552</v>
      </c>
      <c r="D12" s="100">
        <f t="shared" si="2"/>
        <v>572000.25231617887</v>
      </c>
      <c r="E12" s="99" cm="1">
        <f t="array" ref="E12">_xlfn.LET(
    _xlpm.k, ROW()-1,
    _xlpm.baseFlows, $B$2:INDEX($B$2:$B$47, _xlpm.k-1),
    _xlpm.lastCF, INDEX($B$2:$B$47, _xlpm.k) + INDEX($C$2:$C$47, _xlpm.k),
    IRR(_xlfn.VSTACK(_xlpm.baseFlows, _xlpm.lastCF))
)</f>
        <v>0.18807675773885024</v>
      </c>
      <c r="F12" s="101">
        <v>1</v>
      </c>
      <c r="G12" s="23">
        <f>SUMIFS(Model_15y!$AJ:$AJ, Model_15y!$B:$B, IRR_Calculations!$A12)</f>
        <v>794.62234812330189</v>
      </c>
      <c r="H12" s="2">
        <f>_xlfn.XLOOKUP($A12, Net_Worth_Calculations!$B:$B,Net_Worth_Calculations!$D:$D, 0, 0, -1)</f>
        <v>580794.63817267376</v>
      </c>
      <c r="I12" s="100">
        <f t="shared" si="3"/>
        <v>581589.26052079711</v>
      </c>
      <c r="J12" s="99" cm="1">
        <f t="array" ref="J12">_xlfn.LET(
    _xlpm.k, ROW()-1,
    _xlpm.baseFlows, $G$2:INDEX($G$2:$G$47, _xlpm.k-1),
    _xlpm.lastCF, INDEX($G$2:$G$47, _xlpm.k) + INDEX($H$2:$H$47, _xlpm.k),
    IRR(_xlfn.VSTACK(_xlpm.baseFlows, _xlpm.lastCF))
)</f>
        <v>0.19005909304987445</v>
      </c>
      <c r="K12" s="101">
        <v>1</v>
      </c>
      <c r="L12" s="23">
        <f>SUMIFS(Model_Renter!P:P, Model_Renter!$B:$B,$A12)</f>
        <v>-17599.630887909476</v>
      </c>
      <c r="M12" s="2">
        <f>_xlfn.XLOOKUP($A12, Net_Worth_Calculations!$B:$B,Net_Worth_Calculations!E:E, 0, 0, -1)</f>
        <v>536205.15262446424</v>
      </c>
      <c r="N12" s="100">
        <f t="shared" si="0"/>
        <v>518605.52173655474</v>
      </c>
      <c r="O12" s="99" cm="1">
        <f t="array" ref="O12">_xlfn.LET(
    _xlpm.k, ROW()-1,
    _xlpm.baseFlows, $L$2:INDEX($L$2:$L$47, _xlpm.k-1),
    _xlpm.lastCF, INDEX($L$2:$L$47, _xlpm.k) + INDEX($M$2:$M$47, _xlpm.k),
    IRR(_xlfn.VSTACK(_xlpm.baseFlows, _xlpm.lastCF))
)</f>
        <v>8.5608571285653356E-2</v>
      </c>
      <c r="P12" s="101">
        <v>1</v>
      </c>
      <c r="R12" s="5"/>
      <c r="T12" s="29"/>
    </row>
    <row r="13" spans="1:20" x14ac:dyDescent="0.25">
      <c r="A13" s="33">
        <f t="shared" si="1"/>
        <v>11</v>
      </c>
      <c r="B13" s="23">
        <f>SUMIFS(Model_30y!$AJ:$AJ, Model_30y!$B:$B, IRR_Calculations!$A13)</f>
        <v>970.4764786704327</v>
      </c>
      <c r="C13" s="2">
        <f>_xlfn.XLOOKUP($A13, Net_Worth_Calculations!$B:$B,Net_Worth_Calculations!$C:$C, 0, 0, -1)</f>
        <v>638296.93546420382</v>
      </c>
      <c r="D13" s="100">
        <f t="shared" si="2"/>
        <v>639267.41194287431</v>
      </c>
      <c r="E13" s="99" cm="1">
        <f t="array" ref="E13">_xlfn.LET(
    _xlpm.k, ROW()-1,
    _xlpm.baseFlows, $B$2:INDEX($B$2:$B$47, _xlpm.k-1),
    _xlpm.lastCF, INDEX($B$2:$B$47, _xlpm.k) + INDEX($C$2:$C$47, _xlpm.k),
    IRR(_xlfn.VSTACK(_xlpm.baseFlows, _xlpm.lastCF))
)</f>
        <v>0.18163173339392502</v>
      </c>
      <c r="F13" s="101">
        <v>1</v>
      </c>
      <c r="G13" s="23">
        <f>SUMIFS(Model_15y!$AJ:$AJ, Model_15y!$B:$B, IRR_Calculations!$A13)</f>
        <v>970.4764786704327</v>
      </c>
      <c r="H13" s="2">
        <f>_xlfn.XLOOKUP($A13, Net_Worth_Calculations!$B:$B,Net_Worth_Calculations!$D:$D, 0, 0, -1)</f>
        <v>645872.52571607265</v>
      </c>
      <c r="I13" s="100">
        <f t="shared" si="3"/>
        <v>646843.00219474314</v>
      </c>
      <c r="J13" s="99" cm="1">
        <f t="array" ref="J13">_xlfn.LET(
    _xlpm.k, ROW()-1,
    _xlpm.baseFlows, $G$2:INDEX($G$2:$G$47, _xlpm.k-1),
    _xlpm.lastCF, INDEX($G$2:$G$47, _xlpm.k) + INDEX($H$2:$H$47, _xlpm.k),
    IRR(_xlfn.VSTACK(_xlpm.baseFlows, _xlpm.lastCF))
)</f>
        <v>0.18289939895354967</v>
      </c>
      <c r="K13" s="101">
        <v>1</v>
      </c>
      <c r="L13" s="23">
        <f>SUMIFS(Model_Renter!P:P, Model_Renter!$B:$B,$A13)</f>
        <v>-17354.524731930545</v>
      </c>
      <c r="M13" s="2">
        <f>_xlfn.XLOOKUP($A13, Net_Worth_Calculations!$B:$B,Net_Worth_Calculations!E:E, 0, 0, -1)</f>
        <v>599140.98601179349</v>
      </c>
      <c r="N13" s="100">
        <f t="shared" si="0"/>
        <v>581786.46127986291</v>
      </c>
      <c r="O13" s="99" cm="1">
        <f t="array" ref="O13">_xlfn.LET(
    _xlpm.k, ROW()-1,
    _xlpm.baseFlows, $L$2:INDEX($L$2:$L$47, _xlpm.k-1),
    _xlpm.lastCF, INDEX($L$2:$L$47, _xlpm.k) + INDEX($M$2:$M$47, _xlpm.k),
    IRR(_xlfn.VSTACK(_xlpm.baseFlows, _xlpm.lastCF))
)</f>
        <v>8.5537936886815213E-2</v>
      </c>
      <c r="P13" s="101">
        <v>1</v>
      </c>
      <c r="R13" s="5"/>
    </row>
    <row r="14" spans="1:20" x14ac:dyDescent="0.25">
      <c r="A14" s="33">
        <f t="shared" si="1"/>
        <v>12</v>
      </c>
      <c r="B14" s="23">
        <f>SUMIFS(Model_30y!$AJ:$AJ, Model_30y!$B:$B, IRR_Calculations!$A14)</f>
        <v>1132.0981714401073</v>
      </c>
      <c r="C14" s="2">
        <f>_xlfn.XLOOKUP($A14, Net_Worth_Calculations!$B:$B,Net_Worth_Calculations!$C:$C, 0, 0, -1)</f>
        <v>709690.76362437534</v>
      </c>
      <c r="D14" s="100">
        <f t="shared" si="2"/>
        <v>710822.86179581541</v>
      </c>
      <c r="E14" s="99" cm="1">
        <f t="array" ref="E14">_xlfn.LET(
    _xlpm.k, ROW()-1,
    _xlpm.baseFlows, $B$2:INDEX($B$2:$B$47, _xlpm.k-1),
    _xlpm.lastCF, INDEX($B$2:$B$47, _xlpm.k) + INDEX($C$2:$C$47, _xlpm.k),
    IRR(_xlfn.VSTACK(_xlpm.baseFlows, _xlpm.lastCF))
)</f>
        <v>0.17581157254613267</v>
      </c>
      <c r="F14" s="101">
        <v>1</v>
      </c>
      <c r="G14" s="23">
        <f>SUMIFS(Model_15y!$AJ:$AJ, Model_15y!$B:$B, IRR_Calculations!$A14)</f>
        <v>1132.0981714401073</v>
      </c>
      <c r="H14" s="2">
        <f>_xlfn.XLOOKUP($A14, Net_Worth_Calculations!$B:$B,Net_Worth_Calculations!$D:$D, 0, 0, -1)</f>
        <v>714374.12670270843</v>
      </c>
      <c r="I14" s="100">
        <f t="shared" si="3"/>
        <v>715506.22487414849</v>
      </c>
      <c r="J14" s="99" cm="1">
        <f t="array" ref="J14">_xlfn.LET(
    _xlpm.k, ROW()-1,
    _xlpm.baseFlows, $G$2:INDEX($G$2:$G$47, _xlpm.k-1),
    _xlpm.lastCF, INDEX($G$2:$G$47, _xlpm.k) + INDEX($H$2:$H$47, _xlpm.k),
    IRR(_xlfn.VSTACK(_xlpm.baseFlows, _xlpm.lastCF))
)</f>
        <v>0.17645490425760335</v>
      </c>
      <c r="K14" s="101">
        <v>1</v>
      </c>
      <c r="L14" s="23">
        <f>SUMIFS(Model_Renter!P:P, Model_Renter!$B:$B,$A14)</f>
        <v>-17118.851232943431</v>
      </c>
      <c r="M14" s="2">
        <f>_xlfn.XLOOKUP($A14, Net_Worth_Calculations!$B:$B,Net_Worth_Calculations!E:E, 0, 0, -1)</f>
        <v>667165.45776812488</v>
      </c>
      <c r="N14" s="100">
        <f t="shared" si="0"/>
        <v>650046.6065351814</v>
      </c>
      <c r="O14" s="99" cm="1">
        <f t="array" ref="O14">_xlfn.LET(
    _xlpm.k, ROW()-1,
    _xlpm.baseFlows, $L$2:INDEX($L$2:$L$47, _xlpm.k-1),
    _xlpm.lastCF, INDEX($L$2:$L$47, _xlpm.k) + INDEX($M$2:$M$47, _xlpm.k),
    IRR(_xlfn.VSTACK(_xlpm.baseFlows, _xlpm.lastCF))
)</f>
        <v>8.5476035176758502E-2</v>
      </c>
      <c r="P14" s="101">
        <v>1</v>
      </c>
      <c r="R14" s="5"/>
    </row>
    <row r="15" spans="1:20" x14ac:dyDescent="0.25">
      <c r="A15" s="33">
        <f t="shared" si="1"/>
        <v>13</v>
      </c>
      <c r="B15" s="23">
        <f>SUMIFS(Model_30y!$AJ:$AJ, Model_30y!$B:$B, IRR_Calculations!$A15)</f>
        <v>1277.8719962368186</v>
      </c>
      <c r="C15" s="2">
        <f>_xlfn.XLOOKUP($A15, Net_Worth_Calculations!$B:$B,Net_Worth_Calculations!$C:$C, 0, 0, -1)</f>
        <v>785679.17073112808</v>
      </c>
      <c r="D15" s="100">
        <f t="shared" si="2"/>
        <v>786957.04272736493</v>
      </c>
      <c r="E15" s="99" cm="1">
        <f t="array" ref="E15">_xlfn.LET(
    _xlpm.k, ROW()-1,
    _xlpm.baseFlows, $B$2:INDEX($B$2:$B$47, _xlpm.k-1),
    _xlpm.lastCF, INDEX($B$2:$B$47, _xlpm.k) + INDEX($C$2:$C$47, _xlpm.k),
    IRR(_xlfn.VSTACK(_xlpm.baseFlows, _xlpm.lastCF))
)</f>
        <v>0.17053277361993224</v>
      </c>
      <c r="F15" s="101">
        <v>1</v>
      </c>
      <c r="G15" s="23">
        <f>SUMIFS(Model_15y!$AJ:$AJ, Model_15y!$B:$B, IRR_Calculations!$A15)</f>
        <v>1277.8719962368186</v>
      </c>
      <c r="H15" s="2">
        <f>_xlfn.XLOOKUP($A15, Net_Worth_Calculations!$B:$B,Net_Worth_Calculations!$D:$D, 0, 0, -1)</f>
        <v>786476.01346218598</v>
      </c>
      <c r="I15" s="100">
        <f t="shared" si="3"/>
        <v>787753.88545842282</v>
      </c>
      <c r="J15" s="99" cm="1">
        <f t="array" ref="J15">_xlfn.LET(
    _xlpm.k, ROW()-1,
    _xlpm.baseFlows, $G$2:INDEX($G$2:$G$47, _xlpm.k-1),
    _xlpm.lastCF, INDEX($G$2:$G$47, _xlpm.k) + INDEX($H$2:$H$47, _xlpm.k),
    IRR(_xlfn.VSTACK(_xlpm.baseFlows, _xlpm.lastCF))
)</f>
        <v>0.17062370705699381</v>
      </c>
      <c r="K15" s="101">
        <v>1</v>
      </c>
      <c r="L15" s="23">
        <f>SUMIFS(Model_Renter!P:P, Model_Renter!$B:$B,$A15)</f>
        <v>-16893.893153680892</v>
      </c>
      <c r="M15" s="2">
        <f>_xlfn.XLOOKUP($A15, Net_Worth_Calculations!$B:$B,Net_Worth_Calculations!E:E, 0, 0, -1)</f>
        <v>740721.60007381462</v>
      </c>
      <c r="N15" s="100">
        <f t="shared" si="0"/>
        <v>723827.70692013379</v>
      </c>
      <c r="O15" s="99" cm="1">
        <f t="array" ref="O15">_xlfn.LET(
    _xlpm.k, ROW()-1,
    _xlpm.baseFlows, $L$2:INDEX($L$2:$L$47, _xlpm.k-1),
    _xlpm.lastCF, INDEX($L$2:$L$47, _xlpm.k) + INDEX($M$2:$M$47, _xlpm.k),
    IRR(_xlfn.VSTACK(_xlpm.baseFlows, _xlpm.lastCF))
)</f>
        <v>8.5421565245104691E-2</v>
      </c>
      <c r="P15" s="101">
        <v>1</v>
      </c>
      <c r="R15" s="5"/>
    </row>
    <row r="16" spans="1:20" x14ac:dyDescent="0.25">
      <c r="A16" s="33">
        <f t="shared" si="1"/>
        <v>14</v>
      </c>
      <c r="B16" s="23">
        <f>SUMIFS(Model_30y!$AJ:$AJ, Model_30y!$B:$B, IRR_Calculations!$A16)</f>
        <v>1406.0649916593029</v>
      </c>
      <c r="C16" s="2">
        <f>_xlfn.XLOOKUP($A16, Net_Worth_Calculations!$B:$B,Net_Worth_Calculations!$C:$C, 0, 0, -1)</f>
        <v>866575.102167723</v>
      </c>
      <c r="D16" s="100">
        <f t="shared" si="2"/>
        <v>867981.16715938225</v>
      </c>
      <c r="E16" s="99" cm="1">
        <f t="array" ref="E16">_xlfn.LET(
    _xlpm.k, ROW()-1,
    _xlpm.baseFlows, $B$2:INDEX($B$2:$B$47, _xlpm.k-1),
    _xlpm.lastCF, INDEX($B$2:$B$47, _xlpm.k) + INDEX($C$2:$C$47, _xlpm.k),
    IRR(_xlfn.VSTACK(_xlpm.baseFlows, _xlpm.lastCF))
)</f>
        <v>0.16572454922649538</v>
      </c>
      <c r="F16" s="101">
        <v>1</v>
      </c>
      <c r="G16" s="23">
        <f>SUMIFS(Model_15y!$AJ:$AJ, Model_15y!$B:$B, IRR_Calculations!$A16)</f>
        <v>1406.0649916593029</v>
      </c>
      <c r="H16" s="2">
        <f>_xlfn.XLOOKUP($A16, Net_Worth_Calculations!$B:$B,Net_Worth_Calculations!$D:$D, 0, 0, -1)</f>
        <v>862363.50110122142</v>
      </c>
      <c r="I16" s="100">
        <f t="shared" si="3"/>
        <v>863769.56609288068</v>
      </c>
      <c r="J16" s="99" cm="1">
        <f t="array" ref="J16">_xlfn.LET(
    _xlpm.k, ROW()-1,
    _xlpm.baseFlows, $G$2:INDEX($G$2:$G$47, _xlpm.k-1),
    _xlpm.lastCF, INDEX($G$2:$G$47, _xlpm.k) + INDEX($H$2:$H$47, _xlpm.k),
    IRR(_xlfn.VSTACK(_xlpm.baseFlows, _xlpm.lastCF))
)</f>
        <v>0.16532115473549425</v>
      </c>
      <c r="K16" s="101">
        <v>1</v>
      </c>
      <c r="L16" s="23">
        <f>SUMIFS(Model_Renter!P:P, Model_Renter!$B:$B,$A16)</f>
        <v>-16681.027731269969</v>
      </c>
      <c r="M16" s="2">
        <f>_xlfn.XLOOKUP($A16, Net_Worth_Calculations!$B:$B,Net_Worth_Calculations!E:E, 0, 0, -1)</f>
        <v>820291.50763922394</v>
      </c>
      <c r="N16" s="100">
        <f t="shared" si="0"/>
        <v>803610.479907954</v>
      </c>
      <c r="O16" s="99" cm="1">
        <f t="array" ref="O16">_xlfn.LET(
    _xlpm.k, ROW()-1,
    _xlpm.baseFlows, $L$2:INDEX($L$2:$L$47, _xlpm.k-1),
    _xlpm.lastCF, INDEX($L$2:$L$47, _xlpm.k) + INDEX($M$2:$M$47, _xlpm.k),
    IRR(_xlfn.VSTACK(_xlpm.baseFlows, _xlpm.lastCF))
)</f>
        <v>8.5373465915223878E-2</v>
      </c>
      <c r="P16" s="101">
        <v>1</v>
      </c>
      <c r="R16" s="5"/>
    </row>
    <row r="17" spans="1:20" x14ac:dyDescent="0.25">
      <c r="A17" s="33">
        <f t="shared" si="1"/>
        <v>15</v>
      </c>
      <c r="B17" s="23">
        <f>SUMIFS(Model_30y!$AJ:$AJ, Model_30y!$B:$B, IRR_Calculations!$A17)</f>
        <v>1514.8192087628277</v>
      </c>
      <c r="C17" s="2">
        <f>_xlfn.XLOOKUP($A17, Net_Worth_Calculations!$B:$B,Net_Worth_Calculations!$C:$C, 0, 0, -1)</f>
        <v>952713.95368278213</v>
      </c>
      <c r="D17" s="100">
        <f t="shared" si="2"/>
        <v>954228.77289154497</v>
      </c>
      <c r="E17" s="99" cm="1">
        <f t="array" ref="E17">_xlfn.LET(
    _xlpm.k, ROW()-1,
    _xlpm.baseFlows, $B$2:INDEX($B$2:$B$47, _xlpm.k-1),
    _xlpm.lastCF, INDEX($B$2:$B$47, _xlpm.k) + INDEX($C$2:$C$47, _xlpm.k),
    IRR(_xlfn.VSTACK(_xlpm.baseFlows, _xlpm.lastCF))
)</f>
        <v>0.16132713323477588</v>
      </c>
      <c r="F17" s="101">
        <v>1</v>
      </c>
      <c r="G17" s="23">
        <f>SUMIFS(Model_15y!$AJ:$AJ, Model_15y!$B:$B, IRR_Calculations!$A17)</f>
        <v>1514.8192087628277</v>
      </c>
      <c r="H17" s="2">
        <f>_xlfn.XLOOKUP($A17, Net_Worth_Calculations!$B:$B,Net_Worth_Calculations!$D:$D, 0, 0, -1)</f>
        <v>942231.04467475472</v>
      </c>
      <c r="I17" s="100">
        <f t="shared" si="3"/>
        <v>943745.86388351757</v>
      </c>
      <c r="J17" s="99" cm="1">
        <f t="array" ref="J17">_xlfn.LET(
    _xlpm.k, ROW()-1,
    _xlpm.baseFlows, $G$2:INDEX($G$2:$G$47, _xlpm.k-1),
    _xlpm.lastCF, INDEX($G$2:$G$47, _xlpm.k) + INDEX($H$2:$H$47, _xlpm.k),
    IRR(_xlfn.VSTACK(_xlpm.baseFlows, _xlpm.lastCF))
)</f>
        <v>0.1604768392035798</v>
      </c>
      <c r="K17" s="101">
        <v>1</v>
      </c>
      <c r="L17" s="23">
        <f>SUMIFS(Model_Renter!P:P, Model_Renter!$B:$B,$A17)</f>
        <v>-16481.732535527717</v>
      </c>
      <c r="M17" s="2">
        <f>_xlfn.XLOOKUP($A17, Net_Worth_Calculations!$B:$B,Net_Worth_Calculations!E:E, 0, 0, -1)</f>
        <v>906399.76111498207</v>
      </c>
      <c r="N17" s="100">
        <f t="shared" si="0"/>
        <v>889918.0285794544</v>
      </c>
      <c r="O17" s="99" cm="1">
        <f t="array" ref="O17">_xlfn.LET(
    _xlpm.k, ROW()-1,
    _xlpm.baseFlows, $L$2:INDEX($L$2:$L$47, _xlpm.k-1),
    _xlpm.lastCF, INDEX($L$2:$L$47, _xlpm.k) + INDEX($M$2:$M$47, _xlpm.k),
    IRR(_xlfn.VSTACK(_xlpm.baseFlows, _xlpm.lastCF))
)</f>
        <v>8.533086284052116E-2</v>
      </c>
      <c r="P17" s="101">
        <v>1</v>
      </c>
      <c r="R17" s="5"/>
    </row>
    <row r="18" spans="1:20" x14ac:dyDescent="0.25">
      <c r="A18" s="33">
        <f t="shared" si="1"/>
        <v>16</v>
      </c>
      <c r="B18" s="23">
        <f>SUMIFS(Model_30y!$AJ:$AJ, Model_30y!$B:$B, IRR_Calculations!$A18)</f>
        <v>1602.1438086151356</v>
      </c>
      <c r="C18" s="2">
        <f>_xlfn.XLOOKUP($A18, Net_Worth_Calculations!$B:$B,Net_Worth_Calculations!$C:$C, 0, 0, -1)</f>
        <v>1044455.2534319425</v>
      </c>
      <c r="D18" s="100">
        <f t="shared" si="2"/>
        <v>1046057.3972405577</v>
      </c>
      <c r="E18" s="99" cm="1">
        <f t="array" ref="E18">_xlfn.LET(
    _xlpm.k, ROW()-1,
    _xlpm.baseFlows, $B$2:INDEX($B$2:$B$47, _xlpm.k-1),
    _xlpm.lastCF, INDEX($B$2:$B$47, _xlpm.k) + INDEX($C$2:$C$47, _xlpm.k),
    IRR(_xlfn.VSTACK(_xlpm.baseFlows, _xlpm.lastCF))
)</f>
        <v>0.15729003994927737</v>
      </c>
      <c r="F18" s="101">
        <v>1</v>
      </c>
      <c r="G18" s="23">
        <f>SUMIFS(Model_15y!$AJ:$AJ, Model_15y!$B:$B, IRR_Calculations!$A18)</f>
        <v>1602.1438086151356</v>
      </c>
      <c r="H18" s="2">
        <f>_xlfn.XLOOKUP($A18, Net_Worth_Calculations!$B:$B,Net_Worth_Calculations!$D:$D, 0, 0, -1)</f>
        <v>1026798.7888290097</v>
      </c>
      <c r="I18" s="100">
        <f t="shared" si="3"/>
        <v>1028400.9326376249</v>
      </c>
      <c r="J18" s="99" cm="1">
        <f t="array" ref="J18">_xlfn.LET(
    _xlpm.k, ROW()-1,
    _xlpm.baseFlows, $G$2:INDEX($G$2:$G$47, _xlpm.k-1),
    _xlpm.lastCF, INDEX($G$2:$G$47, _xlpm.k) + INDEX($H$2:$H$47, _xlpm.k),
    IRR(_xlfn.VSTACK(_xlpm.baseFlows, _xlpm.lastCF))
)</f>
        <v>0.15606798834957925</v>
      </c>
      <c r="K18" s="101">
        <v>1</v>
      </c>
      <c r="L18" s="23">
        <f>SUMIFS(Model_Renter!P:P, Model_Renter!$B:$B,$A18)</f>
        <v>-16297.591662604875</v>
      </c>
      <c r="M18" s="2">
        <f>_xlfn.XLOOKUP($A18, Net_Worth_Calculations!$B:$B,Net_Worth_Calculations!E:E, 0, 0, -1)</f>
        <v>999617.14787119743</v>
      </c>
      <c r="N18" s="100">
        <f t="shared" si="0"/>
        <v>983319.55620859261</v>
      </c>
      <c r="O18" s="99" cm="1">
        <f t="array" ref="O18">_xlfn.LET(
    _xlpm.k, ROW()-1,
    _xlpm.baseFlows, $L$2:INDEX($L$2:$L$47, _xlpm.k-1),
    _xlpm.lastCF, INDEX($L$2:$L$47, _xlpm.k) + INDEX($M$2:$M$47, _xlpm.k),
    IRR(_xlfn.VSTACK(_xlpm.baseFlows, _xlpm.lastCF))
)</f>
        <v>8.5293029046813684E-2</v>
      </c>
      <c r="P18" s="101">
        <v>1</v>
      </c>
      <c r="R18" s="5"/>
      <c r="T18" s="29"/>
    </row>
    <row r="19" spans="1:20" x14ac:dyDescent="0.25">
      <c r="A19" s="33">
        <f t="shared" si="1"/>
        <v>17</v>
      </c>
      <c r="B19" s="23">
        <f>SUMIFS(Model_30y!$AJ:$AJ, Model_30y!$B:$B, IRR_Calculations!$A19)</f>
        <v>1665.9066877148762</v>
      </c>
      <c r="C19" s="2">
        <f>_xlfn.XLOOKUP($A19, Net_Worth_Calculations!$B:$B,Net_Worth_Calculations!$C:$C, 0, 0, -1)</f>
        <v>1142184.4743817763</v>
      </c>
      <c r="D19" s="100">
        <f t="shared" si="2"/>
        <v>1143850.3810694912</v>
      </c>
      <c r="E19" s="99" cm="1">
        <f t="array" ref="E19">_xlfn.LET(
    _xlpm.k, ROW()-1,
    _xlpm.baseFlows, $B$2:INDEX($B$2:$B$47, _xlpm.k-1),
    _xlpm.lastCF, INDEX($B$2:$B$47, _xlpm.k) + INDEX($C$2:$C$47, _xlpm.k),
    IRR(_xlfn.VSTACK(_xlpm.baseFlows, _xlpm.lastCF))
)</f>
        <v>0.15357050294233221</v>
      </c>
      <c r="F19" s="101">
        <v>1</v>
      </c>
      <c r="G19" s="23">
        <f>SUMIFS(Model_15y!$AJ:$AJ, Model_15y!$B:$B, IRR_Calculations!$A19)</f>
        <v>1665.9066877148762</v>
      </c>
      <c r="H19" s="2">
        <f>_xlfn.XLOOKUP($A19, Net_Worth_Calculations!$B:$B,Net_Worth_Calculations!$D:$D, 0, 0, -1)</f>
        <v>1117008.3723325832</v>
      </c>
      <c r="I19" s="100">
        <f t="shared" si="3"/>
        <v>1118674.279020298</v>
      </c>
      <c r="J19" s="99" cm="1">
        <f t="array" ref="J19">_xlfn.LET(
    _xlpm.k, ROW()-1,
    _xlpm.baseFlows, $G$2:INDEX($G$2:$G$47, _xlpm.k-1),
    _xlpm.lastCF, INDEX($G$2:$G$47, _xlpm.k) + INDEX($H$2:$H$47, _xlpm.k),
    IRR(_xlfn.VSTACK(_xlpm.baseFlows, _xlpm.lastCF))
)</f>
        <v>0.15207404772840771</v>
      </c>
      <c r="K19" s="101">
        <v>1</v>
      </c>
      <c r="L19" s="23">
        <f>SUMIFS(Model_Renter!P:P, Model_Renter!$B:$B,$A19)</f>
        <v>-16130.302282331908</v>
      </c>
      <c r="M19" s="2">
        <f>_xlfn.XLOOKUP($A19, Net_Worth_Calculations!$B:$B,Net_Worth_Calculations!E:E, 0, 0, -1)</f>
        <v>1100564.7057863381</v>
      </c>
      <c r="N19" s="100">
        <f t="shared" si="0"/>
        <v>1084434.4035040061</v>
      </c>
      <c r="O19" s="99" cm="1">
        <f t="array" ref="O19">_xlfn.LET(
    _xlpm.k, ROW()-1,
    _xlpm.baseFlows, $L$2:INDEX($L$2:$L$47, _xlpm.k-1),
    _xlpm.lastCF, INDEX($L$2:$L$47, _xlpm.k) + INDEX($M$2:$M$47, _xlpm.k),
    IRR(_xlfn.VSTACK(_xlpm.baseFlows, _xlpm.lastCF))
)</f>
        <v>8.5259355092998979E-2</v>
      </c>
      <c r="P19" s="101">
        <v>1</v>
      </c>
      <c r="R19" s="5"/>
    </row>
    <row r="20" spans="1:20" x14ac:dyDescent="0.25">
      <c r="A20" s="33">
        <f t="shared" si="1"/>
        <v>18</v>
      </c>
      <c r="B20" s="23">
        <f>SUMIFS(Model_30y!$AJ:$AJ, Model_30y!$B:$B, IRR_Calculations!$A20)</f>
        <v>1703.8256037326501</v>
      </c>
      <c r="C20" s="2">
        <f>_xlfn.XLOOKUP($A20, Net_Worth_Calculations!$B:$B,Net_Worth_Calculations!$C:$C, 0, 0, -1)</f>
        <v>1246314.9874361109</v>
      </c>
      <c r="D20" s="100">
        <f t="shared" si="2"/>
        <v>1248018.8130398435</v>
      </c>
      <c r="E20" s="99" cm="1">
        <f t="array" ref="E20">_xlfn.LET(
    _xlpm.k, ROW()-1,
    _xlpm.baseFlows, $B$2:INDEX($B$2:$B$47, _xlpm.k-1),
    _xlpm.lastCF, INDEX($B$2:$B$47, _xlpm.k) + INDEX($C$2:$C$47, _xlpm.k),
    IRR(_xlfn.VSTACK(_xlpm.baseFlows, _xlpm.lastCF))
)</f>
        <v>0.15013214991023838</v>
      </c>
      <c r="F20" s="101">
        <v>1</v>
      </c>
      <c r="G20" s="23">
        <f>SUMIFS(Model_15y!$AJ:$AJ, Model_15y!$B:$B, IRR_Calculations!$A20)</f>
        <v>1703.8256037326501</v>
      </c>
      <c r="H20" s="2">
        <f>_xlfn.XLOOKUP($A20, Net_Worth_Calculations!$B:$B,Net_Worth_Calculations!$D:$D, 0, 0, -1)</f>
        <v>1213262.0230236703</v>
      </c>
      <c r="I20" s="100">
        <f t="shared" si="3"/>
        <v>1214965.8486274029</v>
      </c>
      <c r="J20" s="99" cm="1">
        <f t="array" ref="J20">_xlfn.LET(
    _xlpm.k, ROW()-1,
    _xlpm.baseFlows, $G$2:INDEX($G$2:$G$47, _xlpm.k-1),
    _xlpm.lastCF, INDEX($G$2:$G$47, _xlpm.k) + INDEX($H$2:$H$47, _xlpm.k),
    IRR(_xlfn.VSTACK(_xlpm.baseFlows, _xlpm.lastCF))
)</f>
        <v>0.14843525439058736</v>
      </c>
      <c r="K20" s="101">
        <v>1</v>
      </c>
      <c r="L20" s="23">
        <f>SUMIFS(Model_Renter!P:P, Model_Renter!$B:$B,$A20)</f>
        <v>-15981.681558598773</v>
      </c>
      <c r="M20" s="2">
        <f>_xlfn.XLOOKUP($A20, Net_Worth_Calculations!$B:$B,Net_Worth_Calculations!E:E, 0, 0, -1)</f>
        <v>1209918.1178858462</v>
      </c>
      <c r="N20" s="100">
        <f t="shared" si="0"/>
        <v>1193936.4363272474</v>
      </c>
      <c r="O20" s="99" cm="1">
        <f t="array" ref="O20">_xlfn.LET(
    _xlpm.k, ROW()-1,
    _xlpm.baseFlows, $L$2:INDEX($L$2:$L$47, _xlpm.k-1),
    _xlpm.lastCF, INDEX($L$2:$L$47, _xlpm.k) + INDEX($M$2:$M$47, _xlpm.k),
    IRR(_xlfn.VSTACK(_xlpm.baseFlows, _xlpm.lastCF))
)</f>
        <v>8.522932622069912E-2</v>
      </c>
      <c r="P20" s="101">
        <v>1</v>
      </c>
      <c r="R20" s="5"/>
    </row>
    <row r="21" spans="1:20" x14ac:dyDescent="0.25">
      <c r="A21" s="33">
        <f t="shared" si="1"/>
        <v>19</v>
      </c>
      <c r="B21" s="23">
        <f>SUMIFS(Model_30y!$AJ:$AJ, Model_30y!$B:$B, IRR_Calculations!$A21)</f>
        <v>1713.4587724374824</v>
      </c>
      <c r="C21" s="2">
        <f>_xlfn.XLOOKUP($A21, Net_Worth_Calculations!$B:$B,Net_Worth_Calculations!$C:$C, 0, 0, -1)</f>
        <v>1357290.166483219</v>
      </c>
      <c r="D21" s="100">
        <f t="shared" si="2"/>
        <v>1359003.6252556564</v>
      </c>
      <c r="E21" s="99" cm="1">
        <f t="array" ref="E21">_xlfn.LET(
    _xlpm.k, ROW()-1,
    _xlpm.baseFlows, $B$2:INDEX($B$2:$B$47, _xlpm.k-1),
    _xlpm.lastCF, INDEX($B$2:$B$47, _xlpm.k) + INDEX($C$2:$C$47, _xlpm.k),
    IRR(_xlfn.VSTACK(_xlpm.baseFlows, _xlpm.lastCF))
)</f>
        <v>0.14694390550854775</v>
      </c>
      <c r="F21" s="101">
        <v>1</v>
      </c>
      <c r="G21" s="23">
        <f>SUMIFS(Model_15y!$AJ:$AJ, Model_15y!$B:$B, IRR_Calculations!$A21)</f>
        <v>1713.4587724374824</v>
      </c>
      <c r="H21" s="2">
        <f>_xlfn.XLOOKUP($A21, Net_Worth_Calculations!$B:$B,Net_Worth_Calculations!$D:$D, 0, 0, -1)</f>
        <v>1315992.2910387188</v>
      </c>
      <c r="I21" s="100">
        <f t="shared" si="3"/>
        <v>1317705.7498111562</v>
      </c>
      <c r="J21" s="99" cm="1">
        <f t="array" ref="J21">_xlfn.LET(
    _xlpm.k, ROW()-1,
    _xlpm.baseFlows, $G$2:INDEX($G$2:$G$47, _xlpm.k-1),
    _xlpm.lastCF, INDEX($G$2:$G$47, _xlpm.k) + INDEX($H$2:$H$47, _xlpm.k),
    IRR(_xlfn.VSTACK(_xlpm.baseFlows, _xlpm.lastCF))
)</f>
        <v>0.14510330824458162</v>
      </c>
      <c r="K21" s="101">
        <v>1</v>
      </c>
      <c r="L21" s="23">
        <f>SUMIFS(Model_Renter!P:P, Model_Renter!$B:$B,$A21)</f>
        <v>-15853.67396312816</v>
      </c>
      <c r="M21" s="2">
        <f>_xlfn.XLOOKUP($A21, Net_Worth_Calculations!$B:$B,Net_Worth_Calculations!E:E, 0, 0, -1)</f>
        <v>1328412.4880579044</v>
      </c>
      <c r="N21" s="100">
        <f t="shared" si="0"/>
        <v>1312558.8140947763</v>
      </c>
      <c r="O21" s="99" cm="1">
        <f t="array" ref="O21">_xlfn.LET(
    _xlpm.k, ROW()-1,
    _xlpm.baseFlows, $L$2:INDEX($L$2:$L$47, _xlpm.k-1),
    _xlpm.lastCF, INDEX($L$2:$L$47, _xlpm.k) + INDEX($M$2:$M$47, _xlpm.k),
    IRR(_xlfn.VSTACK(_xlpm.baseFlows, _xlpm.lastCF))
)</f>
        <v>8.520250465307444E-2</v>
      </c>
      <c r="P21" s="101">
        <v>1</v>
      </c>
      <c r="R21" s="5"/>
    </row>
    <row r="22" spans="1:20" x14ac:dyDescent="0.25">
      <c r="A22" s="33">
        <f t="shared" si="1"/>
        <v>20</v>
      </c>
      <c r="B22" s="23">
        <f>SUMIFS(Model_30y!$AJ:$AJ, Model_30y!$B:$B, IRR_Calculations!$A22)</f>
        <v>1692.194904981242</v>
      </c>
      <c r="C22" s="2">
        <f>_xlfn.XLOOKUP($A22, Net_Worth_Calculations!$B:$B,Net_Worth_Calculations!$C:$C, 0, 0, -1)</f>
        <v>1475585.6574693816</v>
      </c>
      <c r="D22" s="100">
        <f t="shared" si="2"/>
        <v>1477277.8523743628</v>
      </c>
      <c r="E22" s="99" cm="1">
        <f t="array" ref="E22">_xlfn.LET(
    _xlpm.k, ROW()-1,
    _xlpm.baseFlows, $B$2:INDEX($B$2:$B$47, _xlpm.k-1),
    _xlpm.lastCF, INDEX($B$2:$B$47, _xlpm.k) + INDEX($C$2:$C$47, _xlpm.k),
    IRR(_xlfn.VSTACK(_xlpm.baseFlows, _xlpm.lastCF))
)</f>
        <v>0.14397909298442957</v>
      </c>
      <c r="F22" s="101">
        <v>1</v>
      </c>
      <c r="G22" s="23">
        <f>SUMIFS(Model_15y!$AJ:$AJ, Model_15y!$B:$B, IRR_Calculations!$A22)</f>
        <v>1692.194904981242</v>
      </c>
      <c r="H22" s="2">
        <f>_xlfn.XLOOKUP($A22, Net_Worth_Calculations!$B:$B,Net_Worth_Calculations!$D:$D, 0, 0, -1)</f>
        <v>1425664.4327997549</v>
      </c>
      <c r="I22" s="100">
        <f t="shared" si="3"/>
        <v>1427356.6277047361</v>
      </c>
      <c r="J22" s="99" cm="1">
        <f t="array" ref="J22">_xlfn.LET(
    _xlpm.k, ROW()-1,
    _xlpm.baseFlows, $G$2:INDEX($G$2:$G$47, _xlpm.k-1),
    _xlpm.lastCF, INDEX($G$2:$G$47, _xlpm.k) + INDEX($H$2:$H$47, _xlpm.k),
    IRR(_xlfn.VSTACK(_xlpm.baseFlows, _xlpm.lastCF))
)</f>
        <v>0.1420386766542685</v>
      </c>
      <c r="K22" s="101">
        <v>1</v>
      </c>
      <c r="L22" s="23">
        <f>SUMIFS(Model_Renter!P:P, Model_Renter!$B:$B,$A22)</f>
        <v>-15748.359004083606</v>
      </c>
      <c r="M22" s="2">
        <f>_xlfn.XLOOKUP($A22, Net_Worth_Calculations!$B:$B,Net_Worth_Calculations!E:E, 0, 0, -1)</f>
        <v>1456847.5306651345</v>
      </c>
      <c r="N22" s="100">
        <f t="shared" si="0"/>
        <v>1441099.171661051</v>
      </c>
      <c r="O22" s="99" cm="1">
        <f t="array" ref="O22">_xlfn.LET(
    _xlpm.k, ROW()-1,
    _xlpm.baseFlows, $L$2:INDEX($L$2:$L$47, _xlpm.k-1),
    _xlpm.lastCF, INDEX($L$2:$L$47, _xlpm.k) + INDEX($M$2:$M$47, _xlpm.k),
    IRR(_xlfn.VSTACK(_xlpm.baseFlows, _xlpm.lastCF))
)</f>
        <v>8.5178515737131422E-2</v>
      </c>
      <c r="P22" s="101">
        <v>1</v>
      </c>
      <c r="R22" s="5"/>
    </row>
    <row r="23" spans="1:20" x14ac:dyDescent="0.25">
      <c r="A23" s="33">
        <f t="shared" si="1"/>
        <v>21</v>
      </c>
      <c r="B23" s="23">
        <f>SUMIFS(Model_30y!$AJ:$AJ, Model_30y!$B:$B, IRR_Calculations!$A23)</f>
        <v>1637.2426529249251</v>
      </c>
      <c r="C23" s="2">
        <f>_xlfn.XLOOKUP($A23, Net_Worth_Calculations!$B:$B,Net_Worth_Calculations!$C:$C, 0, 0, -1)</f>
        <v>1601711.8245857731</v>
      </c>
      <c r="D23" s="100">
        <f t="shared" si="2"/>
        <v>1603349.067238698</v>
      </c>
      <c r="E23" s="99" cm="1">
        <f t="array" ref="E23">_xlfn.LET(
    _xlpm.k, ROW()-1,
    _xlpm.baseFlows, $B$2:INDEX($B$2:$B$47, _xlpm.k-1),
    _xlpm.lastCF, INDEX($B$2:$B$47, _xlpm.k) + INDEX($C$2:$C$47, _xlpm.k),
    IRR(_xlfn.VSTACK(_xlpm.baseFlows, _xlpm.lastCF))
)</f>
        <v>0.14121470155603566</v>
      </c>
      <c r="F23" s="101">
        <v>1</v>
      </c>
      <c r="G23" s="23">
        <f>SUMIFS(Model_15y!$AJ:$AJ, Model_15y!$B:$B, IRR_Calculations!$A23)</f>
        <v>1637.2426529249251</v>
      </c>
      <c r="H23" s="2">
        <f>_xlfn.XLOOKUP($A23, Net_Worth_Calculations!$B:$B,Net_Worth_Calculations!$D:$D, 0, 0, -1)</f>
        <v>1542778.9879655908</v>
      </c>
      <c r="I23" s="100">
        <f t="shared" si="3"/>
        <v>1544416.2306185158</v>
      </c>
      <c r="J23" s="99" cm="1">
        <f t="array" ref="J23">_xlfn.LET(
    _xlpm.k, ROW()-1,
    _xlpm.baseFlows, $G$2:INDEX($G$2:$G$47, _xlpm.k-1),
    _xlpm.lastCF, INDEX($G$2:$G$47, _xlpm.k) + INDEX($H$2:$H$47, _xlpm.k),
    IRR(_xlfn.VSTACK(_xlpm.baseFlows, _xlpm.lastCF))
)</f>
        <v>0.13920863900472291</v>
      </c>
      <c r="K23" s="101">
        <v>1</v>
      </c>
      <c r="L23" s="23">
        <f>SUMIFS(Model_Renter!P:P, Model_Renter!$B:$B,$A23)</f>
        <v>-15667.959392092294</v>
      </c>
      <c r="M23" s="2">
        <f>_xlfn.XLOOKUP($A23, Net_Worth_Calculations!$B:$B,Net_Worth_Calculations!E:E, 0, 0, -1)</f>
        <v>1596093.2096838278</v>
      </c>
      <c r="N23" s="100">
        <f t="shared" si="0"/>
        <v>1580425.2502917356</v>
      </c>
      <c r="O23" s="99" cm="1">
        <f t="array" ref="O23">_xlfn.LET(
    _xlpm.k, ROW()-1,
    _xlpm.baseFlows, $L$2:INDEX($L$2:$L$47, _xlpm.k-1),
    _xlpm.lastCF, INDEX($L$2:$L$47, _xlpm.k) + INDEX($M$2:$M$47, _xlpm.k),
    IRR(_xlfn.VSTACK(_xlpm.baseFlows, _xlpm.lastCF))
)</f>
        <v>8.5157036988865231E-2</v>
      </c>
      <c r="P23" s="101">
        <v>1</v>
      </c>
      <c r="R23" s="5"/>
    </row>
    <row r="24" spans="1:20" x14ac:dyDescent="0.25">
      <c r="A24" s="33">
        <f t="shared" si="1"/>
        <v>22</v>
      </c>
      <c r="B24" s="23">
        <f>SUMIFS(Model_30y!$AJ:$AJ, Model_30y!$B:$B, IRR_Calculations!$A24)</f>
        <v>1545.6194264971964</v>
      </c>
      <c r="C24" s="2">
        <f>_xlfn.XLOOKUP($A24, Net_Worth_Calculations!$B:$B,Net_Worth_Calculations!$C:$C, 0, 0, -1)</f>
        <v>1736216.387717593</v>
      </c>
      <c r="D24" s="100">
        <f t="shared" si="2"/>
        <v>1737762.0071440903</v>
      </c>
      <c r="E24" s="99" cm="1">
        <f t="array" ref="E24">_xlfn.LET(
    _xlpm.k, ROW()-1,
    _xlpm.baseFlows, $B$2:INDEX($B$2:$B$47, _xlpm.k-1),
    _xlpm.lastCF, INDEX($B$2:$B$47, _xlpm.k) + INDEX($C$2:$C$47, _xlpm.k),
    IRR(_xlfn.VSTACK(_xlpm.baseFlows, _xlpm.lastCF))
)</f>
        <v>0.13863078905797743</v>
      </c>
      <c r="F24" s="101">
        <v>1</v>
      </c>
      <c r="G24" s="23">
        <f>SUMIFS(Model_15y!$AJ:$AJ, Model_15y!$B:$B, IRR_Calculations!$A24)</f>
        <v>1545.6194264971964</v>
      </c>
      <c r="H24" s="2">
        <f>_xlfn.XLOOKUP($A24, Net_Worth_Calculations!$B:$B,Net_Worth_Calculations!$D:$D, 0, 0, -1)</f>
        <v>1667874.5652646939</v>
      </c>
      <c r="I24" s="100">
        <f t="shared" si="3"/>
        <v>1669420.1846911912</v>
      </c>
      <c r="J24" s="99" cm="1">
        <f t="array" ref="J24">_xlfn.LET(
    _xlpm.k, ROW()-1,
    _xlpm.baseFlows, $G$2:INDEX($G$2:$G$47, _xlpm.k-1),
    _xlpm.lastCF, INDEX($G$2:$G$47, _xlpm.k) + INDEX($H$2:$H$47, _xlpm.k),
    IRR(_xlfn.VSTACK(_xlpm.baseFlows, _xlpm.lastCF))
)</f>
        <v>0.13658584178253452</v>
      </c>
      <c r="K24" s="101">
        <v>1</v>
      </c>
      <c r="L24" s="23">
        <f>SUMIFS(Model_Renter!P:P, Model_Renter!$B:$B,$A24)</f>
        <v>-15614.849667460045</v>
      </c>
      <c r="M24" s="2">
        <f>_xlfn.XLOOKUP($A24, Net_Worth_Calculations!$B:$B,Net_Worth_Calculations!E:E, 0, 0, -1)</f>
        <v>1747095.8660554334</v>
      </c>
      <c r="N24" s="100">
        <f t="shared" si="0"/>
        <v>1731481.0163879734</v>
      </c>
      <c r="O24" s="99" cm="1">
        <f t="array" ref="O24">_xlfn.LET(
    _xlpm.k, ROW()-1,
    _xlpm.baseFlows, $L$2:INDEX($L$2:$L$47, _xlpm.k-1),
    _xlpm.lastCF, INDEX($L$2:$L$47, _xlpm.k) + INDEX($M$2:$M$47, _xlpm.k),
    IRR(_xlfn.VSTACK(_xlpm.baseFlows, _xlpm.lastCF))
)</f>
        <v>8.5137789354841953E-2</v>
      </c>
      <c r="P24" s="101">
        <v>1</v>
      </c>
      <c r="R24" s="5"/>
    </row>
    <row r="25" spans="1:20" x14ac:dyDescent="0.25">
      <c r="A25" s="33">
        <f t="shared" si="1"/>
        <v>23</v>
      </c>
      <c r="B25" s="23">
        <f>SUMIFS(Model_30y!$AJ:$AJ, Model_30y!$B:$B, IRR_Calculations!$A25)</f>
        <v>1414.139549571406</v>
      </c>
      <c r="C25" s="2">
        <f>_xlfn.XLOOKUP($A25, Net_Worth_Calculations!$B:$B,Net_Worth_Calculations!$C:$C, 0, 0, -1)</f>
        <v>1879687.2664535821</v>
      </c>
      <c r="D25" s="100">
        <f t="shared" si="2"/>
        <v>1881101.4060031534</v>
      </c>
      <c r="E25" s="99" cm="1">
        <f t="array" ref="E25">_xlfn.LET(
    _xlpm.k, ROW()-1,
    _xlpm.baseFlows, $B$2:INDEX($B$2:$B$47, _xlpm.k-1),
    _xlpm.lastCF, INDEX($B$2:$B$47, _xlpm.k) + INDEX($C$2:$C$47, _xlpm.k),
    IRR(_xlfn.VSTACK(_xlpm.baseFlows, _xlpm.lastCF))
)</f>
        <v>0.13620999388198518</v>
      </c>
      <c r="F25" s="101">
        <v>1</v>
      </c>
      <c r="G25" s="23">
        <f>SUMIFS(Model_15y!$AJ:$AJ, Model_15y!$B:$B, IRR_Calculations!$A25)</f>
        <v>1414.139549571406</v>
      </c>
      <c r="H25" s="2">
        <f>_xlfn.XLOOKUP($A25, Net_Worth_Calculations!$B:$B,Net_Worth_Calculations!$D:$D, 0, 0, -1)</f>
        <v>1801530.854456271</v>
      </c>
      <c r="I25" s="100">
        <f t="shared" si="3"/>
        <v>1802944.9940058424</v>
      </c>
      <c r="J25" s="99" cm="1">
        <f t="array" ref="J25">_xlfn.LET(
    _xlpm.k, ROW()-1,
    _xlpm.baseFlows, $G$2:INDEX($G$2:$G$47, _xlpm.k-1),
    _xlpm.lastCF, INDEX($G$2:$G$47, _xlpm.k) + INDEX($H$2:$H$47, _xlpm.k),
    IRR(_xlfn.VSTACK(_xlpm.baseFlows, _xlpm.lastCF))
)</f>
        <v>0.13414721323555123</v>
      </c>
      <c r="K25" s="101">
        <v>1</v>
      </c>
      <c r="L25" s="23">
        <f>SUMIFS(Model_Renter!P:P, Model_Renter!$B:$B,$A25)</f>
        <v>-15591.565313616486</v>
      </c>
      <c r="M25" s="2">
        <f>_xlfn.XLOOKUP($A25, Net_Worth_Calculations!$B:$B,Net_Worth_Calculations!E:E, 0, 0, -1)</f>
        <v>1910884.8752489442</v>
      </c>
      <c r="N25" s="100">
        <f t="shared" si="0"/>
        <v>1895293.3099353276</v>
      </c>
      <c r="O25" s="99" cm="1">
        <f t="array" ref="O25">_xlfn.LET(
    _xlpm.k, ROW()-1,
    _xlpm.baseFlows, $L$2:INDEX($L$2:$L$47, _xlpm.k-1),
    _xlpm.lastCF, INDEX($L$2:$L$47, _xlpm.k) + INDEX($M$2:$M$47, _xlpm.k),
    IRR(_xlfn.VSTACK(_xlpm.baseFlows, _xlpm.lastCF))
)</f>
        <v>8.5120530183257825E-2</v>
      </c>
      <c r="P25" s="101">
        <v>1</v>
      </c>
      <c r="R25" s="5"/>
    </row>
    <row r="26" spans="1:20" x14ac:dyDescent="0.25">
      <c r="A26" s="33">
        <f t="shared" si="1"/>
        <v>24</v>
      </c>
      <c r="B26" s="23">
        <f>SUMIFS(Model_30y!$AJ:$AJ, Model_30y!$B:$B, IRR_Calculations!$A26)</f>
        <v>1239.4017127265461</v>
      </c>
      <c r="C26" s="2">
        <f>_xlfn.XLOOKUP($A26, Net_Worth_Calculations!$B:$B,Net_Worth_Calculations!$C:$C, 0, 0, -1)</f>
        <v>2032755.647197701</v>
      </c>
      <c r="D26" s="100">
        <f t="shared" si="2"/>
        <v>2033995.0489104276</v>
      </c>
      <c r="E26" s="99" cm="1">
        <f t="array" ref="E26">_xlfn.LET(
    _xlpm.k, ROW()-1,
    _xlpm.baseFlows, $B$2:INDEX($B$2:$B$47, _xlpm.k-1),
    _xlpm.lastCF, INDEX($B$2:$B$47, _xlpm.k) + INDEX($C$2:$C$47, _xlpm.k),
    IRR(_xlfn.VSTACK(_xlpm.baseFlows, _xlpm.lastCF))
)</f>
        <v>0.13393713489094172</v>
      </c>
      <c r="F26" s="101">
        <v>1</v>
      </c>
      <c r="G26" s="23">
        <f>SUMIFS(Model_15y!$AJ:$AJ, Model_15y!$B:$B, IRR_Calculations!$A26)</f>
        <v>1239.4017127265461</v>
      </c>
      <c r="H26" s="2">
        <f>_xlfn.XLOOKUP($A26, Net_Worth_Calculations!$B:$B,Net_Worth_Calculations!$D:$D, 0, 0, -1)</f>
        <v>1944371.8831066252</v>
      </c>
      <c r="I26" s="100">
        <f t="shared" si="3"/>
        <v>1945611.2848193517</v>
      </c>
      <c r="J26" s="99" cm="1">
        <f t="array" ref="J26">_xlfn.LET(
    _xlpm.k, ROW()-1,
    _xlpm.baseFlows, $G$2:INDEX($G$2:$G$47, _xlpm.k-1),
    _xlpm.lastCF, INDEX($G$2:$G$47, _xlpm.k) + INDEX($H$2:$H$47, _xlpm.k),
    IRR(_xlfn.VSTACK(_xlpm.baseFlows, _xlpm.lastCF))
)</f>
        <v>0.13187313604113826</v>
      </c>
      <c r="K26" s="101">
        <v>1</v>
      </c>
      <c r="L26" s="23">
        <f>SUMIFS(Model_Renter!P:P, Model_Renter!$B:$B,$A26)</f>
        <v>-15600.8123831536</v>
      </c>
      <c r="M26" s="2">
        <f>_xlfn.XLOOKUP($A26, Net_Worth_Calculations!$B:$B,Net_Worth_Calculations!E:E, 0, 0, -1)</f>
        <v>2088579.8806298086</v>
      </c>
      <c r="N26" s="100">
        <f t="shared" si="0"/>
        <v>2072979.0682466549</v>
      </c>
      <c r="O26" s="99" cm="1">
        <f t="array" ref="O26">_xlfn.LET(
    _xlpm.k, ROW()-1,
    _xlpm.baseFlows, $L$2:INDEX($L$2:$L$47, _xlpm.k-1),
    _xlpm.lastCF, INDEX($L$2:$L$47, _xlpm.k) + INDEX($M$2:$M$47, _xlpm.k),
    IRR(_xlfn.VSTACK(_xlpm.baseFlows, _xlpm.lastCF))
)</f>
        <v>8.510504752584791E-2</v>
      </c>
      <c r="P26" s="101">
        <v>1</v>
      </c>
      <c r="R26" s="5"/>
    </row>
    <row r="27" spans="1:20" x14ac:dyDescent="0.25">
      <c r="A27" s="33">
        <f t="shared" si="1"/>
        <v>25</v>
      </c>
      <c r="B27" s="23">
        <f>SUMIFS(Model_30y!$AJ:$AJ, Model_30y!$B:$B, IRR_Calculations!$A27)</f>
        <v>1017.7756835116325</v>
      </c>
      <c r="C27" s="2">
        <f>_xlfn.XLOOKUP($A27, Net_Worth_Calculations!$B:$B,Net_Worth_Calculations!$C:$C, 0, 0, -1)</f>
        <v>2196099.2912706644</v>
      </c>
      <c r="D27" s="100">
        <f t="shared" si="2"/>
        <v>2197117.0669541759</v>
      </c>
      <c r="E27" s="99" cm="1">
        <f t="array" ref="E27">_xlfn.LET(
    _xlpm.k, ROW()-1,
    _xlpm.baseFlows, $B$2:INDEX($B$2:$B$47, _xlpm.k-1),
    _xlpm.lastCF, INDEX($B$2:$B$47, _xlpm.k) + INDEX($C$2:$C$47, _xlpm.k),
    IRR(_xlfn.VSTACK(_xlpm.baseFlows, _xlpm.lastCF))
)</f>
        <v>0.13179888212174573</v>
      </c>
      <c r="F27" s="101">
        <v>1</v>
      </c>
      <c r="G27" s="23">
        <f>SUMIFS(Model_15y!$AJ:$AJ, Model_15y!$B:$B, IRR_Calculations!$A27)</f>
        <v>1017.7756835116325</v>
      </c>
      <c r="H27" s="2">
        <f>_xlfn.XLOOKUP($A27, Net_Worth_Calculations!$B:$B,Net_Worth_Calculations!$D:$D, 0, 0, -1)</f>
        <v>2097069.5384295001</v>
      </c>
      <c r="I27" s="100">
        <f t="shared" si="3"/>
        <v>2098087.3141130116</v>
      </c>
      <c r="J27" s="99" cm="1">
        <f t="array" ref="J27">_xlfn.LET(
    _xlpm.k, ROW()-1,
    _xlpm.baseFlows, $G$2:INDEX($G$2:$G$47, _xlpm.k-1),
    _xlpm.lastCF, INDEX($G$2:$G$47, _xlpm.k) + INDEX($H$2:$H$47, _xlpm.k),
    IRR(_xlfn.VSTACK(_xlpm.baseFlows, _xlpm.lastCF))
)</f>
        <v>0.12974680821955009</v>
      </c>
      <c r="K27" s="101">
        <v>1</v>
      </c>
      <c r="L27" s="23">
        <f>SUMIFS(Model_Renter!P:P, Model_Renter!$B:$B,$A27)</f>
        <v>-15645.477664216569</v>
      </c>
      <c r="M27" s="2">
        <f>_xlfn.XLOOKUP($A27, Net_Worth_Calculations!$B:$B,Net_Worth_Calculations!E:E, 0, 0, -1)</f>
        <v>2281398.6521351226</v>
      </c>
      <c r="N27" s="100">
        <f t="shared" si="0"/>
        <v>2265753.1744709061</v>
      </c>
      <c r="O27" s="99" cm="1">
        <f t="array" ref="O27">_xlfn.LET(
    _xlpm.k, ROW()-1,
    _xlpm.baseFlows, $L$2:INDEX($L$2:$L$47, _xlpm.k-1),
    _xlpm.lastCF, INDEX($L$2:$L$47, _xlpm.k) + INDEX($M$2:$M$47, _xlpm.k),
    IRR(_xlfn.VSTACK(_xlpm.baseFlows, _xlpm.lastCF))
)</f>
        <v>8.5091155484923853E-2</v>
      </c>
      <c r="P27" s="101">
        <v>1</v>
      </c>
      <c r="R27" s="5"/>
    </row>
    <row r="28" spans="1:20" x14ac:dyDescent="0.25">
      <c r="A28" s="33">
        <f t="shared" si="1"/>
        <v>26</v>
      </c>
      <c r="B28" s="23">
        <f>SUMIFS(Model_30y!$AJ:$AJ, Model_30y!$B:$B, IRR_Calculations!$A28)</f>
        <v>745.38823065635461</v>
      </c>
      <c r="C28" s="2">
        <f>_xlfn.XLOOKUP($A28, Net_Worth_Calculations!$B:$B,Net_Worth_Calculations!$C:$C, 0, 0, -1)</f>
        <v>2370446.1033457043</v>
      </c>
      <c r="D28" s="100">
        <f t="shared" si="2"/>
        <v>2371191.4915763605</v>
      </c>
      <c r="E28" s="99" cm="1">
        <f t="array" ref="E28">_xlfn.LET(
    _xlpm.k, ROW()-1,
    _xlpm.baseFlows, $B$2:INDEX($B$2:$B$47, _xlpm.k-1),
    _xlpm.lastCF, INDEX($B$2:$B$47, _xlpm.k) + INDEX($C$2:$C$47, _xlpm.k),
    IRR(_xlfn.VSTACK(_xlpm.baseFlows, _xlpm.lastCF))
)</f>
        <v>0.12978348454968724</v>
      </c>
      <c r="F28" s="101">
        <v>1</v>
      </c>
      <c r="G28" s="23">
        <f>SUMIFS(Model_15y!$AJ:$AJ, Model_15y!$B:$B, IRR_Calculations!$A28)</f>
        <v>745.38823065635461</v>
      </c>
      <c r="H28" s="2">
        <f>_xlfn.XLOOKUP($A28, Net_Worth_Calculations!$B:$B,Net_Worth_Calculations!$D:$D, 0, 0, -1)</f>
        <v>2260347.3761322172</v>
      </c>
      <c r="I28" s="100">
        <f t="shared" si="3"/>
        <v>2261092.7643628735</v>
      </c>
      <c r="J28" s="99" cm="1">
        <f t="array" ref="J28">_xlfn.LET(
    _xlpm.k, ROW()-1,
    _xlpm.baseFlows, $G$2:INDEX($G$2:$G$47, _xlpm.k-1),
    _xlpm.lastCF, INDEX($G$2:$G$47, _xlpm.k) + INDEX($H$2:$H$47, _xlpm.k),
    IRR(_xlfn.VSTACK(_xlpm.baseFlows, _xlpm.lastCF))
)</f>
        <v>0.12775374348296364</v>
      </c>
      <c r="K28" s="101">
        <v>1</v>
      </c>
      <c r="L28" s="23">
        <f>SUMIFS(Model_Renter!P:P, Model_Renter!$B:$B,$A28)</f>
        <v>-15728.639416472712</v>
      </c>
      <c r="M28" s="2">
        <f>_xlfn.XLOOKUP($A28, Net_Worth_Calculations!$B:$B,Net_Worth_Calculations!E:E, 0, 0, -1)</f>
        <v>2490665.6239923579</v>
      </c>
      <c r="N28" s="100">
        <f t="shared" si="0"/>
        <v>2474936.9845758853</v>
      </c>
      <c r="O28" s="99" cm="1">
        <f t="array" ref="O28">_xlfn.LET(
    _xlpm.k, ROW()-1,
    _xlpm.baseFlows, $L$2:INDEX($L$2:$L$47, _xlpm.k-1),
    _xlpm.lastCF, INDEX($L$2:$L$47, _xlpm.k) + INDEX($M$2:$M$47, _xlpm.k),
    IRR(_xlfn.VSTACK(_xlpm.baseFlows, _xlpm.lastCF))
)</f>
        <v>8.5078690387847322E-2</v>
      </c>
      <c r="P28" s="101">
        <v>1</v>
      </c>
      <c r="R28" s="5"/>
    </row>
    <row r="29" spans="1:20" x14ac:dyDescent="0.25">
      <c r="A29" s="33">
        <f t="shared" si="1"/>
        <v>27</v>
      </c>
      <c r="B29" s="23">
        <f>SUMIFS(Model_30y!$AJ:$AJ, Model_30y!$B:$B, IRR_Calculations!$A29)</f>
        <v>418.10821645425858</v>
      </c>
      <c r="C29" s="2">
        <f>_xlfn.XLOOKUP($A29, Net_Worth_Calculations!$B:$B,Net_Worth_Calculations!$C:$C, 0, 0, -1)</f>
        <v>2556577.9811395016</v>
      </c>
      <c r="D29" s="100">
        <f t="shared" si="2"/>
        <v>2556996.0893559558</v>
      </c>
      <c r="E29" s="99" cm="1">
        <f t="array" ref="E29">_xlfn.LET(
    _xlpm.k, ROW()-1,
    _xlpm.baseFlows, $B$2:INDEX($B$2:$B$47, _xlpm.k-1),
    _xlpm.lastCF, INDEX($B$2:$B$47, _xlpm.k) + INDEX($C$2:$C$47, _xlpm.k),
    IRR(_xlfn.VSTACK(_xlpm.baseFlows, _xlpm.lastCF))
)</f>
        <v>0.12788054398747706</v>
      </c>
      <c r="F29" s="101">
        <v>1</v>
      </c>
      <c r="G29" s="23">
        <f>SUMIFS(Model_15y!$AJ:$AJ, Model_15y!$B:$B, IRR_Calculations!$A29)</f>
        <v>418.10821645425858</v>
      </c>
      <c r="H29" s="2">
        <f>_xlfn.XLOOKUP($A29, Net_Worth_Calculations!$B:$B,Net_Worth_Calculations!$D:$D, 0, 0, -1)</f>
        <v>2434984.7400449589</v>
      </c>
      <c r="I29" s="100">
        <f t="shared" si="3"/>
        <v>2435402.8482614132</v>
      </c>
      <c r="J29" s="99" cm="1">
        <f t="array" ref="J29">_xlfn.LET(
    _xlpm.k, ROW()-1,
    _xlpm.baseFlows, $G$2:INDEX($G$2:$G$47, _xlpm.k-1),
    _xlpm.lastCF, INDEX($G$2:$G$47, _xlpm.k) + INDEX($H$2:$H$47, _xlpm.k),
    IRR(_xlfn.VSTACK(_xlpm.baseFlows, _xlpm.lastCF))
)</f>
        <v>0.1258813762941513</v>
      </c>
      <c r="K29" s="101">
        <v>1</v>
      </c>
      <c r="L29" s="23">
        <f>SUMIFS(Model_Renter!P:P, Model_Renter!$B:$B,$A29)</f>
        <v>-15853.578707428715</v>
      </c>
      <c r="M29" s="2">
        <f>_xlfn.XLOOKUP($A29, Net_Worth_Calculations!$B:$B,Net_Worth_Calculations!E:E, 0, 0, -1)</f>
        <v>2717821.1698181243</v>
      </c>
      <c r="N29" s="100">
        <f t="shared" si="0"/>
        <v>2701967.5911106956</v>
      </c>
      <c r="O29" s="99" cm="1">
        <f t="array" ref="O29">_xlfn.LET(
    _xlpm.k, ROW()-1,
    _xlpm.baseFlows, $L$2:INDEX($L$2:$L$47, _xlpm.k-1),
    _xlpm.lastCF, INDEX($L$2:$L$47, _xlpm.k) + INDEX($M$2:$M$47, _xlpm.k),
    IRR(_xlfn.VSTACK(_xlpm.baseFlows, _xlpm.lastCF))
)</f>
        <v>8.5067507621575666E-2</v>
      </c>
      <c r="P29" s="101">
        <v>1</v>
      </c>
      <c r="R29" s="5"/>
    </row>
    <row r="30" spans="1:20" x14ac:dyDescent="0.25">
      <c r="A30" s="33">
        <f t="shared" si="1"/>
        <v>28</v>
      </c>
      <c r="B30" s="23">
        <f>SUMIFS(Model_30y!$AJ:$AJ, Model_30y!$B:$B, IRR_Calculations!$A30)</f>
        <v>31.530808880736004</v>
      </c>
      <c r="C30" s="2">
        <f>_xlfn.XLOOKUP($A30, Net_Worth_Calculations!$B:$B,Net_Worth_Calculations!$C:$C, 0, 0, -1)</f>
        <v>2755334.9689857601</v>
      </c>
      <c r="D30" s="100">
        <f t="shared" si="2"/>
        <v>2755366.499794641</v>
      </c>
      <c r="E30" s="99" cm="1">
        <f t="array" ref="E30">_xlfn.LET(
    _xlpm.k, ROW()-1,
    _xlpm.baseFlows, $B$2:INDEX($B$2:$B$47, _xlpm.k-1),
    _xlpm.lastCF, INDEX($B$2:$B$47, _xlpm.k) + INDEX($C$2:$C$47, _xlpm.k),
    IRR(_xlfn.VSTACK(_xlpm.baseFlows, _xlpm.lastCF))
)</f>
        <v>0.12608082642450702</v>
      </c>
      <c r="F30" s="101">
        <v>1</v>
      </c>
      <c r="G30" s="23">
        <f>SUMIFS(Model_15y!$AJ:$AJ, Model_15y!$B:$B, IRR_Calculations!$A30)</f>
        <v>31.530808880736004</v>
      </c>
      <c r="H30" s="2">
        <f>_xlfn.XLOOKUP($A30, Net_Worth_Calculations!$B:$B,Net_Worth_Calculations!$D:$D, 0, 0, -1)</f>
        <v>2621821.2183006974</v>
      </c>
      <c r="I30" s="100">
        <f t="shared" si="3"/>
        <v>2621852.7491095783</v>
      </c>
      <c r="J30" s="99" cm="1">
        <f t="array" ref="J30">_xlfn.LET(
    _xlpm.k, ROW()-1,
    _xlpm.baseFlows, $G$2:INDEX($G$2:$G$47, _xlpm.k-1),
    _xlpm.lastCF, INDEX($G$2:$G$47, _xlpm.k) + INDEX($H$2:$H$47, _xlpm.k),
    IRR(_xlfn.VSTACK(_xlpm.baseFlows, _xlpm.lastCF))
)</f>
        <v>0.1241187465486111</v>
      </c>
      <c r="K30" s="101">
        <v>1</v>
      </c>
      <c r="L30" s="23">
        <f>SUMIFS(Model_Renter!P:P, Model_Renter!$B:$B,$A30)</f>
        <v>-16023.791381490237</v>
      </c>
      <c r="M30" s="2">
        <f>_xlfn.XLOOKUP($A30, Net_Worth_Calculations!$B:$B,Net_Worth_Calculations!E:E, 0, 0, -1)</f>
        <v>2964431.6784253134</v>
      </c>
      <c r="N30" s="100">
        <f t="shared" si="0"/>
        <v>2948407.887043823</v>
      </c>
      <c r="O30" s="99" cm="1">
        <f t="array" ref="O30">_xlfn.LET(
    _xlpm.k, ROW()-1,
    _xlpm.baseFlows, $L$2:INDEX($L$2:$L$47, _xlpm.k-1),
    _xlpm.lastCF, INDEX($L$2:$L$47, _xlpm.k) + INDEX($M$2:$M$47, _xlpm.k),
    IRR(_xlfn.VSTACK(_xlpm.baseFlows, _xlpm.lastCF))
)</f>
        <v>8.5057478997531355E-2</v>
      </c>
      <c r="P30" s="101">
        <v>1</v>
      </c>
      <c r="R30" s="5"/>
    </row>
    <row r="31" spans="1:20" x14ac:dyDescent="0.25">
      <c r="A31" s="33">
        <f t="shared" si="1"/>
        <v>29</v>
      </c>
      <c r="B31" s="23">
        <f>SUMIFS(Model_30y!$AJ:$AJ, Model_30y!$B:$B, IRR_Calculations!$A31)</f>
        <v>-419.03923781236335</v>
      </c>
      <c r="C31" s="2">
        <f>_xlfn.XLOOKUP($A31, Net_Worth_Calculations!$B:$B,Net_Worth_Calculations!$C:$C, 0, 0, -1)</f>
        <v>2967619.7397659915</v>
      </c>
      <c r="D31" s="100">
        <f t="shared" si="2"/>
        <v>2967200.7005281793</v>
      </c>
      <c r="E31" s="99" cm="1">
        <f t="array" ref="E31">_xlfn.LET(
    _xlpm.k, ROW()-1,
    _xlpm.baseFlows, $B$2:INDEX($B$2:$B$47, _xlpm.k-1),
    _xlpm.lastCF, INDEX($B$2:$B$47, _xlpm.k) + INDEX($C$2:$C$47, _xlpm.k),
    IRR(_xlfn.VSTACK(_xlpm.baseFlows, _xlpm.lastCF))
)</f>
        <v>0.12437610387750841</v>
      </c>
      <c r="F31" s="101">
        <v>1</v>
      </c>
      <c r="G31" s="23">
        <f>SUMIFS(Model_15y!$AJ:$AJ, Model_15y!$B:$B, IRR_Calculations!$A31)</f>
        <v>-419.03923781236335</v>
      </c>
      <c r="H31" s="2">
        <f>_xlfn.XLOOKUP($A31, Net_Worth_Calculations!$B:$B,Net_Worth_Calculations!$D:$D, 0, 0, -1)</f>
        <v>2821761.4639909645</v>
      </c>
      <c r="I31" s="100">
        <f t="shared" si="3"/>
        <v>2821342.4247531523</v>
      </c>
      <c r="J31" s="99" cm="1">
        <f t="array" ref="J31">_xlfn.LET(
    _xlpm.k, ROW()-1,
    _xlpm.baseFlows, $G$2:INDEX($G$2:$G$47, _xlpm.k-1),
    _xlpm.lastCF, INDEX($G$2:$G$47, _xlpm.k) + INDEX($H$2:$H$47, _xlpm.k),
    IRR(_xlfn.VSTACK(_xlpm.baseFlows, _xlpm.lastCF))
)</f>
        <v>0.12245624550305312</v>
      </c>
      <c r="K31" s="101">
        <v>1</v>
      </c>
      <c r="L31" s="23">
        <f>SUMIFS(Model_Renter!P:P, Model_Renter!$B:$B,$A31)</f>
        <v>-16243.000695866598</v>
      </c>
      <c r="M31" s="2">
        <f>_xlfn.XLOOKUP($A31, Net_Worth_Calculations!$B:$B,Net_Worth_Calculations!E:E, 0, 0, -1)</f>
        <v>3232200.4990849253</v>
      </c>
      <c r="N31" s="100">
        <f t="shared" si="0"/>
        <v>3215957.4983890587</v>
      </c>
      <c r="O31" s="99" cm="1">
        <f t="array" ref="O31">_xlfn.LET(
    _xlpm.k, ROW()-1,
    _xlpm.baseFlows, $L$2:INDEX($L$2:$L$47, _xlpm.k-1),
    _xlpm.lastCF, INDEX($L$2:$L$47, _xlpm.k) + INDEX($M$2:$M$47, _xlpm.k),
    IRR(_xlfn.VSTACK(_xlpm.baseFlows, _xlpm.lastCF))
)</f>
        <v>8.5048490545409861E-2</v>
      </c>
      <c r="P31" s="101">
        <v>1</v>
      </c>
      <c r="R31" s="5"/>
    </row>
    <row r="32" spans="1:20" x14ac:dyDescent="0.25">
      <c r="A32" s="33">
        <f t="shared" si="1"/>
        <v>30</v>
      </c>
      <c r="B32" s="23">
        <f>SUMIFS(Model_30y!$AJ:$AJ, Model_30y!$B:$B, IRR_Calculations!$A32)</f>
        <v>-938.60528827047438</v>
      </c>
      <c r="C32" s="2">
        <f>_xlfn.XLOOKUP($A32, Net_Worth_Calculations!$B:$B,Net_Worth_Calculations!$C:$C, 0, 0, -1)</f>
        <v>3194402.4316716408</v>
      </c>
      <c r="D32" s="100">
        <f t="shared" si="2"/>
        <v>3193463.8263833704</v>
      </c>
      <c r="E32" s="99" cm="1">
        <f t="array" ref="E32">_xlfn.LET(
    _xlpm.k, ROW()-1,
    _xlpm.baseFlows, $B$2:INDEX($B$2:$B$47, _xlpm.k-1),
    _xlpm.lastCF, INDEX($B$2:$B$47, _xlpm.k) + INDEX($C$2:$C$47, _xlpm.k),
    IRR(_xlfn.VSTACK(_xlpm.baseFlows, _xlpm.lastCF))
)</f>
        <v>0.12275902121560311</v>
      </c>
      <c r="F32" s="101">
        <v>1</v>
      </c>
      <c r="G32" s="23">
        <f>SUMIFS(Model_15y!$AJ:$AJ, Model_15y!$B:$B, IRR_Calculations!$A32)</f>
        <v>-938.60528827047438</v>
      </c>
      <c r="H32" s="2">
        <f>_xlfn.XLOOKUP($A32, Net_Worth_Calculations!$B:$B,Net_Worth_Calculations!$D:$D, 0, 0, -1)</f>
        <v>3035780.4105621995</v>
      </c>
      <c r="I32" s="100">
        <f t="shared" si="3"/>
        <v>3034841.8052739291</v>
      </c>
      <c r="J32" s="99" cm="1">
        <f t="array" ref="J32">_xlfn.LET(
    _xlpm.k, ROW()-1,
    _xlpm.baseFlows, $G$2:INDEX($G$2:$G$47, _xlpm.k-1),
    _xlpm.lastCF, INDEX($G$2:$G$47, _xlpm.k) + INDEX($H$2:$H$47, _xlpm.k),
    IRR(_xlfn.VSTACK(_xlpm.baseFlows, _xlpm.lastCF))
)</f>
        <v>0.12088540931423886</v>
      </c>
      <c r="K32" s="101">
        <v>1</v>
      </c>
      <c r="L32" s="23">
        <f>SUMIFS(Model_Renter!P:P, Model_Renter!$B:$B,$A32)</f>
        <v>-16515.170659220843</v>
      </c>
      <c r="M32" s="2">
        <f>_xlfn.XLOOKUP($A32, Net_Worth_Calculations!$B:$B,Net_Worth_Calculations!E:E, 0, 0, -1)</f>
        <v>3522979.8308690302</v>
      </c>
      <c r="N32" s="100">
        <f t="shared" si="0"/>
        <v>3506464.6602098094</v>
      </c>
      <c r="O32" s="99" cm="1">
        <f t="array" ref="O32">_xlfn.LET(
    _xlpm.k, ROW()-1,
    _xlpm.baseFlows, $L$2:INDEX($L$2:$L$47, _xlpm.k-1),
    _xlpm.lastCF, INDEX($L$2:$L$47, _xlpm.k) + INDEX($M$2:$M$47, _xlpm.k),
    IRR(_xlfn.VSTACK(_xlpm.baseFlows, _xlpm.lastCF))
)</f>
        <v>8.5040440656101168E-2</v>
      </c>
      <c r="P32" s="101">
        <v>1</v>
      </c>
      <c r="R32" s="5"/>
    </row>
    <row r="33" spans="1:18" x14ac:dyDescent="0.25">
      <c r="A33" s="33">
        <f t="shared" si="1"/>
        <v>31</v>
      </c>
      <c r="B33" s="23">
        <f>SUMIFS(Model_30y!$AJ:$AJ, Model_30y!$B:$B, IRR_Calculations!$A33)</f>
        <v>51354.672172312989</v>
      </c>
      <c r="C33" s="2">
        <f>_xlfn.XLOOKUP($A33, Net_Worth_Calculations!$B:$B,Net_Worth_Calculations!$C:$C, 0, 0, -1)</f>
        <v>3437032.9591042921</v>
      </c>
      <c r="D33" s="100">
        <f t="shared" si="2"/>
        <v>3488387.6312766052</v>
      </c>
      <c r="E33" s="99" cm="1">
        <f t="array" ref="E33">_xlfn.LET(
    _xlpm.k, ROW()-1,
    _xlpm.baseFlows, $B$2:INDEX($B$2:$B$47, _xlpm.k-1),
    _xlpm.lastCF, INDEX($B$2:$B$47, _xlpm.k) + INDEX($C$2:$C$47, _xlpm.k),
    IRR(_xlfn.VSTACK(_xlpm.baseFlows, _xlpm.lastCF))
)</f>
        <v>0.12177011337581489</v>
      </c>
      <c r="F33" s="101">
        <v>1</v>
      </c>
      <c r="G33" s="23">
        <f>SUMIFS(Model_15y!$AJ:$AJ, Model_15y!$B:$B, IRR_Calculations!$A33)</f>
        <v>51354.672172312989</v>
      </c>
      <c r="H33" s="2">
        <f>_xlfn.XLOOKUP($A33, Net_Worth_Calculations!$B:$B,Net_Worth_Calculations!$D:$D, 0, 0, -1)</f>
        <v>3264928.9147540303</v>
      </c>
      <c r="I33" s="100">
        <f t="shared" si="3"/>
        <v>3316283.5869263434</v>
      </c>
      <c r="J33" s="99" cm="1">
        <f t="array" ref="J33">_xlfn.LET(
    _xlpm.k, ROW()-1,
    _xlpm.baseFlows, $G$2:INDEX($G$2:$G$47, _xlpm.k-1),
    _xlpm.lastCF, INDEX($G$2:$G$47, _xlpm.k) + INDEX($H$2:$H$47, _xlpm.k),
    IRR(_xlfn.VSTACK(_xlpm.baseFlows, _xlpm.lastCF))
)</f>
        <v>0.11996995626188056</v>
      </c>
      <c r="K33" s="101">
        <v>1</v>
      </c>
      <c r="L33" s="23">
        <f>SUMIFS(Model_Renter!P:P, Model_Renter!$B:$B,$A33)</f>
        <v>-16844.520110855723</v>
      </c>
      <c r="M33" s="2">
        <f>_xlfn.XLOOKUP($A33, Net_Worth_Calculations!$B:$B,Net_Worth_Calculations!E:E, 0, 0, -1)</f>
        <v>3838783.6370834443</v>
      </c>
      <c r="N33" s="100">
        <f t="shared" si="0"/>
        <v>3821939.1169725885</v>
      </c>
      <c r="O33" s="99" cm="1">
        <f t="array" ref="O33">_xlfn.LET(
    _xlpm.k, ROW()-1,
    _xlpm.baseFlows, $L$2:INDEX($L$2:$L$47, _xlpm.k-1),
    _xlpm.lastCF, INDEX($L$2:$L$47, _xlpm.k) + INDEX($M$2:$M$47, _xlpm.k),
    IRR(_xlfn.VSTACK(_xlpm.baseFlows, _xlpm.lastCF))
)</f>
        <v>8.5033238510569209E-2</v>
      </c>
      <c r="P33" s="101">
        <v>1</v>
      </c>
      <c r="R33" s="5"/>
    </row>
    <row r="34" spans="1:18" x14ac:dyDescent="0.25">
      <c r="A34" s="33">
        <f t="shared" si="1"/>
        <v>32</v>
      </c>
      <c r="B34" s="23">
        <f>SUMIFS(Model_30y!$AJ:$AJ, Model_30y!$B:$B, IRR_Calculations!$A34)</f>
        <v>50963.654702953208</v>
      </c>
      <c r="C34" s="2">
        <f>_xlfn.XLOOKUP($A34, Net_Worth_Calculations!$B:$B,Net_Worth_Calculations!$C:$C, 0, 0, -1)</f>
        <v>3697071.8300753655</v>
      </c>
      <c r="D34" s="100">
        <f t="shared" si="2"/>
        <v>3748035.4847783186</v>
      </c>
      <c r="E34" s="99" cm="1">
        <f t="array" ref="E34">_xlfn.LET(
    _xlpm.k, ROW()-1,
    _xlpm.baseFlows, $B$2:INDEX($B$2:$B$47, _xlpm.k-1),
    _xlpm.lastCF, INDEX($B$2:$B$47, _xlpm.k) + INDEX($C$2:$C$47, _xlpm.k),
    IRR(_xlfn.VSTACK(_xlpm.baseFlows, _xlpm.lastCF))
)</f>
        <v>0.12080836411442175</v>
      </c>
      <c r="F34" s="101">
        <v>1</v>
      </c>
      <c r="G34" s="23">
        <f>SUMIFS(Model_15y!$AJ:$AJ, Model_15y!$B:$B, IRR_Calculations!$A34)</f>
        <v>50963.654702953208</v>
      </c>
      <c r="H34" s="2">
        <f>_xlfn.XLOOKUP($A34, Net_Worth_Calculations!$B:$B,Net_Worth_Calculations!$D:$D, 0, 0, -1)</f>
        <v>3510339.8626313182</v>
      </c>
      <c r="I34" s="100">
        <f t="shared" si="3"/>
        <v>3561303.5173342712</v>
      </c>
      <c r="J34" s="99" cm="1">
        <f t="array" ref="J34">_xlfn.LET(
    _xlpm.k, ROW()-1,
    _xlpm.baseFlows, $G$2:INDEX($G$2:$G$47, _xlpm.k-1),
    _xlpm.lastCF, INDEX($G$2:$G$47, _xlpm.k) + INDEX($H$2:$H$47, _xlpm.k),
    IRR(_xlfn.VSTACK(_xlpm.baseFlows, _xlpm.lastCF))
)</f>
        <v>0.11907433277889723</v>
      </c>
      <c r="K34" s="101">
        <v>1</v>
      </c>
      <c r="L34" s="23">
        <f>SUMIFS(Model_Renter!P:P, Model_Renter!$B:$B,$A34)</f>
        <v>-17235.537580215532</v>
      </c>
      <c r="M34" s="2">
        <f>_xlfn.XLOOKUP($A34, Net_Worth_Calculations!$B:$B,Net_Worth_Calculations!E:E, 0, 0, -1)</f>
        <v>4181801.6727251289</v>
      </c>
      <c r="N34" s="100">
        <f t="shared" si="0"/>
        <v>4164566.1351449136</v>
      </c>
      <c r="O34" s="99" cm="1">
        <f t="array" ref="O34">_xlfn.LET(
    _xlpm.k, ROW()-1,
    _xlpm.baseFlows, $L$2:INDEX($L$2:$L$47, _xlpm.k-1),
    _xlpm.lastCF, INDEX($L$2:$L$47, _xlpm.k) + INDEX($M$2:$M$47, _xlpm.k),
    IRR(_xlfn.VSTACK(_xlpm.baseFlows, _xlpm.lastCF))
)</f>
        <v>8.5026802743985552E-2</v>
      </c>
      <c r="P34" s="101">
        <v>1</v>
      </c>
    </row>
    <row r="35" spans="1:18" x14ac:dyDescent="0.25">
      <c r="A35" s="33">
        <f t="shared" si="1"/>
        <v>33</v>
      </c>
      <c r="B35" s="23">
        <f>SUMIFS(Model_30y!$AJ:$AJ, Model_30y!$B:$B, IRR_Calculations!$A35)</f>
        <v>50506.195314593861</v>
      </c>
      <c r="C35" s="2">
        <f>_xlfn.XLOOKUP($A35, Net_Worth_Calculations!$B:$B,Net_Worth_Calculations!$C:$C, 0, 0, -1)</f>
        <v>3975837.9629924586</v>
      </c>
      <c r="D35" s="100">
        <f t="shared" si="2"/>
        <v>4026344.1583070527</v>
      </c>
      <c r="E35" s="99" cm="1">
        <f t="array" ref="E35">_xlfn.LET(
    _xlpm.k, ROW()-1,
    _xlpm.baseFlows, $B$2:INDEX($B$2:$B$47, _xlpm.k-1),
    _xlpm.lastCF, INDEX($B$2:$B$47, _xlpm.k) + INDEX($C$2:$C$47, _xlpm.k),
    IRR(_xlfn.VSTACK(_xlpm.baseFlows, _xlpm.lastCF))
)</f>
        <v>0.11987420451725805</v>
      </c>
      <c r="F35" s="101">
        <v>1</v>
      </c>
      <c r="G35" s="23">
        <f>SUMIFS(Model_15y!$AJ:$AJ, Model_15y!$B:$B, IRR_Calculations!$A35)</f>
        <v>50506.195314593861</v>
      </c>
      <c r="H35" s="2">
        <f>_xlfn.XLOOKUP($A35, Net_Worth_Calculations!$B:$B,Net_Worth_Calculations!$D:$D, 0, 0, -1)</f>
        <v>3773234.7772441874</v>
      </c>
      <c r="I35" s="100">
        <f t="shared" si="3"/>
        <v>3823740.9725587815</v>
      </c>
      <c r="J35" s="99" cm="1">
        <f t="array" ref="J35">_xlfn.LET(
    _xlpm.k, ROW()-1,
    _xlpm.baseFlows, $G$2:INDEX($G$2:$G$47, _xlpm.k-1),
    _xlpm.lastCF, INDEX($G$2:$G$47, _xlpm.k) + INDEX($H$2:$H$47, _xlpm.k),
    IRR(_xlfn.VSTACK(_xlpm.baseFlows, _xlpm.lastCF))
)</f>
        <v>0.11819992774412347</v>
      </c>
      <c r="K35" s="101">
        <v>1</v>
      </c>
      <c r="L35" s="23">
        <f>SUMIFS(Model_Renter!P:P, Model_Renter!$B:$B,$A35)</f>
        <v>-17692.996968574858</v>
      </c>
      <c r="M35" s="2">
        <f>_xlfn.XLOOKUP($A35, Net_Worth_Calculations!$B:$B,Net_Worth_Calculations!E:E, 0, 0, -1)</f>
        <v>4554414.7204167377</v>
      </c>
      <c r="N35" s="100">
        <f t="shared" si="0"/>
        <v>4536721.7234481629</v>
      </c>
      <c r="O35" s="99" cm="1">
        <f t="array" ref="O35">_xlfn.LET(
    _xlpm.k, ROW()-1,
    _xlpm.baseFlows, $L$2:INDEX($L$2:$L$47, _xlpm.k-1),
    _xlpm.lastCF, INDEX($L$2:$L$47, _xlpm.k) + INDEX($M$2:$M$47, _xlpm.k),
    IRR(_xlfn.VSTACK(_xlpm.baseFlows, _xlpm.lastCF))
)</f>
        <v>8.5021060304870444E-2</v>
      </c>
      <c r="P35" s="101">
        <v>1</v>
      </c>
    </row>
    <row r="36" spans="1:18" x14ac:dyDescent="0.25">
      <c r="A36" s="33">
        <f t="shared" si="1"/>
        <v>34</v>
      </c>
      <c r="B36" s="23">
        <f>SUMIFS(Model_30y!$AJ:$AJ, Model_30y!$B:$B, IRR_Calculations!$A36)</f>
        <v>49977.218186182152</v>
      </c>
      <c r="C36" s="2">
        <f>_xlfn.XLOOKUP($A36, Net_Worth_Calculations!$B:$B,Net_Worth_Calculations!$C:$C, 0, 0, -1)</f>
        <v>4274754.3423888879</v>
      </c>
      <c r="D36" s="100">
        <f t="shared" si="2"/>
        <v>4324731.5605750699</v>
      </c>
      <c r="E36" s="99" cm="1">
        <f t="array" ref="E36">_xlfn.LET(
    _xlpm.k, ROW()-1,
    _xlpm.baseFlows, $B$2:INDEX($B$2:$B$47, _xlpm.k-1),
    _xlpm.lastCF, INDEX($B$2:$B$47, _xlpm.k) + INDEX($C$2:$C$47, _xlpm.k),
    IRR(_xlfn.VSTACK(_xlpm.baseFlows, _xlpm.lastCF))
)</f>
        <v>0.11896770888556807</v>
      </c>
      <c r="F36" s="101">
        <v>1</v>
      </c>
      <c r="G36" s="23">
        <f>SUMIFS(Model_15y!$AJ:$AJ, Model_15y!$B:$B, IRR_Calculations!$A36)</f>
        <v>49977.218186182152</v>
      </c>
      <c r="H36" s="2">
        <f>_xlfn.XLOOKUP($A36, Net_Worth_Calculations!$B:$B,Net_Worth_Calculations!$D:$D, 0, 0, -1)</f>
        <v>4054930.9696841137</v>
      </c>
      <c r="I36" s="100">
        <f t="shared" si="3"/>
        <v>4104908.1878702957</v>
      </c>
      <c r="J36" s="99" cm="1">
        <f t="array" ref="J36">_xlfn.LET(
    _xlpm.k, ROW()-1,
    _xlpm.baseFlows, $G$2:INDEX($G$2:$G$47, _xlpm.k-1),
    _xlpm.lastCF, INDEX($G$2:$G$47, _xlpm.k) + INDEX($H$2:$H$47, _xlpm.k),
    IRR(_xlfn.VSTACK(_xlpm.baseFlows, _xlpm.lastCF))
)</f>
        <v>0.11734761667234483</v>
      </c>
      <c r="K36" s="101">
        <v>1</v>
      </c>
      <c r="L36" s="23">
        <f>SUMIFS(Model_Renter!P:P, Model_Renter!$B:$B,$A36)</f>
        <v>-18221.974096986549</v>
      </c>
      <c r="M36" s="2">
        <f>_xlfn.XLOOKUP($A36, Net_Worth_Calculations!$B:$B,Net_Worth_Calculations!E:E, 0, 0, -1)</f>
        <v>4959211.1384293586</v>
      </c>
      <c r="N36" s="100">
        <f t="shared" si="0"/>
        <v>4940989.1643323721</v>
      </c>
      <c r="O36" s="99" cm="1">
        <f t="array" ref="O36">_xlfn.LET(
    _xlpm.k, ROW()-1,
    _xlpm.baseFlows, $L$2:INDEX($L$2:$L$47, _xlpm.k-1),
    _xlpm.lastCF, INDEX($L$2:$L$47, _xlpm.k) + INDEX($M$2:$M$47, _xlpm.k),
    IRR(_xlfn.VSTACK(_xlpm.baseFlows, _xlpm.lastCF))
)</f>
        <v>8.5015945476341059E-2</v>
      </c>
      <c r="P36" s="101">
        <v>1</v>
      </c>
    </row>
    <row r="37" spans="1:18" x14ac:dyDescent="0.25">
      <c r="A37" s="33">
        <f t="shared" si="1"/>
        <v>35</v>
      </c>
      <c r="B37" s="23">
        <f>SUMIFS(Model_30y!$AJ:$AJ, Model_30y!$B:$B, IRR_Calculations!$A37)</f>
        <v>49371.328116293793</v>
      </c>
      <c r="C37" s="2">
        <f>_xlfn.XLOOKUP($A37, Net_Worth_Calculations!$B:$B,Net_Worth_Calculations!$C:$C, 0, 0, -1)</f>
        <v>4595356.4622434974</v>
      </c>
      <c r="D37" s="100">
        <f t="shared" si="2"/>
        <v>4644727.7903597914</v>
      </c>
      <c r="E37" s="99" cm="1">
        <f t="array" ref="E37">_xlfn.LET(
    _xlpm.k, ROW()-1,
    _xlpm.baseFlows, $B$2:INDEX($B$2:$B$47, _xlpm.k-1),
    _xlpm.lastCF, INDEX($B$2:$B$47, _xlpm.k) + INDEX($C$2:$C$47, _xlpm.k),
    IRR(_xlfn.VSTACK(_xlpm.baseFlows, _xlpm.lastCF))
)</f>
        <v>0.11808868932476058</v>
      </c>
      <c r="F37" s="101">
        <v>1</v>
      </c>
      <c r="G37" s="23">
        <f>SUMIFS(Model_15y!$AJ:$AJ, Model_15y!$B:$B, IRR_Calculations!$A37)</f>
        <v>49371.328116293793</v>
      </c>
      <c r="H37" s="2">
        <f>_xlfn.XLOOKUP($A37, Net_Worth_Calculations!$B:$B,Net_Worth_Calculations!$D:$D, 0, 0, -1)</f>
        <v>4356849.2788108476</v>
      </c>
      <c r="I37" s="100">
        <f t="shared" si="3"/>
        <v>4406220.6069271415</v>
      </c>
      <c r="J37" s="99" cm="1">
        <f t="array" ref="J37">_xlfn.LET(
    _xlpm.k, ROW()-1,
    _xlpm.baseFlows, $G$2:INDEX($G$2:$G$47, _xlpm.k-1),
    _xlpm.lastCF, INDEX($G$2:$G$47, _xlpm.k) + INDEX($H$2:$H$47, _xlpm.k),
    IRR(_xlfn.VSTACK(_xlpm.baseFlows, _xlpm.lastCF))
)</f>
        <v>0.11651788698365229</v>
      </c>
      <c r="K37" s="101">
        <v>1</v>
      </c>
      <c r="L37" s="23">
        <f>SUMIFS(Model_Renter!P:P, Model_Renter!$B:$B,$A37)</f>
        <v>-18827.864166874926</v>
      </c>
      <c r="M37" s="2">
        <f>_xlfn.XLOOKUP($A37, Net_Worth_Calculations!$B:$B,Net_Worth_Calculations!E:E, 0, 0, -1)</f>
        <v>5399004.8332589166</v>
      </c>
      <c r="N37" s="100">
        <f t="shared" si="0"/>
        <v>5380176.9690920413</v>
      </c>
      <c r="O37" s="99" cm="1">
        <f t="array" ref="O37">_xlfn.LET(
    _xlpm.k, ROW()-1,
    _xlpm.baseFlows, $L$2:INDEX($L$2:$L$47, _xlpm.k-1),
    _xlpm.lastCF, INDEX($L$2:$L$47, _xlpm.k) + INDEX($M$2:$M$47, _xlpm.k),
    IRR(_xlfn.VSTACK(_xlpm.baseFlows, _xlpm.lastCF))
)</f>
        <v>8.5011399032956181E-2</v>
      </c>
      <c r="P37" s="101">
        <v>1</v>
      </c>
    </row>
    <row r="38" spans="1:18" x14ac:dyDescent="0.25">
      <c r="A38" s="33">
        <f t="shared" si="1"/>
        <v>36</v>
      </c>
      <c r="B38" s="23">
        <f>SUMIFS(Model_30y!$AJ:$AJ, Model_30y!$B:$B, IRR_Calculations!$A38)</f>
        <v>48682.792101073763</v>
      </c>
      <c r="C38" s="2">
        <f>_xlfn.XLOOKUP($A38, Net_Worth_Calculations!$B:$B,Net_Worth_Calculations!$C:$C, 0, 0, -1)</f>
        <v>4939301.4668502863</v>
      </c>
      <c r="D38" s="100">
        <f t="shared" si="2"/>
        <v>4987984.2589513604</v>
      </c>
      <c r="E38" s="99" cm="1">
        <f t="array" ref="E38">_xlfn.LET(
    _xlpm.k, ROW()-1,
    _xlpm.baseFlows, $B$2:INDEX($B$2:$B$47, _xlpm.k-1),
    _xlpm.lastCF, INDEX($B$2:$B$47, _xlpm.k) + INDEX($C$2:$C$47, _xlpm.k),
    IRR(_xlfn.VSTACK(_xlpm.baseFlows, _xlpm.lastCF))
)</f>
        <v>0.1172367668009171</v>
      </c>
      <c r="F38" s="101">
        <v>1</v>
      </c>
      <c r="G38" s="23">
        <f>SUMIFS(Model_15y!$AJ:$AJ, Model_15y!$B:$B, IRR_Calculations!$A38)</f>
        <v>48682.792101073763</v>
      </c>
      <c r="H38" s="2">
        <f>_xlfn.XLOOKUP($A38, Net_Worth_Calculations!$B:$B,Net_Worth_Calculations!$D:$D, 0, 0, -1)</f>
        <v>4680522.4487275258</v>
      </c>
      <c r="I38" s="100">
        <f t="shared" si="3"/>
        <v>4729205.2408285998</v>
      </c>
      <c r="J38" s="99" cm="1">
        <f t="array" ref="J38">_xlfn.LET(
    _xlpm.k, ROW()-1,
    _xlpm.baseFlows, $G$2:INDEX($G$2:$G$47, _xlpm.k-1),
    _xlpm.lastCF, INDEX($G$2:$G$47, _xlpm.k) + INDEX($H$2:$H$47, _xlpm.k),
    IRR(_xlfn.VSTACK(_xlpm.baseFlows, _xlpm.lastCF))
)</f>
        <v>0.11571093279056832</v>
      </c>
      <c r="K38" s="101">
        <v>1</v>
      </c>
      <c r="L38" s="23">
        <f>SUMIFS(Model_Renter!P:P, Model_Renter!$B:$B,$A38)</f>
        <v>-19516.400182094934</v>
      </c>
      <c r="M38" s="2">
        <f>_xlfn.XLOOKUP($A38, Net_Worth_Calculations!$B:$B,Net_Worth_Calculations!E:E, 0, 0, -1)</f>
        <v>5876854.7788312957</v>
      </c>
      <c r="N38" s="100">
        <f t="shared" si="0"/>
        <v>5857338.3786492003</v>
      </c>
      <c r="O38" s="99" cm="1">
        <f t="array" ref="O38">_xlfn.LET(
    _xlpm.k, ROW()-1,
    _xlpm.baseFlows, $L$2:INDEX($L$2:$L$47, _xlpm.k-1),
    _xlpm.lastCF, INDEX($L$2:$L$47, _xlpm.k) + INDEX($M$2:$M$47, _xlpm.k),
    IRR(_xlfn.VSTACK(_xlpm.baseFlows, _xlpm.lastCF))
)</f>
        <v>8.5007367511464205E-2</v>
      </c>
      <c r="P38" s="101">
        <v>1</v>
      </c>
    </row>
    <row r="39" spans="1:18" x14ac:dyDescent="0.25">
      <c r="A39" s="33">
        <f t="shared" si="1"/>
        <v>37</v>
      </c>
      <c r="B39" s="23">
        <f>SUMIFS(Model_30y!$AJ:$AJ, Model_30y!$B:$B, IRR_Calculations!$A39)</f>
        <v>47905.5198993308</v>
      </c>
      <c r="C39" s="2">
        <f>_xlfn.XLOOKUP($A39, Net_Worth_Calculations!$B:$B,Net_Worth_Calculations!$C:$C, 0, 0, -1)</f>
        <v>5308378.0475214776</v>
      </c>
      <c r="D39" s="100">
        <f t="shared" si="2"/>
        <v>5356283.5674208086</v>
      </c>
      <c r="E39" s="99" cm="1">
        <f t="array" ref="E39">_xlfn.LET(
    _xlpm.k, ROW()-1,
    _xlpm.baseFlows, $B$2:INDEX($B$2:$B$47, _xlpm.k-1),
    _xlpm.lastCF, INDEX($B$2:$B$47, _xlpm.k) + INDEX($C$2:$C$47, _xlpm.k),
    IRR(_xlfn.VSTACK(_xlpm.baseFlows, _xlpm.lastCF))
)</f>
        <v>0.11641142476289001</v>
      </c>
      <c r="F39" s="101">
        <v>1</v>
      </c>
      <c r="G39" s="23">
        <f>SUMIFS(Model_15y!$AJ:$AJ, Model_15y!$B:$B, IRR_Calculations!$A39)</f>
        <v>47905.5198993308</v>
      </c>
      <c r="H39" s="2">
        <f>_xlfn.XLOOKUP($A39, Net_Worth_Calculations!$B:$B,Net_Worth_Calculations!$D:$D, 0, 0, -1)</f>
        <v>5027604.197204764</v>
      </c>
      <c r="I39" s="100">
        <f t="shared" si="3"/>
        <v>5075509.717104095</v>
      </c>
      <c r="J39" s="99" cm="1">
        <f t="array" ref="J39">_xlfn.LET(
    _xlpm.k, ROW()-1,
    _xlpm.baseFlows, $G$2:INDEX($G$2:$G$47, _xlpm.k-1),
    _xlpm.lastCF, INDEX($G$2:$G$47, _xlpm.k) + INDEX($H$2:$H$47, _xlpm.k),
    IRR(_xlfn.VSTACK(_xlpm.baseFlows, _xlpm.lastCF))
)</f>
        <v>0.11492672707845042</v>
      </c>
      <c r="K39" s="101">
        <v>1</v>
      </c>
      <c r="L39" s="23">
        <f>SUMIFS(Model_Renter!P:P, Model_Renter!$B:$B,$A39)</f>
        <v>-20293.672383837915</v>
      </c>
      <c r="M39" s="2">
        <f>_xlfn.XLOOKUP($A39, Net_Worth_Calculations!$B:$B,Net_Worth_Calculations!E:E, 0, 0, -1)</f>
        <v>6396086.2148401653</v>
      </c>
      <c r="N39" s="100">
        <f t="shared" si="0"/>
        <v>6375792.542456327</v>
      </c>
      <c r="O39" s="99" cm="1">
        <f t="array" ref="O39">_xlfn.LET(
    _xlpm.k, ROW()-1,
    _xlpm.baseFlows, $L$2:INDEX($L$2:$L$47, _xlpm.k-1),
    _xlpm.lastCF, INDEX($L$2:$L$47, _xlpm.k) + INDEX($M$2:$M$47, _xlpm.k),
    IRR(_xlfn.VSTACK(_xlpm.baseFlows, _xlpm.lastCF))
)</f>
        <v>8.5003802577657384E-2</v>
      </c>
      <c r="P39" s="101">
        <v>1</v>
      </c>
    </row>
    <row r="40" spans="1:18" x14ac:dyDescent="0.25">
      <c r="A40" s="33">
        <f t="shared" si="1"/>
        <v>38</v>
      </c>
      <c r="B40" s="23">
        <f>SUMIFS(Model_30y!$AJ:$AJ, Model_30y!$B:$B, IRR_Calculations!$A40)</f>
        <v>47033.043530711249</v>
      </c>
      <c r="C40" s="2">
        <f>_xlfn.XLOOKUP($A40, Net_Worth_Calculations!$B:$B,Net_Worth_Calculations!$C:$C, 0, 0, -1)</f>
        <v>5704517.1583112609</v>
      </c>
      <c r="D40" s="100">
        <f t="shared" si="2"/>
        <v>5751550.2018419718</v>
      </c>
      <c r="E40" s="99" cm="1">
        <f t="array" ref="E40">_xlfn.LET(
    _xlpm.k, ROW()-1,
    _xlpm.baseFlows, $B$2:INDEX($B$2:$B$47, _xlpm.k-1),
    _xlpm.lastCF, INDEX($B$2:$B$47, _xlpm.k) + INDEX($C$2:$C$47, _xlpm.k),
    IRR(_xlfn.VSTACK(_xlpm.baseFlows, _xlpm.lastCF))
)</f>
        <v>0.11561204974328465</v>
      </c>
      <c r="F40" s="101">
        <v>1</v>
      </c>
      <c r="G40" s="23">
        <f>SUMIFS(Model_15y!$AJ:$AJ, Model_15y!$B:$B, IRR_Calculations!$A40)</f>
        <v>47033.043530711249</v>
      </c>
      <c r="H40" s="2">
        <f>_xlfn.XLOOKUP($A40, Net_Worth_Calculations!$B:$B,Net_Worth_Calculations!$D:$D, 0, 0, -1)</f>
        <v>5399879.0327261519</v>
      </c>
      <c r="I40" s="100">
        <f t="shared" si="3"/>
        <v>5446912.0762568628</v>
      </c>
      <c r="J40" s="99" cm="1">
        <f t="array" ref="J40">_xlfn.LET(
    _xlpm.k, ROW()-1,
    _xlpm.baseFlows, $G$2:INDEX($G$2:$G$47, _xlpm.k-1),
    _xlpm.lastCF, INDEX($G$2:$G$47, _xlpm.k) + INDEX($H$2:$H$47, _xlpm.k),
    IRR(_xlfn.VSTACK(_xlpm.baseFlows, _xlpm.lastCF))
)</f>
        <v>0.11416507696507283</v>
      </c>
      <c r="K40" s="101">
        <v>1</v>
      </c>
      <c r="L40" s="23">
        <f>SUMIFS(Model_Renter!P:P, Model_Renter!$B:$B,$A40)</f>
        <v>-21166.14875245747</v>
      </c>
      <c r="M40" s="2">
        <f>_xlfn.XLOOKUP($A40, Net_Worth_Calculations!$B:$B,Net_Worth_Calculations!E:E, 0, 0, -1)</f>
        <v>6960313.6680396684</v>
      </c>
      <c r="N40" s="100">
        <f t="shared" si="0"/>
        <v>6939147.5192872109</v>
      </c>
      <c r="O40" s="99" cm="1">
        <f t="array" ref="O40">_xlfn.LET(
    _xlpm.k, ROW()-1,
    _xlpm.baseFlows, $L$2:INDEX($L$2:$L$47, _xlpm.k-1),
    _xlpm.lastCF, INDEX($L$2:$L$47, _xlpm.k) + INDEX($M$2:$M$47, _xlpm.k),
    IRR(_xlfn.VSTACK(_xlpm.baseFlows, _xlpm.lastCF))
)</f>
        <v>8.5000660474668477E-2</v>
      </c>
      <c r="P40" s="101">
        <v>1</v>
      </c>
    </row>
    <row r="41" spans="1:18" x14ac:dyDescent="0.25">
      <c r="A41" s="33">
        <f t="shared" si="1"/>
        <v>39</v>
      </c>
      <c r="B41" s="23">
        <f>SUMIFS(Model_30y!$AJ:$AJ, Model_30y!$B:$B, IRR_Calculations!$A41)</f>
        <v>46058.495650047349</v>
      </c>
      <c r="C41" s="2">
        <f>_xlfn.XLOOKUP($A41, Net_Worth_Calculations!$B:$B,Net_Worth_Calculations!$C:$C, 0, 0, -1)</f>
        <v>6129803.6192652769</v>
      </c>
      <c r="D41" s="100">
        <f t="shared" si="2"/>
        <v>6175862.1149153244</v>
      </c>
      <c r="E41" s="99" cm="1">
        <f t="array" ref="E41">_xlfn.LET(
    _xlpm.k, ROW()-1,
    _xlpm.baseFlows, $B$2:INDEX($B$2:$B$47, _xlpm.k-1),
    _xlpm.lastCF, INDEX($B$2:$B$47, _xlpm.k) + INDEX($C$2:$C$47, _xlpm.k),
    IRR(_xlfn.VSTACK(_xlpm.baseFlows, _xlpm.lastCF))
)</f>
        <v>0.11483796216360864</v>
      </c>
      <c r="F41" s="101">
        <v>1</v>
      </c>
      <c r="G41" s="23">
        <f>SUMIFS(Model_15y!$AJ:$AJ, Model_15y!$B:$B, IRR_Calculations!$A41)</f>
        <v>46058.495650047349</v>
      </c>
      <c r="H41" s="2">
        <f>_xlfn.XLOOKUP($A41, Net_Worth_Calculations!$B:$B,Net_Worth_Calculations!$D:$D, 0, 0, -1)</f>
        <v>5799272.882676648</v>
      </c>
      <c r="I41" s="100">
        <f t="shared" si="3"/>
        <v>5845331.3783266954</v>
      </c>
      <c r="J41" s="99" cm="1">
        <f t="array" ref="J41">_xlfn.LET(
    _xlpm.k, ROW()-1,
    _xlpm.baseFlows, $G$2:INDEX($G$2:$G$47, _xlpm.k-1),
    _xlpm.lastCF, INDEX($G$2:$G$47, _xlpm.k) + INDEX($H$2:$H$47, _xlpm.k),
    IRR(_xlfn.VSTACK(_xlpm.baseFlows, _xlpm.lastCF))
)</f>
        <v>0.11342566619082195</v>
      </c>
      <c r="K41" s="101">
        <v>1</v>
      </c>
      <c r="L41" s="23">
        <f>SUMIFS(Model_Renter!P:P, Model_Renter!$B:$B,$A41)</f>
        <v>-22140.696633121373</v>
      </c>
      <c r="M41" s="2">
        <f>_xlfn.XLOOKUP($A41, Net_Worth_Calculations!$B:$B,Net_Worth_Calculations!E:E, 0, 0, -1)</f>
        <v>7573465.9525972623</v>
      </c>
      <c r="N41" s="100">
        <f t="shared" si="0"/>
        <v>7551325.2559641413</v>
      </c>
      <c r="O41" s="99" cm="1">
        <f t="array" ref="O41">_xlfn.LET(
    _xlpm.k, ROW()-1,
    _xlpm.baseFlows, $L$2:INDEX($L$2:$L$47, _xlpm.k-1),
    _xlpm.lastCF, INDEX($L$2:$L$47, _xlpm.k) + INDEX($M$2:$M$47, _xlpm.k),
    IRR(_xlfn.VSTACK(_xlpm.baseFlows, _xlpm.lastCF))
)</f>
        <v>8.4997901540558196E-2</v>
      </c>
      <c r="P41" s="101">
        <v>1</v>
      </c>
    </row>
    <row r="42" spans="1:18" x14ac:dyDescent="0.25">
      <c r="A42" s="33">
        <f t="shared" si="1"/>
        <v>40</v>
      </c>
      <c r="B42" s="23">
        <f>SUMIFS(Model_30y!$AJ:$AJ, Model_30y!$B:$B, IRR_Calculations!$A42)</f>
        <v>44974.586737995778</v>
      </c>
      <c r="C42" s="2">
        <f>_xlfn.XLOOKUP($A42, Net_Worth_Calculations!$B:$B,Net_Worth_Calculations!$C:$C, 0, 0, -1)</f>
        <v>6586488.6814681049</v>
      </c>
      <c r="D42" s="100">
        <f t="shared" si="2"/>
        <v>6631463.2682061009</v>
      </c>
      <c r="E42" s="99" cm="1">
        <f t="array" ref="E42">_xlfn.LET(
    _xlpm.k, ROW()-1,
    _xlpm.baseFlows, $B$2:INDEX($B$2:$B$47, _xlpm.k-1),
    _xlpm.lastCF, INDEX($B$2:$B$47, _xlpm.k) + INDEX($C$2:$C$47, _xlpm.k),
    IRR(_xlfn.VSTACK(_xlpm.baseFlows, _xlpm.lastCF))
)</f>
        <v>0.11408843972418037</v>
      </c>
      <c r="F42" s="101">
        <v>1</v>
      </c>
      <c r="G42" s="23">
        <f>SUMIFS(Model_15y!$AJ:$AJ, Model_15y!$B:$B, IRR_Calculations!$A42)</f>
        <v>44974.586737995778</v>
      </c>
      <c r="H42" s="2">
        <f>_xlfn.XLOOKUP($A42, Net_Worth_Calculations!$B:$B,Net_Worth_Calculations!$D:$D, 0, 0, -1)</f>
        <v>6227864.6004539914</v>
      </c>
      <c r="I42" s="100">
        <f t="shared" si="3"/>
        <v>6272839.1871919874</v>
      </c>
      <c r="J42" s="99" cm="1">
        <f t="array" ref="J42">_xlfn.LET(
    _xlpm.k, ROW()-1,
    _xlpm.baseFlows, $G$2:INDEX($G$2:$G$47, _xlpm.k-1),
    _xlpm.lastCF, INDEX($G$2:$G$47, _xlpm.k) + INDEX($H$2:$H$47, _xlpm.k),
    IRR(_xlfn.VSTACK(_xlpm.baseFlows, _xlpm.lastCF))
)</f>
        <v>0.11270808790156384</v>
      </c>
      <c r="K42" s="101">
        <v>1</v>
      </c>
      <c r="L42" s="23">
        <f>SUMIFS(Model_Renter!P:P, Model_Renter!$B:$B,$A42)</f>
        <v>-23224.60554517293</v>
      </c>
      <c r="M42" s="2">
        <f>_xlfn.XLOOKUP($A42, Net_Worth_Calculations!$B:$B,Net_Worth_Calculations!E:E, 0, 0, -1)</f>
        <v>8239813.3189421156</v>
      </c>
      <c r="N42" s="100">
        <f t="shared" si="0"/>
        <v>8216588.7133969432</v>
      </c>
      <c r="O42" s="99" cm="1">
        <f t="array" ref="O42">_xlfn.LET(
    _xlpm.k, ROW()-1,
    _xlpm.baseFlows, $L$2:INDEX($L$2:$L$47, _xlpm.k-1),
    _xlpm.lastCF, INDEX($L$2:$L$47, _xlpm.k) + INDEX($M$2:$M$47, _xlpm.k),
    IRR(_xlfn.VSTACK(_xlpm.baseFlows, _xlpm.lastCF))
)</f>
        <v>8.4995489785093747E-2</v>
      </c>
      <c r="P42" s="101">
        <v>1</v>
      </c>
    </row>
    <row r="43" spans="1:18" x14ac:dyDescent="0.25">
      <c r="A43" s="33">
        <f t="shared" si="1"/>
        <v>41</v>
      </c>
      <c r="B43" s="23">
        <f>SUMIFS(Model_30y!$AJ:$AJ, Model_30y!$B:$B, IRR_Calculations!$A43)</f>
        <v>43773.581044950071</v>
      </c>
      <c r="C43" s="2">
        <f>_xlfn.XLOOKUP($A43, Net_Worth_Calculations!$B:$B,Net_Worth_Calculations!$C:$C, 0, 0, -1)</f>
        <v>7077003.6344156433</v>
      </c>
      <c r="D43" s="100">
        <f t="shared" si="2"/>
        <v>7120777.2154605938</v>
      </c>
      <c r="E43" s="99" cm="1">
        <f t="array" ref="E43">_xlfn.LET(
    _xlpm.k, ROW()-1,
    _xlpm.baseFlows, $B$2:INDEX($B$2:$B$47, _xlpm.k-1),
    _xlpm.lastCF, INDEX($B$2:$B$47, _xlpm.k) + INDEX($C$2:$C$47, _xlpm.k),
    IRR(_xlfn.VSTACK(_xlpm.baseFlows, _xlpm.lastCF))
)</f>
        <v>0.11336273515001705</v>
      </c>
      <c r="F43" s="101">
        <v>1</v>
      </c>
      <c r="G43" s="23">
        <f>SUMIFS(Model_15y!$AJ:$AJ, Model_15y!$B:$B, IRR_Calculations!$A43)</f>
        <v>43773.581044950071</v>
      </c>
      <c r="H43" s="2">
        <f>_xlfn.XLOOKUP($A43, Net_Worth_Calculations!$B:$B,Net_Worth_Calculations!$D:$D, 0, 0, -1)</f>
        <v>6687898.4249861063</v>
      </c>
      <c r="I43" s="100">
        <f t="shared" si="3"/>
        <v>6731672.0060310569</v>
      </c>
      <c r="J43" s="99" cm="1">
        <f t="array" ref="J43">_xlfn.LET(
    _xlpm.k, ROW()-1,
    _xlpm.baseFlows, $G$2:INDEX($G$2:$G$47, _xlpm.k-1),
    _xlpm.lastCF, INDEX($G$2:$G$47, _xlpm.k) + INDEX($H$2:$H$47, _xlpm.k),
    IRR(_xlfn.VSTACK(_xlpm.baseFlows, _xlpm.lastCF))
)</f>
        <v>0.11201187000360413</v>
      </c>
      <c r="K43" s="101">
        <v>1</v>
      </c>
      <c r="L43" s="23">
        <f>SUMIFS(Model_Renter!P:P, Model_Renter!$B:$B,$A43)</f>
        <v>-24425.611238218647</v>
      </c>
      <c r="M43" s="2">
        <f>_xlfn.XLOOKUP($A43, Net_Worth_Calculations!$B:$B,Net_Worth_Calculations!E:E, 0, 0, -1)</f>
        <v>8963996.9350108709</v>
      </c>
      <c r="N43" s="100">
        <f t="shared" si="0"/>
        <v>8939571.3237726521</v>
      </c>
      <c r="O43" s="99" cm="1">
        <f t="array" ref="O43">_xlfn.LET(
    _xlpm.k, ROW()-1,
    _xlpm.baseFlows, $L$2:INDEX($L$2:$L$47, _xlpm.k-1),
    _xlpm.lastCF, INDEX($L$2:$L$47, _xlpm.k) + INDEX($M$2:$M$47, _xlpm.k),
    IRR(_xlfn.VSTACK(_xlpm.baseFlows, _xlpm.lastCF))
)</f>
        <v>8.4993392517280997E-2</v>
      </c>
      <c r="P43" s="101">
        <v>1</v>
      </c>
    </row>
    <row r="44" spans="1:18" x14ac:dyDescent="0.25">
      <c r="A44" s="33">
        <f t="shared" si="1"/>
        <v>42</v>
      </c>
      <c r="B44" s="23">
        <f>SUMIFS(Model_30y!$AJ:$AJ, Model_30y!$B:$B, IRR_Calculations!$A44)</f>
        <v>42447.271221916861</v>
      </c>
      <c r="C44" s="2">
        <f>_xlfn.XLOOKUP($A44, Net_Worth_Calculations!$B:$B,Net_Worth_Calculations!$C:$C, 0, 0, -1)</f>
        <v>7603974.5430225534</v>
      </c>
      <c r="D44" s="100">
        <f t="shared" si="2"/>
        <v>7646421.8142444706</v>
      </c>
      <c r="E44" s="99" cm="1">
        <f t="array" ref="E44">_xlfn.LET(
    _xlpm.k, ROW()-1,
    _xlpm.baseFlows, $B$2:INDEX($B$2:$B$47, _xlpm.k-1),
    _xlpm.lastCF, INDEX($B$2:$B$47, _xlpm.k) + INDEX($C$2:$C$47, _xlpm.k),
    IRR(_xlfn.VSTACK(_xlpm.baseFlows, _xlpm.lastCF))
)</f>
        <v>0.11266008962083718</v>
      </c>
      <c r="F44" s="101">
        <v>1</v>
      </c>
      <c r="G44" s="23">
        <f>SUMIFS(Model_15y!$AJ:$AJ, Model_15y!$B:$B, IRR_Calculations!$A44)</f>
        <v>42447.271221916861</v>
      </c>
      <c r="H44" s="2">
        <f>_xlfn.XLOOKUP($A44, Net_Worth_Calculations!$B:$B,Net_Worth_Calculations!$D:$D, 0, 0, -1)</f>
        <v>7181797.4723220374</v>
      </c>
      <c r="I44" s="100">
        <f t="shared" si="3"/>
        <v>7224244.7435439546</v>
      </c>
      <c r="J44" s="99" cm="1">
        <f t="array" ref="J44">_xlfn.LET(
    _xlpm.k, ROW()-1,
    _xlpm.baseFlows, $G$2:INDEX($G$2:$G$47, _xlpm.k-1),
    _xlpm.lastCF, INDEX($G$2:$G$47, _xlpm.k) + INDEX($H$2:$H$47, _xlpm.k),
    IRR(_xlfn.VSTACK(_xlpm.baseFlows, _xlpm.lastCF))
)</f>
        <v>0.11133649480183361</v>
      </c>
      <c r="K44" s="101">
        <v>1</v>
      </c>
      <c r="L44" s="23">
        <f>SUMIFS(Model_Renter!P:P, Model_Renter!$B:$B,$A44)</f>
        <v>-25751.921061251847</v>
      </c>
      <c r="M44" s="2">
        <f>_xlfn.XLOOKUP($A44, Net_Worth_Calculations!$B:$B,Net_Worth_Calculations!E:E, 0, 0, -1)</f>
        <v>9751060.8994920161</v>
      </c>
      <c r="N44" s="100">
        <f t="shared" si="0"/>
        <v>9725308.9784307647</v>
      </c>
      <c r="O44" s="99" cm="1">
        <f t="array" ref="O44">_xlfn.LET(
    _xlpm.k, ROW()-1,
    _xlpm.baseFlows, $L$2:INDEX($L$2:$L$47, _xlpm.k-1),
    _xlpm.lastCF, INDEX($L$2:$L$47, _xlpm.k) + INDEX($M$2:$M$47, _xlpm.k),
    IRR(_xlfn.VSTACK(_xlpm.baseFlows, _xlpm.lastCF))
)</f>
        <v>8.4991580016572144E-2</v>
      </c>
      <c r="P44" s="101">
        <v>1</v>
      </c>
    </row>
    <row r="45" spans="1:18" x14ac:dyDescent="0.25">
      <c r="A45" s="33">
        <f t="shared" si="1"/>
        <v>43</v>
      </c>
      <c r="B45" s="23">
        <f>SUMIFS(Model_30y!$AJ:$AJ, Model_30y!$B:$B, IRR_Calculations!$A45)</f>
        <v>40986.951568581251</v>
      </c>
      <c r="C45" s="2">
        <f>_xlfn.XLOOKUP($A45, Net_Worth_Calculations!$B:$B,Net_Worth_Calculations!$C:$C, 0, 0, -1)</f>
        <v>8170238.208931799</v>
      </c>
      <c r="D45" s="100">
        <f t="shared" si="2"/>
        <v>8211225.1605003802</v>
      </c>
      <c r="E45" s="99" cm="1">
        <f t="array" ref="E45">_xlfn.LET(
    _xlpm.k, ROW()-1,
    _xlpm.baseFlows, $B$2:INDEX($B$2:$B$47, _xlpm.k-1),
    _xlpm.lastCF, INDEX($B$2:$B$47, _xlpm.k) + INDEX($C$2:$C$47, _xlpm.k),
    IRR(_xlfn.VSTACK(_xlpm.baseFlows, _xlpm.lastCF))
)</f>
        <v>0.11197974288788237</v>
      </c>
      <c r="F45" s="101">
        <v>1</v>
      </c>
      <c r="G45" s="23">
        <f>SUMIFS(Model_15y!$AJ:$AJ, Model_15y!$B:$B, IRR_Calculations!$A45)</f>
        <v>40986.951568581251</v>
      </c>
      <c r="H45" s="2">
        <f>_xlfn.XLOOKUP($A45, Net_Worth_Calculations!$B:$B,Net_Worth_Calculations!$D:$D, 0, 0, -1)</f>
        <v>7712178.3456712347</v>
      </c>
      <c r="I45" s="100">
        <f t="shared" si="3"/>
        <v>7753165.2972398158</v>
      </c>
      <c r="J45" s="99" cm="1">
        <f t="array" ref="J45">_xlfn.LET(
    _xlpm.k, ROW()-1,
    _xlpm.baseFlows, $G$2:INDEX($G$2:$G$47, _xlpm.k-1),
    _xlpm.lastCF, INDEX($G$2:$G$47, _xlpm.k) + INDEX($H$2:$H$47, _xlpm.k),
    IRR(_xlfn.VSTACK(_xlpm.baseFlows, _xlpm.lastCF))
)</f>
        <v>0.11068141421537758</v>
      </c>
      <c r="K45" s="101">
        <v>1</v>
      </c>
      <c r="L45" s="23">
        <f>SUMIFS(Model_Renter!P:P, Model_Renter!$B:$B,$A45)</f>
        <v>-27212.24071458746</v>
      </c>
      <c r="M45" s="2">
        <f>_xlfn.XLOOKUP($A45, Net_Worth_Calculations!$B:$B,Net_Worth_Calculations!E:E, 0, 0, -1)</f>
        <v>10606487.003707478</v>
      </c>
      <c r="N45" s="100">
        <f t="shared" si="0"/>
        <v>10579274.762992891</v>
      </c>
      <c r="O45" s="99" cm="1">
        <f t="array" ref="O45">_xlfn.LET(
    _xlpm.k, ROW()-1,
    _xlpm.baseFlows, $L$2:INDEX($L$2:$L$47, _xlpm.k-1),
    _xlpm.lastCF, INDEX($L$2:$L$47, _xlpm.k) + INDEX($M$2:$M$47, _xlpm.k),
    IRR(_xlfn.VSTACK(_xlpm.baseFlows, _xlpm.lastCF))
)</f>
        <v>8.4990025241794553E-2</v>
      </c>
      <c r="P45" s="101">
        <v>1</v>
      </c>
    </row>
    <row r="46" spans="1:18" x14ac:dyDescent="0.25">
      <c r="A46" s="33">
        <f>A45+1</f>
        <v>44</v>
      </c>
      <c r="B46" s="23">
        <f>SUMIFS(Model_30y!$AJ:$AJ, Model_30y!$B:$B, IRR_Calculations!$A46)</f>
        <v>39383.389825143866</v>
      </c>
      <c r="C46" s="2">
        <f>_xlfn.XLOOKUP($A46, Net_Worth_Calculations!$B:$B,Net_Worth_Calculations!$C:$C, 0, 0, -1)</f>
        <v>8778859.4587721527</v>
      </c>
      <c r="D46" s="100">
        <f t="shared" si="2"/>
        <v>8818242.8485972974</v>
      </c>
      <c r="E46" s="99" cm="1">
        <f t="array" ref="E46">_xlfn.LET(
    _xlpm.k, ROW()-1,
    _xlpm.baseFlows, $B$2:INDEX($B$2:$B$47, _xlpm.k-1),
    _xlpm.lastCF, INDEX($B$2:$B$47, _xlpm.k) + INDEX($C$2:$C$47, _xlpm.k),
    IRR(_xlfn.VSTACK(_xlpm.baseFlows, _xlpm.lastCF))
)</f>
        <v>0.11132094083935273</v>
      </c>
      <c r="F46" s="101">
        <v>1</v>
      </c>
      <c r="G46" s="23">
        <f>SUMIFS(Model_15y!$AJ:$AJ, Model_15y!$B:$B, IRR_Calculations!$A46)</f>
        <v>39383.389825143866</v>
      </c>
      <c r="H46" s="2">
        <f>_xlfn.XLOOKUP($A46, Net_Worth_Calculations!$B:$B,Net_Worth_Calculations!$D:$D, 0, 0, -1)</f>
        <v>8281866.9575400576</v>
      </c>
      <c r="I46" s="100">
        <f t="shared" si="3"/>
        <v>8321250.3473652015</v>
      </c>
      <c r="J46" s="99" cm="1">
        <f t="array" ref="J46">_xlfn.LET(
    _xlpm.k, ROW()-1,
    _xlpm.baseFlows, $G$2:INDEX($G$2:$G$47, _xlpm.k-1),
    _xlpm.lastCF, INDEX($G$2:$G$47, _xlpm.k) + INDEX($H$2:$H$47, _xlpm.k),
    IRR(_xlfn.VSTACK(_xlpm.baseFlows, _xlpm.lastCF))
)</f>
        <v>0.11004606155663832</v>
      </c>
      <c r="K46" s="101">
        <v>1</v>
      </c>
      <c r="L46" s="23">
        <f>SUMIFS(Model_Renter!P:P, Model_Renter!$B:$B,$A46)</f>
        <v>-28815.802458024846</v>
      </c>
      <c r="M46" s="2">
        <f>_xlfn.XLOOKUP($A46, Net_Worth_Calculations!$B:$B,Net_Worth_Calculations!E:E, 0, 0, -1)</f>
        <v>11536232.477259137</v>
      </c>
      <c r="N46" s="100">
        <f t="shared" si="0"/>
        <v>11507416.674801111</v>
      </c>
      <c r="O46" s="99" cm="1">
        <f t="array" ref="O46">_xlfn.LET(
    _xlpm.k, ROW()-1,
    _xlpm.baseFlows, $L$2:INDEX($L$2:$L$47, _xlpm.k-1),
    _xlpm.lastCF, INDEX($L$2:$L$47, _xlpm.k) + INDEX($M$2:$M$47, _xlpm.k),
    IRR(_xlfn.VSTACK(_xlpm.baseFlows, _xlpm.lastCF))
)</f>
        <v>8.4988703572764557E-2</v>
      </c>
      <c r="P46" s="101">
        <v>1</v>
      </c>
    </row>
    <row r="47" spans="1:18" x14ac:dyDescent="0.25">
      <c r="A47" s="33">
        <f t="shared" si="1"/>
        <v>45</v>
      </c>
      <c r="B47" s="23">
        <f>SUMIFS(Model_30y!$AJ:$AJ, Model_30y!$B:$B, IRR_Calculations!$A47)</f>
        <v>37626.797430681625</v>
      </c>
      <c r="C47" s="2">
        <f>_xlfn.XLOOKUP($A47, Net_Worth_Calculations!$B:$B,Net_Worth_Calculations!$C:$C, 0, 0, -1)</f>
        <v>9433149.8706632387</v>
      </c>
      <c r="D47" s="100">
        <f t="shared" si="2"/>
        <v>9470776.6680939198</v>
      </c>
      <c r="E47" s="99" cm="1">
        <f t="array" ref="E47">_xlfn.LET(
    _xlpm.k, ROW()-1,
    _xlpm.baseFlows, $B$2:INDEX($B$2:$B$47, _xlpm.k-1),
    _xlpm.lastCF, INDEX($B$2:$B$47, _xlpm.k) + INDEX($C$2:$C$47, _xlpm.k),
    IRR(_xlfn.VSTACK(_xlpm.baseFlows, _xlpm.lastCF))
)</f>
        <v>0.1106829410964334</v>
      </c>
      <c r="F47" s="101">
        <v>1</v>
      </c>
      <c r="G47" s="23">
        <f>SUMIFS(Model_15y!$AJ:$AJ, Model_15y!$B:$B, IRR_Calculations!$A47)</f>
        <v>37626.797430681625</v>
      </c>
      <c r="H47" s="2">
        <f>_xlfn.XLOOKUP($A47, Net_Worth_Calculations!$B:$B,Net_Worth_Calculations!$D:$D, 0, 0, -1)</f>
        <v>8893915.6655033994</v>
      </c>
      <c r="I47" s="100">
        <f t="shared" si="3"/>
        <v>8931542.4629340805</v>
      </c>
      <c r="J47" s="99" cm="1">
        <f t="array" ref="J47">_xlfn.LET(
    _xlpm.k, ROW()-1,
    _xlpm.baseFlows, $G$2:INDEX($G$2:$G$47, _xlpm.k-1),
    _xlpm.lastCF, INDEX($G$2:$G$47, _xlpm.k) + INDEX($H$2:$H$47, _xlpm.k),
    IRR(_xlfn.VSTACK(_xlpm.baseFlows, _xlpm.lastCF))
)</f>
        <v>0.10942986062946081</v>
      </c>
      <c r="K47" s="101">
        <v>1</v>
      </c>
      <c r="L47" s="23">
        <f>SUMIFS(Model_Renter!P:P, Model_Renter!$B:$B,$A47)</f>
        <v>-30572.394852487094</v>
      </c>
      <c r="M47" s="2">
        <f>_xlfn.XLOOKUP($A47, Net_Worth_Calculations!$B:$B,Net_Worth_Calculations!E:E, 0, 0, -1)</f>
        <v>12546770.972632786</v>
      </c>
      <c r="N47" s="100">
        <f t="shared" si="0"/>
        <v>12516198.577780299</v>
      </c>
      <c r="O47" s="99" cm="1">
        <f t="array" ref="O47">_xlfn.LET(
    _xlpm.k, ROW()-1,
    _xlpm.baseFlows, $L$2:INDEX($L$2:$L$47, _xlpm.k-1),
    _xlpm.lastCF, INDEX($L$2:$L$47, _xlpm.k) + INDEX($M$2:$M$47, _xlpm.k),
    IRR(_xlfn.VSTACK(_xlpm.baseFlows, _xlpm.lastCF))
)</f>
        <v>8.4987592580320515E-2</v>
      </c>
      <c r="P47" s="101">
        <v>1</v>
      </c>
    </row>
    <row r="48" spans="1:18" x14ac:dyDescent="0.25">
      <c r="A48" s="37"/>
      <c r="B48" s="2"/>
      <c r="C48" s="2"/>
      <c r="E48" s="99"/>
      <c r="G48" s="2"/>
      <c r="H48" s="2"/>
      <c r="J48" s="99"/>
      <c r="L48" s="2"/>
      <c r="M48" s="2"/>
      <c r="O48" s="99"/>
    </row>
    <row r="49" spans="1:13" x14ac:dyDescent="0.25">
      <c r="A49" s="37"/>
      <c r="B49" s="2"/>
      <c r="C49" s="2"/>
      <c r="G49" s="2"/>
      <c r="H49" s="2"/>
      <c r="L49" s="2"/>
      <c r="M49" s="2"/>
    </row>
    <row r="50" spans="1:13" x14ac:dyDescent="0.25">
      <c r="A50" s="37"/>
      <c r="B50" s="2"/>
      <c r="C50" s="2"/>
      <c r="G50" s="2"/>
      <c r="H50" s="2"/>
      <c r="L50" s="2"/>
      <c r="M50" s="2"/>
    </row>
    <row r="51" spans="1:13" x14ac:dyDescent="0.25">
      <c r="A51" s="37"/>
      <c r="B51" s="2"/>
      <c r="C51" s="2"/>
      <c r="G51" s="2"/>
      <c r="H51" s="2"/>
      <c r="L51" s="2"/>
      <c r="M51" s="2"/>
    </row>
    <row r="52" spans="1:13" x14ac:dyDescent="0.25">
      <c r="A52" s="37"/>
      <c r="B52" s="2"/>
      <c r="C52" s="2"/>
      <c r="G52" s="2"/>
      <c r="H52" s="2"/>
      <c r="L52" s="2"/>
      <c r="M52" s="2"/>
    </row>
    <row r="53" spans="1:13" x14ac:dyDescent="0.25">
      <c r="A53" s="37"/>
      <c r="B53" s="2"/>
      <c r="C53" s="2"/>
      <c r="G53" s="2"/>
      <c r="H53" s="2"/>
      <c r="L53" s="2"/>
      <c r="M53" s="2"/>
    </row>
    <row r="54" spans="1:13" x14ac:dyDescent="0.25">
      <c r="A54" s="37"/>
      <c r="B54" s="2"/>
      <c r="C54" s="2"/>
      <c r="G54" s="2"/>
      <c r="H54" s="2"/>
      <c r="L54" s="2"/>
      <c r="M54" s="2"/>
    </row>
    <row r="55" spans="1:13" x14ac:dyDescent="0.25">
      <c r="A55" s="37"/>
      <c r="B55" s="2"/>
      <c r="C55" s="2"/>
      <c r="G55" s="2"/>
      <c r="H55" s="2"/>
      <c r="L55" s="2"/>
      <c r="M55" s="2"/>
    </row>
    <row r="56" spans="1:13" x14ac:dyDescent="0.25">
      <c r="A56" s="37"/>
      <c r="B56" s="2"/>
      <c r="C56" s="2"/>
      <c r="G56" s="2"/>
      <c r="H56" s="2"/>
      <c r="L56" s="2"/>
      <c r="M56" s="2"/>
    </row>
    <row r="57" spans="1:13" x14ac:dyDescent="0.25">
      <c r="A57" s="37"/>
      <c r="B57" s="2"/>
      <c r="C57" s="2"/>
      <c r="G57" s="2"/>
      <c r="H57" s="2"/>
      <c r="L57" s="2"/>
      <c r="M57" s="2"/>
    </row>
    <row r="58" spans="1:13" x14ac:dyDescent="0.25">
      <c r="A58" s="37"/>
      <c r="B58" s="2"/>
      <c r="C58" s="2"/>
      <c r="G58" s="2"/>
      <c r="H58" s="2"/>
      <c r="L58" s="2"/>
      <c r="M58" s="2"/>
    </row>
    <row r="59" spans="1:13" x14ac:dyDescent="0.25">
      <c r="A59" s="37"/>
      <c r="B59" s="2"/>
      <c r="C59" s="2"/>
      <c r="G59" s="2"/>
      <c r="H59" s="2"/>
      <c r="L59" s="2"/>
      <c r="M59" s="2"/>
    </row>
    <row r="60" spans="1:13" x14ac:dyDescent="0.25">
      <c r="A60" s="37"/>
      <c r="B60" s="2"/>
      <c r="C60" s="2"/>
      <c r="G60" s="2"/>
      <c r="H60" s="2"/>
      <c r="L60" s="2"/>
      <c r="M60" s="2"/>
    </row>
    <row r="61" spans="1:13" x14ac:dyDescent="0.25">
      <c r="A61" s="37"/>
      <c r="B61" s="2"/>
      <c r="C61" s="2"/>
      <c r="G61" s="2"/>
      <c r="H61" s="2"/>
      <c r="L61" s="2"/>
      <c r="M61" s="2"/>
    </row>
    <row r="62" spans="1:13" x14ac:dyDescent="0.25">
      <c r="A62" s="37"/>
      <c r="B62" s="2"/>
      <c r="C62" s="2"/>
      <c r="G62" s="2"/>
      <c r="H62" s="2"/>
      <c r="L62" s="2"/>
      <c r="M62" s="2"/>
    </row>
    <row r="63" spans="1:13" x14ac:dyDescent="0.25">
      <c r="A63" s="37"/>
      <c r="B63" s="2"/>
      <c r="C63" s="2"/>
      <c r="G63" s="2"/>
      <c r="H63" s="2"/>
      <c r="L63" s="2"/>
      <c r="M63" s="2"/>
    </row>
    <row r="64" spans="1:13" x14ac:dyDescent="0.25">
      <c r="A64" s="37"/>
      <c r="B64" s="2"/>
      <c r="C64" s="2"/>
      <c r="G64" s="2"/>
      <c r="H64" s="2"/>
      <c r="L64" s="2"/>
      <c r="M64" s="2"/>
    </row>
    <row r="65" spans="1:13" x14ac:dyDescent="0.25">
      <c r="A65" s="37"/>
      <c r="B65" s="2"/>
      <c r="C65" s="2"/>
      <c r="G65" s="2"/>
      <c r="H65" s="2"/>
      <c r="L65" s="2"/>
      <c r="M65" s="2"/>
    </row>
    <row r="66" spans="1:13" x14ac:dyDescent="0.25">
      <c r="A66" s="37"/>
      <c r="B66" s="2"/>
      <c r="C66" s="2"/>
      <c r="G66" s="2"/>
      <c r="H66" s="2"/>
      <c r="L66" s="2"/>
      <c r="M66" s="2"/>
    </row>
    <row r="67" spans="1:13" x14ac:dyDescent="0.25">
      <c r="A67" s="37"/>
      <c r="B67" s="2"/>
      <c r="C67" s="2"/>
      <c r="G67" s="2"/>
      <c r="H67" s="2"/>
      <c r="L67" s="2"/>
      <c r="M67" s="2"/>
    </row>
    <row r="68" spans="1:13" x14ac:dyDescent="0.25">
      <c r="A68" s="37"/>
      <c r="B68" s="2"/>
      <c r="C68" s="2"/>
      <c r="G68" s="2"/>
      <c r="H68" s="2"/>
      <c r="L68" s="2"/>
      <c r="M68" s="2"/>
    </row>
    <row r="69" spans="1:13" x14ac:dyDescent="0.25">
      <c r="A69" s="37"/>
      <c r="B69" s="2"/>
      <c r="C69" s="2"/>
      <c r="G69" s="2"/>
      <c r="H69" s="2"/>
      <c r="L69" s="2"/>
      <c r="M69" s="2"/>
    </row>
    <row r="70" spans="1:13" x14ac:dyDescent="0.25">
      <c r="A70" s="37"/>
      <c r="B70" s="2"/>
      <c r="C70" s="2"/>
      <c r="G70" s="2"/>
      <c r="H70" s="2"/>
      <c r="L70" s="2"/>
      <c r="M70" s="2"/>
    </row>
    <row r="71" spans="1:13" x14ac:dyDescent="0.25">
      <c r="A71" s="37"/>
      <c r="B71" s="2"/>
      <c r="C71" s="2"/>
      <c r="G71" s="2"/>
      <c r="H71" s="2"/>
      <c r="L71" s="2"/>
      <c r="M71" s="2"/>
    </row>
    <row r="72" spans="1:13" x14ac:dyDescent="0.25">
      <c r="A72" s="37"/>
      <c r="B72" s="2"/>
      <c r="C72" s="2"/>
      <c r="G72" s="2"/>
      <c r="H72" s="2"/>
      <c r="L72" s="2"/>
      <c r="M72" s="2"/>
    </row>
    <row r="73" spans="1:13" x14ac:dyDescent="0.25">
      <c r="A73" s="37"/>
      <c r="B73" s="2"/>
      <c r="C73" s="2"/>
      <c r="G73" s="2"/>
      <c r="H73" s="2"/>
      <c r="L73" s="2"/>
      <c r="M73" s="2"/>
    </row>
    <row r="74" spans="1:13" x14ac:dyDescent="0.25">
      <c r="A74" s="37"/>
      <c r="B74" s="2"/>
      <c r="C74" s="2"/>
      <c r="G74" s="2"/>
      <c r="H74" s="2"/>
      <c r="L74" s="2"/>
      <c r="M74" s="2"/>
    </row>
    <row r="75" spans="1:13" x14ac:dyDescent="0.25">
      <c r="A75" s="37"/>
      <c r="B75" s="2"/>
      <c r="C75" s="2"/>
      <c r="G75" s="2"/>
      <c r="H75" s="2"/>
      <c r="L75" s="2"/>
      <c r="M75" s="2"/>
    </row>
    <row r="76" spans="1:13" x14ac:dyDescent="0.25">
      <c r="A76" s="37"/>
      <c r="B76" s="2"/>
      <c r="C76" s="2"/>
      <c r="G76" s="2"/>
      <c r="H76" s="2"/>
      <c r="L76" s="2"/>
      <c r="M76" s="2"/>
    </row>
    <row r="77" spans="1:13" x14ac:dyDescent="0.25">
      <c r="A77" s="37"/>
      <c r="B77" s="2"/>
      <c r="C77" s="2"/>
      <c r="G77" s="2"/>
      <c r="H77" s="2"/>
      <c r="L77" s="2"/>
      <c r="M77" s="2"/>
    </row>
    <row r="78" spans="1:13" x14ac:dyDescent="0.25">
      <c r="A78" s="37"/>
      <c r="B78" s="2"/>
      <c r="C78" s="2"/>
      <c r="G78" s="2"/>
      <c r="H78" s="2"/>
      <c r="L78" s="2"/>
      <c r="M78" s="2"/>
    </row>
    <row r="79" spans="1:13" x14ac:dyDescent="0.25">
      <c r="A79" s="37"/>
      <c r="B79" s="2"/>
      <c r="C79" s="2"/>
      <c r="G79" s="2"/>
      <c r="H79" s="2"/>
      <c r="L79" s="2"/>
      <c r="M79" s="2"/>
    </row>
    <row r="80" spans="1:13" x14ac:dyDescent="0.25">
      <c r="A80" s="37"/>
      <c r="B80" s="2"/>
      <c r="C80" s="2"/>
      <c r="G80" s="2"/>
      <c r="H80" s="2"/>
      <c r="L80" s="2"/>
      <c r="M80" s="2"/>
    </row>
    <row r="81" spans="1:13" x14ac:dyDescent="0.25">
      <c r="A81" s="37"/>
      <c r="B81" s="2"/>
      <c r="C81" s="2"/>
      <c r="G81" s="2"/>
      <c r="H81" s="2"/>
      <c r="L81" s="2"/>
      <c r="M81" s="2"/>
    </row>
    <row r="82" spans="1:13" x14ac:dyDescent="0.25">
      <c r="A82" s="37"/>
      <c r="B82" s="2"/>
      <c r="C82" s="2"/>
      <c r="G82" s="2"/>
      <c r="H82" s="2"/>
      <c r="L82" s="2"/>
      <c r="M82" s="2"/>
    </row>
    <row r="83" spans="1:13" x14ac:dyDescent="0.25">
      <c r="A83" s="37"/>
      <c r="B83" s="2"/>
      <c r="C83" s="2"/>
      <c r="G83" s="2"/>
      <c r="H83" s="2"/>
      <c r="L83" s="2"/>
      <c r="M83" s="2"/>
    </row>
    <row r="84" spans="1:13" x14ac:dyDescent="0.25">
      <c r="A84" s="37"/>
      <c r="B84" s="2"/>
      <c r="C84" s="2"/>
      <c r="G84" s="2"/>
      <c r="H84" s="2"/>
      <c r="L84" s="2"/>
      <c r="M84" s="2"/>
    </row>
    <row r="85" spans="1:13" x14ac:dyDescent="0.25">
      <c r="A85" s="37"/>
      <c r="B85" s="2"/>
      <c r="C85" s="2"/>
      <c r="G85" s="2"/>
      <c r="H85" s="2"/>
      <c r="L85" s="2"/>
      <c r="M85" s="2"/>
    </row>
    <row r="86" spans="1:13" x14ac:dyDescent="0.25">
      <c r="A86" s="37"/>
      <c r="B86" s="2"/>
      <c r="C86" s="2"/>
      <c r="G86" s="2"/>
      <c r="H86" s="2"/>
      <c r="L86" s="2"/>
      <c r="M86" s="2"/>
    </row>
    <row r="87" spans="1:13" x14ac:dyDescent="0.25">
      <c r="A87" s="37"/>
      <c r="B87" s="2"/>
      <c r="C87" s="2"/>
      <c r="G87" s="2"/>
      <c r="H87" s="2"/>
      <c r="L87" s="2"/>
      <c r="M87" s="2"/>
    </row>
    <row r="88" spans="1:13" x14ac:dyDescent="0.25">
      <c r="A88" s="37"/>
      <c r="B88" s="2"/>
      <c r="C88" s="2"/>
      <c r="G88" s="2"/>
      <c r="H88" s="2"/>
      <c r="L88" s="2"/>
      <c r="M88" s="2"/>
    </row>
    <row r="89" spans="1:13" x14ac:dyDescent="0.25">
      <c r="A89" s="37"/>
      <c r="B89" s="2"/>
      <c r="C89" s="2"/>
      <c r="G89" s="2"/>
      <c r="H89" s="2"/>
      <c r="L89" s="2"/>
      <c r="M89" s="2"/>
    </row>
    <row r="90" spans="1:13" x14ac:dyDescent="0.25">
      <c r="A90" s="37"/>
      <c r="B90" s="2"/>
      <c r="C90" s="2"/>
      <c r="G90" s="2"/>
      <c r="H90" s="2"/>
      <c r="L90" s="2"/>
      <c r="M90" s="2"/>
    </row>
    <row r="91" spans="1:13" x14ac:dyDescent="0.25">
      <c r="A91" s="37"/>
      <c r="B91" s="2"/>
      <c r="C91" s="2"/>
      <c r="G91" s="2"/>
      <c r="H91" s="2"/>
      <c r="L91" s="2"/>
      <c r="M91" s="2"/>
    </row>
    <row r="92" spans="1:13" x14ac:dyDescent="0.25">
      <c r="A92" s="37"/>
      <c r="B92" s="2"/>
      <c r="C92" s="2"/>
      <c r="G92" s="2"/>
      <c r="H92" s="2"/>
      <c r="L92" s="2"/>
      <c r="M92" s="2"/>
    </row>
    <row r="93" spans="1:13" x14ac:dyDescent="0.25">
      <c r="A93" s="37"/>
      <c r="B93" s="2"/>
      <c r="C93" s="2"/>
      <c r="G93" s="2"/>
      <c r="H93" s="2"/>
      <c r="L93" s="2"/>
      <c r="M93" s="2"/>
    </row>
    <row r="94" spans="1:13" x14ac:dyDescent="0.25">
      <c r="A94" s="37"/>
      <c r="B94" s="2"/>
      <c r="C94" s="2"/>
      <c r="G94" s="2"/>
      <c r="H94" s="2"/>
      <c r="L94" s="2"/>
      <c r="M94" s="2"/>
    </row>
    <row r="95" spans="1:13" x14ac:dyDescent="0.25">
      <c r="A95" s="37"/>
      <c r="B95" s="2"/>
      <c r="C95" s="2"/>
      <c r="G95" s="2"/>
      <c r="H95" s="2"/>
      <c r="L95" s="2"/>
      <c r="M95" s="2"/>
    </row>
    <row r="96" spans="1:13" x14ac:dyDescent="0.25">
      <c r="A96" s="37"/>
      <c r="B96" s="2"/>
      <c r="C96" s="2"/>
      <c r="G96" s="2"/>
      <c r="H96" s="2"/>
      <c r="L96" s="2"/>
      <c r="M96" s="2"/>
    </row>
    <row r="97" spans="1:13" x14ac:dyDescent="0.25">
      <c r="A97" s="37"/>
      <c r="B97" s="2"/>
      <c r="C97" s="2"/>
      <c r="G97" s="2"/>
      <c r="H97" s="2"/>
      <c r="L97" s="2"/>
      <c r="M97" s="2"/>
    </row>
    <row r="98" spans="1:13" x14ac:dyDescent="0.25">
      <c r="A98" s="37"/>
      <c r="B98" s="2"/>
      <c r="C98" s="2"/>
      <c r="G98" s="2"/>
      <c r="H98" s="2"/>
      <c r="L98" s="2"/>
      <c r="M98" s="2"/>
    </row>
    <row r="99" spans="1:13" x14ac:dyDescent="0.25">
      <c r="A99" s="37"/>
      <c r="B99" s="2"/>
      <c r="C99" s="2"/>
      <c r="G99" s="2"/>
      <c r="H99" s="2"/>
      <c r="L99" s="2"/>
      <c r="M99" s="2"/>
    </row>
    <row r="100" spans="1:13" x14ac:dyDescent="0.25">
      <c r="A100" s="37"/>
      <c r="B100" s="2"/>
      <c r="C100" s="2"/>
      <c r="G100" s="2"/>
      <c r="H100" s="2"/>
      <c r="L100" s="2"/>
      <c r="M100" s="2"/>
    </row>
    <row r="101" spans="1:13" x14ac:dyDescent="0.25">
      <c r="A101" s="37"/>
      <c r="B101" s="2"/>
      <c r="C101" s="2"/>
      <c r="G101" s="2"/>
      <c r="H101" s="2"/>
      <c r="L101" s="2"/>
      <c r="M101" s="2"/>
    </row>
    <row r="102" spans="1:13" x14ac:dyDescent="0.25">
      <c r="A102" s="37"/>
      <c r="B102" s="2"/>
      <c r="C102" s="2"/>
      <c r="G102" s="2"/>
      <c r="H102" s="2"/>
      <c r="L102" s="2"/>
      <c r="M102" s="2"/>
    </row>
    <row r="103" spans="1:13" x14ac:dyDescent="0.25">
      <c r="A103" s="37"/>
      <c r="B103" s="2"/>
      <c r="C103" s="2"/>
      <c r="G103" s="2"/>
      <c r="H103" s="2"/>
      <c r="L103" s="2"/>
      <c r="M103" s="2"/>
    </row>
    <row r="104" spans="1:13" x14ac:dyDescent="0.25">
      <c r="A104" s="37"/>
      <c r="B104" s="2"/>
      <c r="C104" s="2"/>
      <c r="G104" s="2"/>
      <c r="H104" s="2"/>
      <c r="L104" s="2"/>
      <c r="M104" s="2"/>
    </row>
    <row r="105" spans="1:13" x14ac:dyDescent="0.25">
      <c r="A105" s="37"/>
      <c r="B105" s="2"/>
      <c r="C105" s="2"/>
      <c r="G105" s="2"/>
      <c r="H105" s="2"/>
      <c r="L105" s="2"/>
      <c r="M105" s="2"/>
    </row>
    <row r="106" spans="1:13" x14ac:dyDescent="0.25">
      <c r="A106" s="37"/>
      <c r="B106" s="2"/>
      <c r="C106" s="2"/>
      <c r="G106" s="2"/>
      <c r="H106" s="2"/>
      <c r="L106" s="2"/>
      <c r="M106" s="2"/>
    </row>
    <row r="107" spans="1:13" x14ac:dyDescent="0.25">
      <c r="A107" s="37"/>
      <c r="B107" s="2"/>
      <c r="C107" s="2"/>
      <c r="G107" s="2"/>
      <c r="H107" s="2"/>
      <c r="L107" s="2"/>
      <c r="M107" s="2"/>
    </row>
    <row r="108" spans="1:13" x14ac:dyDescent="0.25">
      <c r="A108" s="37"/>
      <c r="B108" s="2"/>
      <c r="C108" s="2"/>
      <c r="G108" s="2"/>
      <c r="H108" s="2"/>
      <c r="L108" s="2"/>
      <c r="M108" s="2"/>
    </row>
    <row r="109" spans="1:13" x14ac:dyDescent="0.25">
      <c r="A109" s="37"/>
      <c r="B109" s="2"/>
      <c r="C109" s="2"/>
      <c r="G109" s="2"/>
      <c r="H109" s="2"/>
      <c r="L109" s="2"/>
      <c r="M109" s="2"/>
    </row>
    <row r="110" spans="1:13" x14ac:dyDescent="0.25">
      <c r="A110" s="37"/>
      <c r="B110" s="2"/>
      <c r="C110" s="2"/>
      <c r="G110" s="2"/>
      <c r="H110" s="2"/>
      <c r="L110" s="2"/>
      <c r="M110" s="2"/>
    </row>
    <row r="111" spans="1:13" x14ac:dyDescent="0.25">
      <c r="A111" s="37"/>
      <c r="B111" s="2"/>
      <c r="C111" s="2"/>
      <c r="G111" s="2"/>
      <c r="H111" s="2"/>
      <c r="L111" s="2"/>
      <c r="M111" s="2"/>
    </row>
    <row r="112" spans="1:13" x14ac:dyDescent="0.25">
      <c r="A112" s="37"/>
      <c r="B112" s="2"/>
      <c r="C112" s="2"/>
      <c r="G112" s="2"/>
      <c r="H112" s="2"/>
      <c r="L112" s="2"/>
      <c r="M112" s="2"/>
    </row>
    <row r="113" spans="1:13" x14ac:dyDescent="0.25">
      <c r="A113" s="37"/>
      <c r="B113" s="2"/>
      <c r="C113" s="2"/>
      <c r="G113" s="2"/>
      <c r="H113" s="2"/>
      <c r="L113" s="2"/>
      <c r="M113" s="2"/>
    </row>
    <row r="114" spans="1:13" x14ac:dyDescent="0.25">
      <c r="A114" s="37"/>
      <c r="B114" s="2"/>
      <c r="C114" s="2"/>
      <c r="G114" s="2"/>
      <c r="H114" s="2"/>
      <c r="L114" s="2"/>
      <c r="M114" s="2"/>
    </row>
    <row r="115" spans="1:13" x14ac:dyDescent="0.25">
      <c r="A115" s="37"/>
      <c r="B115" s="2"/>
      <c r="C115" s="2"/>
      <c r="G115" s="2"/>
      <c r="H115" s="2"/>
      <c r="L115" s="2"/>
      <c r="M115" s="2"/>
    </row>
    <row r="116" spans="1:13" x14ac:dyDescent="0.25">
      <c r="A116" s="37"/>
      <c r="B116" s="2"/>
      <c r="C116" s="2"/>
      <c r="G116" s="2"/>
      <c r="H116" s="2"/>
      <c r="L116" s="2"/>
      <c r="M116" s="2"/>
    </row>
    <row r="117" spans="1:13" x14ac:dyDescent="0.25">
      <c r="A117" s="37"/>
      <c r="B117" s="2"/>
      <c r="C117" s="2"/>
      <c r="G117" s="2"/>
      <c r="H117" s="2"/>
      <c r="L117" s="2"/>
      <c r="M117" s="2"/>
    </row>
    <row r="118" spans="1:13" x14ac:dyDescent="0.25">
      <c r="A118" s="37"/>
      <c r="B118" s="2"/>
      <c r="C118" s="2"/>
      <c r="G118" s="2"/>
      <c r="H118" s="2"/>
      <c r="L118" s="2"/>
      <c r="M118" s="2"/>
    </row>
    <row r="119" spans="1:13" x14ac:dyDescent="0.25">
      <c r="A119" s="37"/>
      <c r="B119" s="2"/>
      <c r="C119" s="2"/>
      <c r="G119" s="2"/>
      <c r="H119" s="2"/>
      <c r="L119" s="2"/>
      <c r="M119" s="2"/>
    </row>
    <row r="120" spans="1:13" x14ac:dyDescent="0.25">
      <c r="A120" s="37"/>
      <c r="B120" s="2"/>
      <c r="C120" s="2"/>
      <c r="G120" s="2"/>
      <c r="H120" s="2"/>
      <c r="L120" s="2"/>
      <c r="M120" s="2"/>
    </row>
    <row r="121" spans="1:13" x14ac:dyDescent="0.25">
      <c r="A121" s="37"/>
      <c r="B121" s="2"/>
      <c r="C121" s="2"/>
      <c r="G121" s="2"/>
      <c r="H121" s="2"/>
      <c r="L121" s="2"/>
      <c r="M121" s="2"/>
    </row>
    <row r="122" spans="1:13" x14ac:dyDescent="0.25">
      <c r="A122" s="37"/>
      <c r="B122" s="2"/>
      <c r="C122" s="2"/>
      <c r="G122" s="2"/>
      <c r="H122" s="2"/>
      <c r="L122" s="2"/>
      <c r="M122" s="2"/>
    </row>
    <row r="123" spans="1:13" x14ac:dyDescent="0.25">
      <c r="A123" s="37"/>
      <c r="B123" s="2"/>
      <c r="C123" s="2"/>
      <c r="G123" s="2"/>
      <c r="H123" s="2"/>
      <c r="L123" s="2"/>
      <c r="M123" s="2"/>
    </row>
    <row r="124" spans="1:13" x14ac:dyDescent="0.25">
      <c r="A124" s="37"/>
      <c r="B124" s="2"/>
      <c r="C124" s="2"/>
      <c r="G124" s="2"/>
      <c r="H124" s="2"/>
      <c r="L124" s="2"/>
      <c r="M124" s="2"/>
    </row>
    <row r="125" spans="1:13" x14ac:dyDescent="0.25">
      <c r="A125" s="37"/>
      <c r="B125" s="2"/>
      <c r="C125" s="2"/>
      <c r="G125" s="2"/>
      <c r="H125" s="2"/>
      <c r="L125" s="2"/>
      <c r="M125" s="2"/>
    </row>
    <row r="126" spans="1:13" x14ac:dyDescent="0.25">
      <c r="A126" s="37"/>
      <c r="B126" s="2"/>
      <c r="C126" s="2"/>
      <c r="G126" s="2"/>
      <c r="H126" s="2"/>
      <c r="L126" s="2"/>
      <c r="M126" s="2"/>
    </row>
    <row r="127" spans="1:13" x14ac:dyDescent="0.25">
      <c r="A127" s="37"/>
      <c r="B127" s="2"/>
      <c r="C127" s="2"/>
      <c r="G127" s="2"/>
      <c r="H127" s="2"/>
      <c r="L127" s="2"/>
      <c r="M127" s="2"/>
    </row>
    <row r="128" spans="1:13" x14ac:dyDescent="0.25">
      <c r="A128" s="37"/>
      <c r="B128" s="2"/>
      <c r="C128" s="2"/>
      <c r="G128" s="2"/>
      <c r="H128" s="2"/>
      <c r="L128" s="2"/>
      <c r="M128" s="2"/>
    </row>
    <row r="129" spans="1:13" x14ac:dyDescent="0.25">
      <c r="A129" s="37"/>
      <c r="B129" s="2"/>
      <c r="C129" s="2"/>
      <c r="G129" s="2"/>
      <c r="H129" s="2"/>
      <c r="L129" s="2"/>
      <c r="M129" s="2"/>
    </row>
    <row r="130" spans="1:13" x14ac:dyDescent="0.25">
      <c r="A130" s="37"/>
      <c r="B130" s="2"/>
      <c r="C130" s="2"/>
      <c r="G130" s="2"/>
      <c r="H130" s="2"/>
      <c r="L130" s="2"/>
      <c r="M130" s="2"/>
    </row>
    <row r="131" spans="1:13" x14ac:dyDescent="0.25">
      <c r="A131" s="37"/>
      <c r="B131" s="2"/>
      <c r="C131" s="2"/>
      <c r="G131" s="2"/>
      <c r="H131" s="2"/>
      <c r="L131" s="2"/>
      <c r="M131" s="2"/>
    </row>
    <row r="132" spans="1:13" x14ac:dyDescent="0.25">
      <c r="A132" s="37"/>
      <c r="B132" s="2"/>
      <c r="C132" s="2"/>
      <c r="G132" s="2"/>
      <c r="H132" s="2"/>
      <c r="L132" s="2"/>
      <c r="M132" s="2"/>
    </row>
    <row r="133" spans="1:13" x14ac:dyDescent="0.25">
      <c r="A133" s="37"/>
      <c r="B133" s="2"/>
      <c r="C133" s="2"/>
      <c r="G133" s="2"/>
      <c r="H133" s="2"/>
      <c r="L133" s="2"/>
      <c r="M133" s="2"/>
    </row>
    <row r="134" spans="1:13" x14ac:dyDescent="0.25">
      <c r="A134" s="37"/>
      <c r="B134" s="2"/>
      <c r="C134" s="2"/>
      <c r="G134" s="2"/>
      <c r="H134" s="2"/>
      <c r="L134" s="2"/>
      <c r="M134" s="2"/>
    </row>
    <row r="135" spans="1:13" x14ac:dyDescent="0.25">
      <c r="A135" s="37"/>
      <c r="B135" s="2"/>
      <c r="C135" s="2"/>
      <c r="G135" s="2"/>
      <c r="H135" s="2"/>
      <c r="L135" s="2"/>
      <c r="M135" s="2"/>
    </row>
    <row r="136" spans="1:13" x14ac:dyDescent="0.25">
      <c r="A136" s="37"/>
      <c r="B136" s="2"/>
      <c r="C136" s="2"/>
      <c r="G136" s="2"/>
      <c r="H136" s="2"/>
      <c r="L136" s="2"/>
      <c r="M136" s="2"/>
    </row>
    <row r="137" spans="1:13" x14ac:dyDescent="0.25">
      <c r="A137" s="37"/>
      <c r="B137" s="2"/>
      <c r="C137" s="2"/>
      <c r="G137" s="2"/>
      <c r="H137" s="2"/>
      <c r="L137" s="2"/>
      <c r="M137" s="2"/>
    </row>
    <row r="138" spans="1:13" x14ac:dyDescent="0.25">
      <c r="A138" s="37"/>
      <c r="B138" s="2"/>
      <c r="C138" s="2"/>
      <c r="G138" s="2"/>
      <c r="H138" s="2"/>
      <c r="L138" s="2"/>
      <c r="M138" s="2"/>
    </row>
    <row r="139" spans="1:13" x14ac:dyDescent="0.25">
      <c r="A139" s="37"/>
      <c r="B139" s="2"/>
      <c r="C139" s="2"/>
      <c r="G139" s="2"/>
      <c r="H139" s="2"/>
      <c r="L139" s="2"/>
      <c r="M139" s="2"/>
    </row>
    <row r="140" spans="1:13" x14ac:dyDescent="0.25">
      <c r="A140" s="37"/>
      <c r="B140" s="2"/>
      <c r="C140" s="2"/>
      <c r="G140" s="2"/>
      <c r="H140" s="2"/>
      <c r="L140" s="2"/>
      <c r="M140" s="2"/>
    </row>
    <row r="141" spans="1:13" x14ac:dyDescent="0.25">
      <c r="A141" s="37"/>
      <c r="B141" s="2"/>
      <c r="C141" s="2"/>
      <c r="G141" s="2"/>
      <c r="H141" s="2"/>
      <c r="L141" s="2"/>
      <c r="M141" s="2"/>
    </row>
    <row r="142" spans="1:13" x14ac:dyDescent="0.25">
      <c r="A142" s="37"/>
      <c r="B142" s="2"/>
      <c r="C142" s="2"/>
      <c r="G142" s="2"/>
      <c r="H142" s="2"/>
      <c r="L142" s="2"/>
      <c r="M142" s="2"/>
    </row>
    <row r="143" spans="1:13" x14ac:dyDescent="0.25">
      <c r="A143" s="37"/>
      <c r="B143" s="2"/>
      <c r="C143" s="2"/>
      <c r="G143" s="2"/>
      <c r="H143" s="2"/>
      <c r="L143" s="2"/>
      <c r="M143" s="2"/>
    </row>
    <row r="144" spans="1:13" x14ac:dyDescent="0.25">
      <c r="A144" s="37"/>
      <c r="B144" s="2"/>
      <c r="C144" s="2"/>
      <c r="G144" s="2"/>
      <c r="H144" s="2"/>
      <c r="L144" s="2"/>
      <c r="M144" s="2"/>
    </row>
    <row r="145" spans="1:13" x14ac:dyDescent="0.25">
      <c r="A145" s="37"/>
      <c r="B145" s="2"/>
      <c r="C145" s="2"/>
      <c r="G145" s="2"/>
      <c r="H145" s="2"/>
      <c r="L145" s="2"/>
      <c r="M145" s="2"/>
    </row>
    <row r="146" spans="1:13" x14ac:dyDescent="0.25">
      <c r="A146" s="37"/>
      <c r="B146" s="2"/>
      <c r="C146" s="2"/>
      <c r="G146" s="2"/>
      <c r="H146" s="2"/>
      <c r="L146" s="2"/>
      <c r="M146" s="2"/>
    </row>
    <row r="147" spans="1:13" x14ac:dyDescent="0.25">
      <c r="A147" s="37"/>
      <c r="B147" s="2"/>
      <c r="C147" s="2"/>
      <c r="G147" s="2"/>
      <c r="H147" s="2"/>
      <c r="L147" s="2"/>
      <c r="M147" s="2"/>
    </row>
    <row r="148" spans="1:13" x14ac:dyDescent="0.25">
      <c r="A148" s="37"/>
      <c r="B148" s="2"/>
      <c r="C148" s="2"/>
      <c r="G148" s="2"/>
      <c r="H148" s="2"/>
      <c r="L148" s="2"/>
      <c r="M148" s="2"/>
    </row>
    <row r="149" spans="1:13" x14ac:dyDescent="0.25">
      <c r="A149" s="37"/>
      <c r="B149" s="2"/>
      <c r="C149" s="2"/>
      <c r="G149" s="2"/>
      <c r="H149" s="2"/>
      <c r="L149" s="2"/>
      <c r="M149" s="2"/>
    </row>
    <row r="150" spans="1:13" x14ac:dyDescent="0.25">
      <c r="A150" s="37"/>
      <c r="B150" s="2"/>
      <c r="C150" s="2"/>
      <c r="G150" s="2"/>
      <c r="H150" s="2"/>
      <c r="L150" s="2"/>
      <c r="M150" s="2"/>
    </row>
    <row r="151" spans="1:13" x14ac:dyDescent="0.25">
      <c r="A151" s="37"/>
      <c r="B151" s="2"/>
      <c r="C151" s="2"/>
      <c r="G151" s="2"/>
      <c r="H151" s="2"/>
      <c r="L151" s="2"/>
      <c r="M151" s="2"/>
    </row>
    <row r="152" spans="1:13" x14ac:dyDescent="0.25">
      <c r="A152" s="37"/>
      <c r="B152" s="2"/>
      <c r="C152" s="2"/>
      <c r="G152" s="2"/>
      <c r="H152" s="2"/>
      <c r="L152" s="2"/>
      <c r="M152" s="2"/>
    </row>
    <row r="153" spans="1:13" x14ac:dyDescent="0.25">
      <c r="A153" s="37"/>
      <c r="B153" s="2"/>
      <c r="C153" s="2"/>
      <c r="G153" s="2"/>
      <c r="H153" s="2"/>
      <c r="L153" s="2"/>
      <c r="M153" s="2"/>
    </row>
    <row r="154" spans="1:13" x14ac:dyDescent="0.25">
      <c r="A154" s="37"/>
      <c r="B154" s="2"/>
      <c r="C154" s="2"/>
      <c r="G154" s="2"/>
      <c r="H154" s="2"/>
      <c r="L154" s="2"/>
      <c r="M154" s="2"/>
    </row>
    <row r="155" spans="1:13" x14ac:dyDescent="0.25">
      <c r="A155" s="37"/>
      <c r="B155" s="2"/>
      <c r="C155" s="2"/>
      <c r="G155" s="2"/>
      <c r="H155" s="2"/>
      <c r="L155" s="2"/>
      <c r="M155" s="2"/>
    </row>
    <row r="156" spans="1:13" x14ac:dyDescent="0.25">
      <c r="A156" s="37"/>
      <c r="B156" s="2"/>
      <c r="C156" s="2"/>
      <c r="G156" s="2"/>
      <c r="H156" s="2"/>
      <c r="L156" s="2"/>
      <c r="M156" s="2"/>
    </row>
    <row r="157" spans="1:13" x14ac:dyDescent="0.25">
      <c r="A157" s="37"/>
      <c r="B157" s="2"/>
      <c r="C157" s="2"/>
      <c r="G157" s="2"/>
      <c r="H157" s="2"/>
      <c r="L157" s="2"/>
      <c r="M157" s="2"/>
    </row>
    <row r="158" spans="1:13" x14ac:dyDescent="0.25">
      <c r="A158" s="37"/>
      <c r="B158" s="2"/>
      <c r="C158" s="2"/>
      <c r="G158" s="2"/>
      <c r="H158" s="2"/>
      <c r="L158" s="2"/>
      <c r="M158" s="2"/>
    </row>
    <row r="159" spans="1:13" x14ac:dyDescent="0.25">
      <c r="A159" s="37"/>
      <c r="B159" s="2"/>
      <c r="C159" s="2"/>
      <c r="G159" s="2"/>
      <c r="H159" s="2"/>
      <c r="L159" s="2"/>
      <c r="M159" s="2"/>
    </row>
    <row r="160" spans="1:13" x14ac:dyDescent="0.25">
      <c r="A160" s="37"/>
      <c r="B160" s="2"/>
      <c r="C160" s="2"/>
      <c r="G160" s="2"/>
      <c r="H160" s="2"/>
      <c r="L160" s="2"/>
      <c r="M160" s="2"/>
    </row>
    <row r="161" spans="1:13" x14ac:dyDescent="0.25">
      <c r="A161" s="37"/>
      <c r="B161" s="2"/>
      <c r="C161" s="2"/>
      <c r="G161" s="2"/>
      <c r="H161" s="2"/>
      <c r="L161" s="2"/>
      <c r="M161" s="2"/>
    </row>
    <row r="162" spans="1:13" x14ac:dyDescent="0.25">
      <c r="A162" s="37"/>
      <c r="B162" s="2"/>
      <c r="C162" s="2"/>
      <c r="G162" s="2"/>
      <c r="H162" s="2"/>
      <c r="L162" s="2"/>
      <c r="M162" s="2"/>
    </row>
    <row r="163" spans="1:13" x14ac:dyDescent="0.25">
      <c r="A163" s="37"/>
      <c r="B163" s="2"/>
      <c r="C163" s="2"/>
      <c r="G163" s="2"/>
      <c r="H163" s="2"/>
      <c r="L163" s="2"/>
      <c r="M163" s="2"/>
    </row>
    <row r="164" spans="1:13" x14ac:dyDescent="0.25">
      <c r="A164" s="37"/>
      <c r="B164" s="2"/>
      <c r="C164" s="2"/>
      <c r="G164" s="2"/>
      <c r="H164" s="2"/>
      <c r="L164" s="2"/>
      <c r="M164" s="2"/>
    </row>
    <row r="165" spans="1:13" x14ac:dyDescent="0.25">
      <c r="A165" s="37"/>
      <c r="B165" s="2"/>
      <c r="C165" s="2"/>
      <c r="G165" s="2"/>
      <c r="H165" s="2"/>
      <c r="L165" s="2"/>
      <c r="M165" s="2"/>
    </row>
    <row r="166" spans="1:13" x14ac:dyDescent="0.25">
      <c r="A166" s="37"/>
      <c r="B166" s="2"/>
      <c r="C166" s="2"/>
      <c r="G166" s="2"/>
      <c r="H166" s="2"/>
      <c r="L166" s="2"/>
      <c r="M166" s="2"/>
    </row>
    <row r="167" spans="1:13" x14ac:dyDescent="0.25">
      <c r="A167" s="37"/>
      <c r="B167" s="2"/>
      <c r="C167" s="2"/>
      <c r="G167" s="2"/>
      <c r="H167" s="2"/>
      <c r="L167" s="2"/>
      <c r="M167" s="2"/>
    </row>
    <row r="168" spans="1:13" x14ac:dyDescent="0.25">
      <c r="A168" s="37"/>
      <c r="B168" s="2"/>
      <c r="C168" s="2"/>
      <c r="G168" s="2"/>
      <c r="H168" s="2"/>
      <c r="L168" s="2"/>
      <c r="M168" s="2"/>
    </row>
    <row r="169" spans="1:13" x14ac:dyDescent="0.25">
      <c r="A169" s="37"/>
      <c r="B169" s="2"/>
      <c r="C169" s="2"/>
      <c r="G169" s="2"/>
      <c r="H169" s="2"/>
      <c r="L169" s="2"/>
      <c r="M169" s="2"/>
    </row>
    <row r="170" spans="1:13" x14ac:dyDescent="0.25">
      <c r="A170" s="37"/>
      <c r="B170" s="2"/>
      <c r="C170" s="2"/>
      <c r="G170" s="2"/>
      <c r="H170" s="2"/>
      <c r="L170" s="2"/>
      <c r="M170" s="2"/>
    </row>
    <row r="171" spans="1:13" x14ac:dyDescent="0.25">
      <c r="A171" s="37"/>
      <c r="B171" s="2"/>
      <c r="C171" s="2"/>
      <c r="G171" s="2"/>
      <c r="H171" s="2"/>
      <c r="L171" s="2"/>
      <c r="M171" s="2"/>
    </row>
    <row r="172" spans="1:13" x14ac:dyDescent="0.25">
      <c r="A172" s="37"/>
      <c r="B172" s="2"/>
      <c r="C172" s="2"/>
      <c r="G172" s="2"/>
      <c r="H172" s="2"/>
      <c r="L172" s="2"/>
      <c r="M172" s="2"/>
    </row>
    <row r="173" spans="1:13" x14ac:dyDescent="0.25">
      <c r="A173" s="37"/>
      <c r="B173" s="2"/>
      <c r="C173" s="2"/>
      <c r="G173" s="2"/>
      <c r="H173" s="2"/>
      <c r="L173" s="2"/>
      <c r="M173" s="2"/>
    </row>
    <row r="174" spans="1:13" x14ac:dyDescent="0.25">
      <c r="A174" s="37"/>
      <c r="B174" s="2"/>
      <c r="C174" s="2"/>
      <c r="G174" s="2"/>
      <c r="H174" s="2"/>
      <c r="L174" s="2"/>
      <c r="M174" s="2"/>
    </row>
    <row r="175" spans="1:13" x14ac:dyDescent="0.25">
      <c r="A175" s="37"/>
      <c r="B175" s="2"/>
      <c r="C175" s="2"/>
      <c r="G175" s="2"/>
      <c r="H175" s="2"/>
      <c r="L175" s="2"/>
      <c r="M175" s="2"/>
    </row>
    <row r="176" spans="1:13" x14ac:dyDescent="0.25">
      <c r="A176" s="37"/>
      <c r="B176" s="2"/>
      <c r="C176" s="2"/>
      <c r="G176" s="2"/>
      <c r="H176" s="2"/>
      <c r="L176" s="2"/>
      <c r="M176" s="2"/>
    </row>
    <row r="177" spans="1:13" x14ac:dyDescent="0.25">
      <c r="A177" s="37"/>
      <c r="B177" s="2"/>
      <c r="C177" s="2"/>
      <c r="G177" s="2"/>
      <c r="H177" s="2"/>
      <c r="L177" s="2"/>
      <c r="M177" s="2"/>
    </row>
    <row r="178" spans="1:13" x14ac:dyDescent="0.25">
      <c r="A178" s="37"/>
      <c r="B178" s="2"/>
      <c r="C178" s="2"/>
      <c r="G178" s="2"/>
      <c r="H178" s="2"/>
      <c r="L178" s="2"/>
      <c r="M178" s="2"/>
    </row>
    <row r="179" spans="1:13" x14ac:dyDescent="0.25">
      <c r="A179" s="37"/>
      <c r="B179" s="2"/>
      <c r="C179" s="2"/>
      <c r="G179" s="2"/>
      <c r="H179" s="2"/>
      <c r="L179" s="2"/>
      <c r="M179" s="2"/>
    </row>
    <row r="180" spans="1:13" x14ac:dyDescent="0.25">
      <c r="A180" s="37"/>
      <c r="B180" s="2"/>
      <c r="C180" s="2"/>
      <c r="G180" s="2"/>
      <c r="H180" s="2"/>
      <c r="L180" s="2"/>
      <c r="M180" s="2"/>
    </row>
    <row r="181" spans="1:13" x14ac:dyDescent="0.25">
      <c r="A181" s="37"/>
      <c r="B181" s="2"/>
      <c r="C181" s="2"/>
      <c r="G181" s="2"/>
      <c r="H181" s="2"/>
      <c r="L181" s="2"/>
      <c r="M181" s="2"/>
    </row>
    <row r="182" spans="1:13" x14ac:dyDescent="0.25">
      <c r="A182" s="37"/>
      <c r="B182" s="2"/>
      <c r="C182" s="2"/>
      <c r="G182" s="2"/>
      <c r="H182" s="2"/>
      <c r="L182" s="2"/>
      <c r="M182" s="2"/>
    </row>
    <row r="183" spans="1:13" x14ac:dyDescent="0.25">
      <c r="A183" s="37"/>
      <c r="B183" s="2"/>
      <c r="C183" s="2"/>
      <c r="G183" s="2"/>
      <c r="H183" s="2"/>
      <c r="L183" s="2"/>
      <c r="M183" s="2"/>
    </row>
    <row r="184" spans="1:13" x14ac:dyDescent="0.25">
      <c r="A184" s="37"/>
      <c r="B184" s="2"/>
      <c r="C184" s="2"/>
      <c r="G184" s="2"/>
      <c r="H184" s="2"/>
      <c r="L184" s="2"/>
      <c r="M184" s="2"/>
    </row>
    <row r="185" spans="1:13" x14ac:dyDescent="0.25">
      <c r="A185" s="37"/>
      <c r="B185" s="2"/>
      <c r="C185" s="2"/>
      <c r="G185" s="2"/>
      <c r="H185" s="2"/>
      <c r="L185" s="2"/>
      <c r="M185" s="2"/>
    </row>
    <row r="186" spans="1:13" x14ac:dyDescent="0.25">
      <c r="A186" s="37"/>
      <c r="B186" s="2"/>
      <c r="C186" s="2"/>
      <c r="G186" s="2"/>
      <c r="H186" s="2"/>
      <c r="L186" s="2"/>
      <c r="M186" s="2"/>
    </row>
    <row r="187" spans="1:13" x14ac:dyDescent="0.25">
      <c r="A187" s="37"/>
      <c r="B187" s="2"/>
      <c r="C187" s="2"/>
      <c r="G187" s="2"/>
      <c r="H187" s="2"/>
      <c r="L187" s="2"/>
      <c r="M187" s="2"/>
    </row>
    <row r="188" spans="1:13" x14ac:dyDescent="0.25">
      <c r="A188" s="37"/>
      <c r="B188" s="2"/>
      <c r="C188" s="2"/>
      <c r="G188" s="2"/>
      <c r="H188" s="2"/>
      <c r="L188" s="2"/>
      <c r="M188" s="2"/>
    </row>
    <row r="189" spans="1:13" x14ac:dyDescent="0.25">
      <c r="A189" s="37"/>
      <c r="B189" s="2"/>
      <c r="C189" s="2"/>
      <c r="G189" s="2"/>
      <c r="H189" s="2"/>
      <c r="L189" s="2"/>
      <c r="M189" s="2"/>
    </row>
    <row r="190" spans="1:13" x14ac:dyDescent="0.25">
      <c r="A190" s="37"/>
      <c r="B190" s="2"/>
      <c r="C190" s="2"/>
      <c r="G190" s="2"/>
      <c r="H190" s="2"/>
      <c r="L190" s="2"/>
      <c r="M190" s="2"/>
    </row>
    <row r="191" spans="1:13" x14ac:dyDescent="0.25">
      <c r="A191" s="37"/>
      <c r="B191" s="2"/>
      <c r="C191" s="2"/>
      <c r="G191" s="2"/>
      <c r="H191" s="2"/>
      <c r="L191" s="2"/>
      <c r="M191" s="2"/>
    </row>
    <row r="192" spans="1:13" x14ac:dyDescent="0.25">
      <c r="A192" s="37"/>
      <c r="B192" s="2"/>
      <c r="C192" s="2"/>
      <c r="G192" s="2"/>
      <c r="H192" s="2"/>
      <c r="L192" s="2"/>
      <c r="M192" s="2"/>
    </row>
    <row r="193" spans="1:13" x14ac:dyDescent="0.25">
      <c r="A193" s="37"/>
      <c r="B193" s="2"/>
      <c r="C193" s="2"/>
      <c r="G193" s="2"/>
      <c r="H193" s="2"/>
      <c r="L193" s="2"/>
      <c r="M193" s="2"/>
    </row>
    <row r="194" spans="1:13" x14ac:dyDescent="0.25">
      <c r="A194" s="37"/>
      <c r="B194" s="2"/>
      <c r="C194" s="2"/>
      <c r="G194" s="2"/>
      <c r="H194" s="2"/>
      <c r="L194" s="2"/>
      <c r="M194" s="2"/>
    </row>
    <row r="195" spans="1:13" x14ac:dyDescent="0.25">
      <c r="A195" s="37"/>
      <c r="B195" s="2"/>
      <c r="C195" s="2"/>
      <c r="G195" s="2"/>
      <c r="H195" s="2"/>
      <c r="L195" s="2"/>
      <c r="M195" s="2"/>
    </row>
    <row r="196" spans="1:13" x14ac:dyDescent="0.25">
      <c r="A196" s="37"/>
      <c r="B196" s="2"/>
      <c r="C196" s="2"/>
      <c r="G196" s="2"/>
      <c r="H196" s="2"/>
      <c r="L196" s="2"/>
      <c r="M196" s="2"/>
    </row>
    <row r="197" spans="1:13" x14ac:dyDescent="0.25">
      <c r="A197" s="37"/>
      <c r="B197" s="2"/>
      <c r="C197" s="2"/>
      <c r="G197" s="2"/>
      <c r="H197" s="2"/>
      <c r="L197" s="2"/>
      <c r="M197" s="2"/>
    </row>
    <row r="198" spans="1:13" x14ac:dyDescent="0.25">
      <c r="A198" s="37"/>
      <c r="B198" s="2"/>
      <c r="C198" s="2"/>
      <c r="G198" s="2"/>
      <c r="H198" s="2"/>
      <c r="L198" s="2"/>
      <c r="M198" s="2"/>
    </row>
    <row r="199" spans="1:13" x14ac:dyDescent="0.25">
      <c r="A199" s="37"/>
      <c r="B199" s="2"/>
      <c r="C199" s="2"/>
      <c r="G199" s="2"/>
      <c r="H199" s="2"/>
      <c r="L199" s="2"/>
      <c r="M199" s="2"/>
    </row>
    <row r="200" spans="1:13" x14ac:dyDescent="0.25">
      <c r="A200" s="37"/>
      <c r="B200" s="2"/>
      <c r="C200" s="2"/>
      <c r="G200" s="2"/>
      <c r="H200" s="2"/>
      <c r="L200" s="2"/>
      <c r="M200" s="2"/>
    </row>
    <row r="201" spans="1:13" x14ac:dyDescent="0.25">
      <c r="A201" s="37"/>
      <c r="B201" s="2"/>
      <c r="C201" s="2"/>
      <c r="G201" s="2"/>
      <c r="H201" s="2"/>
      <c r="L201" s="2"/>
      <c r="M201" s="2"/>
    </row>
    <row r="202" spans="1:13" x14ac:dyDescent="0.25">
      <c r="A202" s="37"/>
      <c r="B202" s="2"/>
      <c r="C202" s="2"/>
      <c r="G202" s="2"/>
      <c r="H202" s="2"/>
      <c r="L202" s="2"/>
      <c r="M202" s="2"/>
    </row>
    <row r="203" spans="1:13" x14ac:dyDescent="0.25">
      <c r="A203" s="37"/>
      <c r="B203" s="2"/>
      <c r="C203" s="2"/>
      <c r="G203" s="2"/>
      <c r="H203" s="2"/>
      <c r="L203" s="2"/>
      <c r="M203" s="2"/>
    </row>
    <row r="204" spans="1:13" x14ac:dyDescent="0.25">
      <c r="A204" s="37"/>
      <c r="B204" s="2"/>
      <c r="C204" s="2"/>
      <c r="G204" s="2"/>
      <c r="H204" s="2"/>
      <c r="L204" s="2"/>
      <c r="M204" s="2"/>
    </row>
    <row r="205" spans="1:13" x14ac:dyDescent="0.25">
      <c r="A205" s="37"/>
      <c r="B205" s="2"/>
      <c r="C205" s="2"/>
      <c r="G205" s="2"/>
      <c r="H205" s="2"/>
      <c r="L205" s="2"/>
      <c r="M205" s="2"/>
    </row>
    <row r="206" spans="1:13" x14ac:dyDescent="0.25">
      <c r="A206" s="37"/>
      <c r="B206" s="2"/>
      <c r="C206" s="2"/>
      <c r="G206" s="2"/>
      <c r="H206" s="2"/>
      <c r="L206" s="2"/>
      <c r="M206" s="2"/>
    </row>
    <row r="207" spans="1:13" x14ac:dyDescent="0.25">
      <c r="A207" s="37"/>
      <c r="B207" s="2"/>
      <c r="C207" s="2"/>
      <c r="G207" s="2"/>
      <c r="H207" s="2"/>
      <c r="L207" s="2"/>
      <c r="M207" s="2"/>
    </row>
    <row r="208" spans="1:13" x14ac:dyDescent="0.25">
      <c r="A208" s="37"/>
      <c r="B208" s="2"/>
      <c r="C208" s="2"/>
      <c r="G208" s="2"/>
      <c r="H208" s="2"/>
      <c r="L208" s="2"/>
      <c r="M208" s="2"/>
    </row>
    <row r="209" spans="1:13" x14ac:dyDescent="0.25">
      <c r="A209" s="37"/>
      <c r="B209" s="2"/>
      <c r="C209" s="2"/>
      <c r="G209" s="2"/>
      <c r="H209" s="2"/>
      <c r="L209" s="2"/>
      <c r="M209" s="2"/>
    </row>
    <row r="210" spans="1:13" x14ac:dyDescent="0.25">
      <c r="A210" s="37"/>
      <c r="B210" s="2"/>
      <c r="C210" s="2"/>
      <c r="G210" s="2"/>
      <c r="H210" s="2"/>
      <c r="L210" s="2"/>
      <c r="M210" s="2"/>
    </row>
    <row r="211" spans="1:13" x14ac:dyDescent="0.25">
      <c r="A211" s="37"/>
      <c r="B211" s="2"/>
      <c r="C211" s="2"/>
      <c r="G211" s="2"/>
      <c r="H211" s="2"/>
      <c r="L211" s="2"/>
      <c r="M211" s="2"/>
    </row>
    <row r="212" spans="1:13" x14ac:dyDescent="0.25">
      <c r="A212" s="37"/>
      <c r="B212" s="2"/>
      <c r="C212" s="2"/>
      <c r="G212" s="2"/>
      <c r="H212" s="2"/>
      <c r="L212" s="2"/>
      <c r="M212" s="2"/>
    </row>
    <row r="213" spans="1:13" x14ac:dyDescent="0.25">
      <c r="A213" s="37"/>
      <c r="B213" s="2"/>
      <c r="C213" s="2"/>
      <c r="G213" s="2"/>
      <c r="H213" s="2"/>
      <c r="L213" s="2"/>
      <c r="M213" s="2"/>
    </row>
    <row r="214" spans="1:13" x14ac:dyDescent="0.25">
      <c r="A214" s="37"/>
      <c r="B214" s="2"/>
      <c r="C214" s="2"/>
      <c r="G214" s="2"/>
      <c r="H214" s="2"/>
      <c r="L214" s="2"/>
      <c r="M214" s="2"/>
    </row>
    <row r="215" spans="1:13" x14ac:dyDescent="0.25">
      <c r="A215" s="37"/>
      <c r="B215" s="2"/>
      <c r="C215" s="2"/>
      <c r="G215" s="2"/>
      <c r="H215" s="2"/>
      <c r="L215" s="2"/>
      <c r="M215" s="2"/>
    </row>
    <row r="216" spans="1:13" x14ac:dyDescent="0.25">
      <c r="A216" s="37"/>
      <c r="B216" s="2"/>
      <c r="C216" s="2"/>
      <c r="G216" s="2"/>
      <c r="H216" s="2"/>
      <c r="L216" s="2"/>
      <c r="M216" s="2"/>
    </row>
    <row r="217" spans="1:13" x14ac:dyDescent="0.25">
      <c r="A217" s="37"/>
      <c r="B217" s="2"/>
      <c r="C217" s="2"/>
      <c r="G217" s="2"/>
      <c r="H217" s="2"/>
      <c r="L217" s="2"/>
      <c r="M217" s="2"/>
    </row>
    <row r="218" spans="1:13" x14ac:dyDescent="0.25">
      <c r="A218" s="37"/>
      <c r="B218" s="2"/>
      <c r="C218" s="2"/>
      <c r="G218" s="2"/>
      <c r="H218" s="2"/>
      <c r="L218" s="2"/>
      <c r="M218" s="2"/>
    </row>
    <row r="219" spans="1:13" x14ac:dyDescent="0.25">
      <c r="A219" s="37"/>
      <c r="B219" s="2"/>
      <c r="C219" s="2"/>
      <c r="G219" s="2"/>
      <c r="H219" s="2"/>
      <c r="L219" s="2"/>
      <c r="M219" s="2"/>
    </row>
    <row r="220" spans="1:13" x14ac:dyDescent="0.25">
      <c r="A220" s="37"/>
      <c r="B220" s="2"/>
      <c r="C220" s="2"/>
      <c r="G220" s="2"/>
      <c r="H220" s="2"/>
      <c r="L220" s="2"/>
      <c r="M220" s="2"/>
    </row>
    <row r="221" spans="1:13" x14ac:dyDescent="0.25">
      <c r="A221" s="37"/>
      <c r="B221" s="2"/>
      <c r="C221" s="2"/>
      <c r="G221" s="2"/>
      <c r="H221" s="2"/>
      <c r="L221" s="2"/>
      <c r="M221" s="2"/>
    </row>
    <row r="222" spans="1:13" x14ac:dyDescent="0.25">
      <c r="A222" s="37"/>
      <c r="B222" s="2"/>
      <c r="C222" s="2"/>
      <c r="G222" s="2"/>
      <c r="H222" s="2"/>
      <c r="L222" s="2"/>
      <c r="M222" s="2"/>
    </row>
    <row r="223" spans="1:13" x14ac:dyDescent="0.25">
      <c r="A223" s="37"/>
      <c r="B223" s="2"/>
      <c r="C223" s="2"/>
      <c r="G223" s="2"/>
      <c r="H223" s="2"/>
      <c r="L223" s="2"/>
      <c r="M223" s="2"/>
    </row>
    <row r="224" spans="1:13" x14ac:dyDescent="0.25">
      <c r="A224" s="37"/>
      <c r="B224" s="2"/>
      <c r="C224" s="2"/>
      <c r="G224" s="2"/>
      <c r="H224" s="2"/>
      <c r="L224" s="2"/>
      <c r="M224" s="2"/>
    </row>
    <row r="225" spans="1:13" x14ac:dyDescent="0.25">
      <c r="A225" s="37"/>
      <c r="B225" s="2"/>
      <c r="C225" s="2"/>
      <c r="G225" s="2"/>
      <c r="H225" s="2"/>
      <c r="L225" s="2"/>
      <c r="M225" s="2"/>
    </row>
    <row r="226" spans="1:13" x14ac:dyDescent="0.25">
      <c r="A226" s="37"/>
      <c r="B226" s="2"/>
      <c r="C226" s="2"/>
      <c r="G226" s="2"/>
      <c r="H226" s="2"/>
      <c r="L226" s="2"/>
      <c r="M226" s="2"/>
    </row>
    <row r="227" spans="1:13" x14ac:dyDescent="0.25">
      <c r="A227" s="37"/>
      <c r="B227" s="2"/>
      <c r="C227" s="2"/>
      <c r="G227" s="2"/>
      <c r="H227" s="2"/>
      <c r="L227" s="2"/>
      <c r="M227" s="2"/>
    </row>
    <row r="228" spans="1:13" x14ac:dyDescent="0.25">
      <c r="A228" s="37"/>
      <c r="B228" s="2"/>
      <c r="C228" s="2"/>
      <c r="G228" s="2"/>
      <c r="H228" s="2"/>
      <c r="L228" s="2"/>
      <c r="M228" s="2"/>
    </row>
    <row r="229" spans="1:13" x14ac:dyDescent="0.25">
      <c r="A229" s="37"/>
      <c r="B229" s="2"/>
      <c r="C229" s="2"/>
      <c r="G229" s="2"/>
      <c r="H229" s="2"/>
      <c r="L229" s="2"/>
      <c r="M229" s="2"/>
    </row>
    <row r="230" spans="1:13" x14ac:dyDescent="0.25">
      <c r="A230" s="37"/>
      <c r="B230" s="2"/>
      <c r="C230" s="2"/>
      <c r="G230" s="2"/>
      <c r="H230" s="2"/>
      <c r="L230" s="2"/>
      <c r="M230" s="2"/>
    </row>
    <row r="231" spans="1:13" x14ac:dyDescent="0.25">
      <c r="A231" s="37"/>
      <c r="B231" s="2"/>
      <c r="C231" s="2"/>
      <c r="G231" s="2"/>
      <c r="H231" s="2"/>
      <c r="L231" s="2"/>
      <c r="M231" s="2"/>
    </row>
    <row r="232" spans="1:13" x14ac:dyDescent="0.25">
      <c r="A232" s="37"/>
      <c r="B232" s="2"/>
      <c r="C232" s="2"/>
      <c r="G232" s="2"/>
      <c r="H232" s="2"/>
      <c r="L232" s="2"/>
      <c r="M232" s="2"/>
    </row>
    <row r="233" spans="1:13" x14ac:dyDescent="0.25">
      <c r="A233" s="37"/>
      <c r="B233" s="2"/>
      <c r="C233" s="2"/>
      <c r="G233" s="2"/>
      <c r="H233" s="2"/>
      <c r="L233" s="2"/>
      <c r="M233" s="2"/>
    </row>
    <row r="234" spans="1:13" x14ac:dyDescent="0.25">
      <c r="A234" s="37"/>
      <c r="B234" s="2"/>
      <c r="C234" s="2"/>
      <c r="G234" s="2"/>
      <c r="H234" s="2"/>
      <c r="L234" s="2"/>
      <c r="M234" s="2"/>
    </row>
    <row r="235" spans="1:13" x14ac:dyDescent="0.25">
      <c r="A235" s="37"/>
      <c r="B235" s="2"/>
      <c r="C235" s="2"/>
      <c r="G235" s="2"/>
      <c r="H235" s="2"/>
      <c r="L235" s="2"/>
      <c r="M235" s="2"/>
    </row>
    <row r="236" spans="1:13" x14ac:dyDescent="0.25">
      <c r="A236" s="37"/>
      <c r="B236" s="2"/>
      <c r="C236" s="2"/>
      <c r="G236" s="2"/>
      <c r="H236" s="2"/>
      <c r="L236" s="2"/>
      <c r="M236" s="2"/>
    </row>
    <row r="237" spans="1:13" x14ac:dyDescent="0.25">
      <c r="A237" s="37"/>
      <c r="B237" s="2"/>
      <c r="C237" s="2"/>
      <c r="G237" s="2"/>
      <c r="H237" s="2"/>
      <c r="L237" s="2"/>
      <c r="M237" s="2"/>
    </row>
    <row r="238" spans="1:13" x14ac:dyDescent="0.25">
      <c r="A238" s="37"/>
      <c r="B238" s="2"/>
      <c r="C238" s="2"/>
      <c r="G238" s="2"/>
      <c r="H238" s="2"/>
      <c r="L238" s="2"/>
      <c r="M238" s="2"/>
    </row>
    <row r="239" spans="1:13" x14ac:dyDescent="0.25">
      <c r="A239" s="37"/>
      <c r="B239" s="2"/>
      <c r="C239" s="2"/>
      <c r="G239" s="2"/>
      <c r="H239" s="2"/>
      <c r="L239" s="2"/>
      <c r="M239" s="2"/>
    </row>
    <row r="240" spans="1:13" x14ac:dyDescent="0.25">
      <c r="A240" s="37"/>
      <c r="B240" s="2"/>
      <c r="C240" s="2"/>
      <c r="G240" s="2"/>
      <c r="H240" s="2"/>
      <c r="L240" s="2"/>
      <c r="M240" s="2"/>
    </row>
    <row r="241" spans="1:13" x14ac:dyDescent="0.25">
      <c r="A241" s="37"/>
      <c r="B241" s="2"/>
      <c r="C241" s="2"/>
      <c r="G241" s="2"/>
      <c r="H241" s="2"/>
      <c r="L241" s="2"/>
      <c r="M241" s="2"/>
    </row>
    <row r="242" spans="1:13" x14ac:dyDescent="0.25">
      <c r="A242" s="37"/>
      <c r="B242" s="2"/>
      <c r="C242" s="2"/>
      <c r="G242" s="2"/>
      <c r="H242" s="2"/>
      <c r="L242" s="2"/>
      <c r="M242" s="2"/>
    </row>
    <row r="243" spans="1:13" x14ac:dyDescent="0.25">
      <c r="A243" s="37"/>
      <c r="B243" s="2"/>
      <c r="C243" s="2"/>
      <c r="G243" s="2"/>
      <c r="H243" s="2"/>
      <c r="L243" s="2"/>
      <c r="M243" s="2"/>
    </row>
    <row r="244" spans="1:13" x14ac:dyDescent="0.25">
      <c r="A244" s="37"/>
      <c r="B244" s="2"/>
      <c r="C244" s="2"/>
      <c r="G244" s="2"/>
      <c r="H244" s="2"/>
      <c r="L244" s="2"/>
      <c r="M244" s="2"/>
    </row>
    <row r="245" spans="1:13" x14ac:dyDescent="0.25">
      <c r="A245" s="37"/>
      <c r="B245" s="2"/>
      <c r="C245" s="2"/>
      <c r="G245" s="2"/>
      <c r="H245" s="2"/>
      <c r="L245" s="2"/>
      <c r="M245" s="2"/>
    </row>
    <row r="246" spans="1:13" x14ac:dyDescent="0.25">
      <c r="A246" s="37"/>
      <c r="B246" s="2"/>
      <c r="C246" s="2"/>
      <c r="G246" s="2"/>
      <c r="H246" s="2"/>
      <c r="L246" s="2"/>
      <c r="M246" s="2"/>
    </row>
    <row r="247" spans="1:13" x14ac:dyDescent="0.25">
      <c r="A247" s="37"/>
      <c r="B247" s="2"/>
      <c r="C247" s="2"/>
      <c r="G247" s="2"/>
      <c r="H247" s="2"/>
      <c r="L247" s="2"/>
      <c r="M247" s="2"/>
    </row>
    <row r="248" spans="1:13" x14ac:dyDescent="0.25">
      <c r="A248" s="37"/>
      <c r="B248" s="2"/>
      <c r="C248" s="2"/>
      <c r="G248" s="2"/>
      <c r="H248" s="2"/>
      <c r="L248" s="2"/>
      <c r="M248" s="2"/>
    </row>
    <row r="249" spans="1:13" x14ac:dyDescent="0.25">
      <c r="A249" s="37"/>
      <c r="B249" s="2"/>
      <c r="C249" s="2"/>
      <c r="G249" s="2"/>
      <c r="H249" s="2"/>
      <c r="L249" s="2"/>
      <c r="M249" s="2"/>
    </row>
    <row r="250" spans="1:13" x14ac:dyDescent="0.25">
      <c r="A250" s="37"/>
      <c r="B250" s="2"/>
      <c r="C250" s="2"/>
      <c r="G250" s="2"/>
      <c r="H250" s="2"/>
      <c r="L250" s="2"/>
      <c r="M250" s="2"/>
    </row>
    <row r="251" spans="1:13" x14ac:dyDescent="0.25">
      <c r="A251" s="37"/>
      <c r="B251" s="2"/>
      <c r="C251" s="2"/>
      <c r="G251" s="2"/>
      <c r="H251" s="2"/>
      <c r="L251" s="2"/>
      <c r="M251" s="2"/>
    </row>
    <row r="252" spans="1:13" x14ac:dyDescent="0.25">
      <c r="A252" s="37"/>
      <c r="B252" s="2"/>
      <c r="C252" s="2"/>
      <c r="G252" s="2"/>
      <c r="H252" s="2"/>
      <c r="L252" s="2"/>
      <c r="M252" s="2"/>
    </row>
    <row r="253" spans="1:13" x14ac:dyDescent="0.25">
      <c r="A253" s="37"/>
      <c r="B253" s="2"/>
      <c r="C253" s="2"/>
      <c r="G253" s="2"/>
      <c r="H253" s="2"/>
      <c r="L253" s="2"/>
      <c r="M253" s="2"/>
    </row>
    <row r="254" spans="1:13" x14ac:dyDescent="0.25">
      <c r="A254" s="37"/>
      <c r="B254" s="2"/>
      <c r="C254" s="2"/>
      <c r="G254" s="2"/>
      <c r="H254" s="2"/>
      <c r="L254" s="2"/>
      <c r="M254" s="2"/>
    </row>
    <row r="255" spans="1:13" x14ac:dyDescent="0.25">
      <c r="A255" s="37"/>
      <c r="B255" s="2"/>
      <c r="C255" s="2"/>
      <c r="G255" s="2"/>
      <c r="H255" s="2"/>
      <c r="L255" s="2"/>
      <c r="M255" s="2"/>
    </row>
    <row r="256" spans="1:13" x14ac:dyDescent="0.25">
      <c r="A256" s="37"/>
      <c r="B256" s="2"/>
      <c r="C256" s="2"/>
      <c r="G256" s="2"/>
      <c r="H256" s="2"/>
      <c r="L256" s="2"/>
      <c r="M256" s="2"/>
    </row>
    <row r="257" spans="1:13" x14ac:dyDescent="0.25">
      <c r="A257" s="37"/>
      <c r="B257" s="2"/>
      <c r="C257" s="2"/>
      <c r="G257" s="2"/>
      <c r="H257" s="2"/>
      <c r="L257" s="2"/>
      <c r="M257" s="2"/>
    </row>
    <row r="258" spans="1:13" x14ac:dyDescent="0.25">
      <c r="A258" s="37"/>
      <c r="B258" s="2"/>
      <c r="C258" s="2"/>
      <c r="G258" s="2"/>
      <c r="H258" s="2"/>
      <c r="L258" s="2"/>
      <c r="M258" s="2"/>
    </row>
    <row r="259" spans="1:13" x14ac:dyDescent="0.25">
      <c r="A259" s="37"/>
      <c r="B259" s="2"/>
      <c r="C259" s="2"/>
      <c r="G259" s="2"/>
      <c r="H259" s="2"/>
      <c r="L259" s="2"/>
      <c r="M259" s="2"/>
    </row>
    <row r="260" spans="1:13" x14ac:dyDescent="0.25">
      <c r="A260" s="37"/>
      <c r="B260" s="2"/>
      <c r="C260" s="2"/>
      <c r="G260" s="2"/>
      <c r="H260" s="2"/>
      <c r="L260" s="2"/>
      <c r="M260" s="2"/>
    </row>
    <row r="261" spans="1:13" x14ac:dyDescent="0.25">
      <c r="A261" s="37"/>
      <c r="B261" s="2"/>
      <c r="C261" s="2"/>
      <c r="G261" s="2"/>
      <c r="H261" s="2"/>
      <c r="L261" s="2"/>
      <c r="M261" s="2"/>
    </row>
    <row r="262" spans="1:13" x14ac:dyDescent="0.25">
      <c r="A262" s="37"/>
      <c r="B262" s="2"/>
      <c r="C262" s="2"/>
      <c r="G262" s="2"/>
      <c r="H262" s="2"/>
      <c r="L262" s="2"/>
      <c r="M262" s="2"/>
    </row>
    <row r="263" spans="1:13" x14ac:dyDescent="0.25">
      <c r="A263" s="37"/>
      <c r="B263" s="2"/>
      <c r="C263" s="2"/>
      <c r="G263" s="2"/>
      <c r="H263" s="2"/>
      <c r="L263" s="2"/>
      <c r="M263" s="2"/>
    </row>
    <row r="264" spans="1:13" x14ac:dyDescent="0.25">
      <c r="A264" s="37"/>
      <c r="B264" s="2"/>
      <c r="C264" s="2"/>
      <c r="G264" s="2"/>
      <c r="H264" s="2"/>
      <c r="L264" s="2"/>
      <c r="M264" s="2"/>
    </row>
    <row r="265" spans="1:13" x14ac:dyDescent="0.25">
      <c r="A265" s="37"/>
      <c r="B265" s="2"/>
      <c r="C265" s="2"/>
      <c r="G265" s="2"/>
      <c r="H265" s="2"/>
      <c r="L265" s="2"/>
      <c r="M265" s="2"/>
    </row>
    <row r="266" spans="1:13" x14ac:dyDescent="0.25">
      <c r="A266" s="37"/>
      <c r="B266" s="2"/>
      <c r="C266" s="2"/>
      <c r="G266" s="2"/>
      <c r="H266" s="2"/>
      <c r="L266" s="2"/>
      <c r="M266" s="2"/>
    </row>
    <row r="267" spans="1:13" x14ac:dyDescent="0.25">
      <c r="A267" s="37"/>
      <c r="B267" s="2"/>
      <c r="C267" s="2"/>
      <c r="G267" s="2"/>
      <c r="H267" s="2"/>
      <c r="L267" s="2"/>
      <c r="M267" s="2"/>
    </row>
    <row r="268" spans="1:13" x14ac:dyDescent="0.25">
      <c r="A268" s="37"/>
      <c r="B268" s="2"/>
      <c r="C268" s="2"/>
      <c r="G268" s="2"/>
      <c r="H268" s="2"/>
      <c r="L268" s="2"/>
      <c r="M268" s="2"/>
    </row>
    <row r="269" spans="1:13" x14ac:dyDescent="0.25">
      <c r="A269" s="37"/>
      <c r="B269" s="2"/>
      <c r="C269" s="2"/>
      <c r="G269" s="2"/>
      <c r="H269" s="2"/>
      <c r="L269" s="2"/>
      <c r="M269" s="2"/>
    </row>
    <row r="270" spans="1:13" x14ac:dyDescent="0.25">
      <c r="A270" s="37"/>
      <c r="B270" s="2"/>
      <c r="C270" s="2"/>
      <c r="G270" s="2"/>
      <c r="H270" s="2"/>
      <c r="L270" s="2"/>
      <c r="M270" s="2"/>
    </row>
    <row r="271" spans="1:13" x14ac:dyDescent="0.25">
      <c r="A271" s="37"/>
      <c r="B271" s="2"/>
      <c r="C271" s="2"/>
      <c r="G271" s="2"/>
      <c r="H271" s="2"/>
      <c r="L271" s="2"/>
      <c r="M271" s="2"/>
    </row>
    <row r="272" spans="1:13" x14ac:dyDescent="0.25">
      <c r="A272" s="37"/>
      <c r="B272" s="2"/>
      <c r="C272" s="2"/>
      <c r="G272" s="2"/>
      <c r="H272" s="2"/>
      <c r="L272" s="2"/>
      <c r="M272" s="2"/>
    </row>
    <row r="273" spans="1:13" x14ac:dyDescent="0.25">
      <c r="A273" s="37"/>
      <c r="B273" s="2"/>
      <c r="C273" s="2"/>
      <c r="G273" s="2"/>
      <c r="H273" s="2"/>
      <c r="L273" s="2"/>
      <c r="M273" s="2"/>
    </row>
    <row r="274" spans="1:13" x14ac:dyDescent="0.25">
      <c r="A274" s="37"/>
      <c r="B274" s="2"/>
      <c r="C274" s="2"/>
      <c r="G274" s="2"/>
      <c r="H274" s="2"/>
      <c r="L274" s="2"/>
      <c r="M274" s="2"/>
    </row>
    <row r="275" spans="1:13" x14ac:dyDescent="0.25">
      <c r="A275" s="37"/>
      <c r="B275" s="2"/>
      <c r="C275" s="2"/>
      <c r="G275" s="2"/>
      <c r="H275" s="2"/>
      <c r="L275" s="2"/>
      <c r="M275" s="2"/>
    </row>
    <row r="276" spans="1:13" x14ac:dyDescent="0.25">
      <c r="A276" s="37"/>
      <c r="B276" s="2"/>
      <c r="C276" s="2"/>
      <c r="G276" s="2"/>
      <c r="H276" s="2"/>
      <c r="L276" s="2"/>
      <c r="M276" s="2"/>
    </row>
    <row r="277" spans="1:13" x14ac:dyDescent="0.25">
      <c r="A277" s="37"/>
      <c r="B277" s="2"/>
      <c r="C277" s="2"/>
      <c r="G277" s="2"/>
      <c r="H277" s="2"/>
      <c r="L277" s="2"/>
      <c r="M277" s="2"/>
    </row>
    <row r="278" spans="1:13" x14ac:dyDescent="0.25">
      <c r="A278" s="37"/>
      <c r="B278" s="2"/>
      <c r="C278" s="2"/>
      <c r="G278" s="2"/>
      <c r="H278" s="2"/>
      <c r="L278" s="2"/>
      <c r="M278" s="2"/>
    </row>
    <row r="279" spans="1:13" x14ac:dyDescent="0.25">
      <c r="A279" s="37"/>
      <c r="B279" s="2"/>
      <c r="C279" s="2"/>
      <c r="G279" s="2"/>
      <c r="H279" s="2"/>
      <c r="L279" s="2"/>
      <c r="M279" s="2"/>
    </row>
    <row r="280" spans="1:13" x14ac:dyDescent="0.25">
      <c r="A280" s="37"/>
      <c r="B280" s="2"/>
      <c r="C280" s="2"/>
      <c r="G280" s="2"/>
      <c r="H280" s="2"/>
      <c r="L280" s="2"/>
      <c r="M280" s="2"/>
    </row>
    <row r="281" spans="1:13" x14ac:dyDescent="0.25">
      <c r="A281" s="37"/>
      <c r="B281" s="2"/>
      <c r="C281" s="2"/>
      <c r="G281" s="2"/>
      <c r="H281" s="2"/>
      <c r="L281" s="2"/>
      <c r="M281" s="2"/>
    </row>
    <row r="282" spans="1:13" x14ac:dyDescent="0.25">
      <c r="A282" s="37"/>
      <c r="B282" s="2"/>
      <c r="C282" s="2"/>
      <c r="G282" s="2"/>
      <c r="H282" s="2"/>
      <c r="L282" s="2"/>
      <c r="M282" s="2"/>
    </row>
    <row r="283" spans="1:13" x14ac:dyDescent="0.25">
      <c r="A283" s="37"/>
      <c r="B283" s="2"/>
      <c r="C283" s="2"/>
      <c r="G283" s="2"/>
      <c r="H283" s="2"/>
      <c r="L283" s="2"/>
      <c r="M283" s="2"/>
    </row>
    <row r="284" spans="1:13" x14ac:dyDescent="0.25">
      <c r="A284" s="37"/>
      <c r="B284" s="2"/>
      <c r="C284" s="2"/>
      <c r="G284" s="2"/>
      <c r="H284" s="2"/>
      <c r="L284" s="2"/>
      <c r="M284" s="2"/>
    </row>
    <row r="285" spans="1:13" x14ac:dyDescent="0.25">
      <c r="A285" s="37"/>
      <c r="B285" s="2"/>
      <c r="C285" s="2"/>
      <c r="G285" s="2"/>
      <c r="H285" s="2"/>
      <c r="L285" s="2"/>
      <c r="M285" s="2"/>
    </row>
    <row r="286" spans="1:13" x14ac:dyDescent="0.25">
      <c r="A286" s="37"/>
      <c r="B286" s="2"/>
      <c r="C286" s="2"/>
      <c r="G286" s="2"/>
      <c r="H286" s="2"/>
      <c r="L286" s="2"/>
      <c r="M286" s="2"/>
    </row>
    <row r="287" spans="1:13" x14ac:dyDescent="0.25">
      <c r="A287" s="37"/>
      <c r="B287" s="2"/>
      <c r="C287" s="2"/>
      <c r="G287" s="2"/>
      <c r="H287" s="2"/>
      <c r="L287" s="2"/>
      <c r="M287" s="2"/>
    </row>
    <row r="288" spans="1:13" x14ac:dyDescent="0.25">
      <c r="A288" s="37"/>
      <c r="B288" s="2"/>
      <c r="C288" s="2"/>
      <c r="G288" s="2"/>
      <c r="H288" s="2"/>
      <c r="L288" s="2"/>
      <c r="M288" s="2"/>
    </row>
    <row r="289" spans="1:13" x14ac:dyDescent="0.25">
      <c r="A289" s="37"/>
      <c r="B289" s="2"/>
      <c r="C289" s="2"/>
      <c r="G289" s="2"/>
      <c r="H289" s="2"/>
      <c r="L289" s="2"/>
      <c r="M289" s="2"/>
    </row>
    <row r="290" spans="1:13" x14ac:dyDescent="0.25">
      <c r="A290" s="37"/>
      <c r="B290" s="2"/>
      <c r="C290" s="2"/>
      <c r="G290" s="2"/>
      <c r="H290" s="2"/>
      <c r="L290" s="2"/>
      <c r="M290" s="2"/>
    </row>
    <row r="291" spans="1:13" x14ac:dyDescent="0.25">
      <c r="A291" s="37"/>
      <c r="B291" s="2"/>
      <c r="C291" s="2"/>
      <c r="G291" s="2"/>
      <c r="H291" s="2"/>
      <c r="L291" s="2"/>
      <c r="M291" s="2"/>
    </row>
    <row r="292" spans="1:13" x14ac:dyDescent="0.25">
      <c r="A292" s="37"/>
      <c r="B292" s="2"/>
      <c r="C292" s="2"/>
      <c r="G292" s="2"/>
      <c r="H292" s="2"/>
      <c r="L292" s="2"/>
      <c r="M292" s="2"/>
    </row>
    <row r="293" spans="1:13" x14ac:dyDescent="0.25">
      <c r="A293" s="37"/>
      <c r="B293" s="2"/>
      <c r="C293" s="2"/>
      <c r="G293" s="2"/>
      <c r="H293" s="2"/>
      <c r="L293" s="2"/>
      <c r="M293" s="2"/>
    </row>
    <row r="294" spans="1:13" x14ac:dyDescent="0.25">
      <c r="A294" s="37"/>
      <c r="B294" s="2"/>
      <c r="C294" s="2"/>
      <c r="G294" s="2"/>
      <c r="H294" s="2"/>
      <c r="L294" s="2"/>
      <c r="M294" s="2"/>
    </row>
    <row r="295" spans="1:13" x14ac:dyDescent="0.25">
      <c r="A295" s="37"/>
      <c r="B295" s="2"/>
      <c r="C295" s="2"/>
      <c r="G295" s="2"/>
      <c r="H295" s="2"/>
      <c r="L295" s="2"/>
      <c r="M295" s="2"/>
    </row>
    <row r="296" spans="1:13" x14ac:dyDescent="0.25">
      <c r="A296" s="37"/>
      <c r="B296" s="2"/>
      <c r="C296" s="2"/>
      <c r="G296" s="2"/>
      <c r="H296" s="2"/>
      <c r="L296" s="2"/>
      <c r="M296" s="2"/>
    </row>
    <row r="297" spans="1:13" x14ac:dyDescent="0.25">
      <c r="A297" s="37"/>
      <c r="B297" s="2"/>
      <c r="C297" s="2"/>
      <c r="G297" s="2"/>
      <c r="H297" s="2"/>
      <c r="L297" s="2"/>
      <c r="M297" s="2"/>
    </row>
    <row r="298" spans="1:13" x14ac:dyDescent="0.25">
      <c r="A298" s="37"/>
      <c r="B298" s="2"/>
      <c r="C298" s="2"/>
      <c r="G298" s="2"/>
      <c r="H298" s="2"/>
      <c r="L298" s="2"/>
      <c r="M298" s="2"/>
    </row>
    <row r="299" spans="1:13" x14ac:dyDescent="0.25">
      <c r="A299" s="37"/>
      <c r="B299" s="2"/>
      <c r="C299" s="2"/>
      <c r="G299" s="2"/>
      <c r="H299" s="2"/>
      <c r="L299" s="2"/>
      <c r="M299" s="2"/>
    </row>
    <row r="300" spans="1:13" x14ac:dyDescent="0.25">
      <c r="A300" s="37"/>
      <c r="B300" s="2"/>
      <c r="C300" s="2"/>
      <c r="G300" s="2"/>
      <c r="H300" s="2"/>
      <c r="L300" s="2"/>
      <c r="M300" s="2"/>
    </row>
    <row r="301" spans="1:13" x14ac:dyDescent="0.25">
      <c r="A301" s="37"/>
      <c r="B301" s="2"/>
      <c r="C301" s="2"/>
      <c r="G301" s="2"/>
      <c r="H301" s="2"/>
      <c r="L301" s="2"/>
      <c r="M301" s="2"/>
    </row>
    <row r="302" spans="1:13" x14ac:dyDescent="0.25">
      <c r="A302" s="37"/>
      <c r="B302" s="2"/>
      <c r="C302" s="2"/>
      <c r="G302" s="2"/>
      <c r="H302" s="2"/>
      <c r="L302" s="2"/>
      <c r="M302" s="2"/>
    </row>
    <row r="303" spans="1:13" x14ac:dyDescent="0.25">
      <c r="A303" s="37"/>
      <c r="B303" s="2"/>
      <c r="C303" s="2"/>
      <c r="G303" s="2"/>
      <c r="H303" s="2"/>
      <c r="L303" s="2"/>
      <c r="M303" s="2"/>
    </row>
    <row r="304" spans="1:13" x14ac:dyDescent="0.25">
      <c r="A304" s="37"/>
      <c r="B304" s="2"/>
      <c r="C304" s="2"/>
      <c r="G304" s="2"/>
      <c r="H304" s="2"/>
      <c r="L304" s="2"/>
      <c r="M304" s="2"/>
    </row>
    <row r="305" spans="1:13" x14ac:dyDescent="0.25">
      <c r="A305" s="37"/>
      <c r="B305" s="2"/>
      <c r="C305" s="2"/>
      <c r="G305" s="2"/>
      <c r="H305" s="2"/>
      <c r="L305" s="2"/>
      <c r="M305" s="2"/>
    </row>
    <row r="306" spans="1:13" x14ac:dyDescent="0.25">
      <c r="A306" s="37"/>
      <c r="B306" s="2"/>
      <c r="C306" s="2"/>
      <c r="G306" s="2"/>
      <c r="H306" s="2"/>
      <c r="L306" s="2"/>
      <c r="M306" s="2"/>
    </row>
    <row r="307" spans="1:13" x14ac:dyDescent="0.25">
      <c r="A307" s="37"/>
      <c r="B307" s="2"/>
      <c r="C307" s="2"/>
      <c r="G307" s="2"/>
      <c r="H307" s="2"/>
      <c r="L307" s="2"/>
      <c r="M307" s="2"/>
    </row>
    <row r="308" spans="1:13" x14ac:dyDescent="0.25">
      <c r="A308" s="37"/>
      <c r="B308" s="2"/>
      <c r="C308" s="2"/>
      <c r="G308" s="2"/>
      <c r="H308" s="2"/>
      <c r="L308" s="2"/>
      <c r="M308" s="2"/>
    </row>
    <row r="309" spans="1:13" x14ac:dyDescent="0.25">
      <c r="A309" s="37"/>
      <c r="B309" s="2"/>
      <c r="C309" s="2"/>
      <c r="G309" s="2"/>
      <c r="H309" s="2"/>
      <c r="L309" s="2"/>
      <c r="M309" s="2"/>
    </row>
    <row r="310" spans="1:13" x14ac:dyDescent="0.25">
      <c r="A310" s="37"/>
      <c r="B310" s="2"/>
      <c r="C310" s="2"/>
      <c r="G310" s="2"/>
      <c r="H310" s="2"/>
      <c r="L310" s="2"/>
      <c r="M310" s="2"/>
    </row>
    <row r="311" spans="1:13" x14ac:dyDescent="0.25">
      <c r="A311" s="37"/>
      <c r="B311" s="2"/>
      <c r="C311" s="2"/>
      <c r="G311" s="2"/>
      <c r="H311" s="2"/>
      <c r="L311" s="2"/>
      <c r="M311" s="2"/>
    </row>
    <row r="312" spans="1:13" x14ac:dyDescent="0.25">
      <c r="A312" s="37"/>
      <c r="B312" s="2"/>
      <c r="C312" s="2"/>
      <c r="G312" s="2"/>
      <c r="H312" s="2"/>
      <c r="L312" s="2"/>
      <c r="M312" s="2"/>
    </row>
    <row r="313" spans="1:13" x14ac:dyDescent="0.25">
      <c r="A313" s="37"/>
      <c r="B313" s="2"/>
      <c r="C313" s="2"/>
      <c r="G313" s="2"/>
      <c r="H313" s="2"/>
      <c r="L313" s="2"/>
      <c r="M313" s="2"/>
    </row>
    <row r="314" spans="1:13" x14ac:dyDescent="0.25">
      <c r="A314" s="37"/>
      <c r="B314" s="2"/>
      <c r="C314" s="2"/>
      <c r="G314" s="2"/>
      <c r="H314" s="2"/>
      <c r="L314" s="2"/>
      <c r="M314" s="2"/>
    </row>
    <row r="315" spans="1:13" x14ac:dyDescent="0.25">
      <c r="A315" s="37"/>
      <c r="B315" s="2"/>
      <c r="C315" s="2"/>
      <c r="G315" s="2"/>
      <c r="H315" s="2"/>
      <c r="L315" s="2"/>
      <c r="M315" s="2"/>
    </row>
    <row r="316" spans="1:13" x14ac:dyDescent="0.25">
      <c r="A316" s="37"/>
      <c r="B316" s="2"/>
      <c r="C316" s="2"/>
      <c r="G316" s="2"/>
      <c r="H316" s="2"/>
      <c r="L316" s="2"/>
      <c r="M316" s="2"/>
    </row>
    <row r="317" spans="1:13" x14ac:dyDescent="0.25">
      <c r="A317" s="37"/>
      <c r="B317" s="2"/>
      <c r="C317" s="2"/>
      <c r="G317" s="2"/>
      <c r="H317" s="2"/>
      <c r="L317" s="2"/>
      <c r="M317" s="2"/>
    </row>
    <row r="318" spans="1:13" x14ac:dyDescent="0.25">
      <c r="A318" s="37"/>
      <c r="B318" s="2"/>
      <c r="C318" s="2"/>
      <c r="G318" s="2"/>
      <c r="H318" s="2"/>
      <c r="L318" s="2"/>
      <c r="M318" s="2"/>
    </row>
    <row r="319" spans="1:13" x14ac:dyDescent="0.25">
      <c r="A319" s="37"/>
      <c r="B319" s="2"/>
      <c r="C319" s="2"/>
      <c r="G319" s="2"/>
      <c r="H319" s="2"/>
      <c r="L319" s="2"/>
      <c r="M319" s="2"/>
    </row>
    <row r="320" spans="1:13" x14ac:dyDescent="0.25">
      <c r="A320" s="37"/>
      <c r="B320" s="2"/>
      <c r="C320" s="2"/>
      <c r="G320" s="2"/>
      <c r="H320" s="2"/>
      <c r="L320" s="2"/>
      <c r="M320" s="2"/>
    </row>
    <row r="321" spans="1:13" x14ac:dyDescent="0.25">
      <c r="A321" s="37"/>
      <c r="B321" s="2"/>
      <c r="C321" s="2"/>
      <c r="G321" s="2"/>
      <c r="H321" s="2"/>
      <c r="L321" s="2"/>
      <c r="M321" s="2"/>
    </row>
    <row r="322" spans="1:13" x14ac:dyDescent="0.25">
      <c r="A322" s="37"/>
      <c r="B322" s="2"/>
      <c r="C322" s="2"/>
      <c r="G322" s="2"/>
      <c r="H322" s="2"/>
      <c r="L322" s="2"/>
      <c r="M322" s="2"/>
    </row>
    <row r="323" spans="1:13" x14ac:dyDescent="0.25">
      <c r="A323" s="37"/>
      <c r="B323" s="2"/>
      <c r="C323" s="2"/>
      <c r="G323" s="2"/>
      <c r="H323" s="2"/>
      <c r="L323" s="2"/>
      <c r="M323" s="2"/>
    </row>
    <row r="324" spans="1:13" x14ac:dyDescent="0.25">
      <c r="A324" s="37"/>
      <c r="B324" s="2"/>
      <c r="C324" s="2"/>
      <c r="G324" s="2"/>
      <c r="H324" s="2"/>
      <c r="L324" s="2"/>
      <c r="M324" s="2"/>
    </row>
    <row r="325" spans="1:13" x14ac:dyDescent="0.25">
      <c r="A325" s="37"/>
      <c r="B325" s="2"/>
      <c r="C325" s="2"/>
      <c r="G325" s="2"/>
      <c r="H325" s="2"/>
      <c r="L325" s="2"/>
      <c r="M325" s="2"/>
    </row>
    <row r="326" spans="1:13" x14ac:dyDescent="0.25">
      <c r="A326" s="37"/>
      <c r="B326" s="2"/>
      <c r="C326" s="2"/>
      <c r="G326" s="2"/>
      <c r="H326" s="2"/>
      <c r="L326" s="2"/>
      <c r="M326" s="2"/>
    </row>
    <row r="327" spans="1:13" x14ac:dyDescent="0.25">
      <c r="A327" s="37"/>
      <c r="B327" s="2"/>
      <c r="C327" s="2"/>
      <c r="G327" s="2"/>
      <c r="H327" s="2"/>
      <c r="L327" s="2"/>
      <c r="M327" s="2"/>
    </row>
    <row r="328" spans="1:13" x14ac:dyDescent="0.25">
      <c r="A328" s="37"/>
      <c r="B328" s="2"/>
      <c r="C328" s="2"/>
      <c r="G328" s="2"/>
      <c r="H328" s="2"/>
      <c r="L328" s="2"/>
      <c r="M328" s="2"/>
    </row>
    <row r="329" spans="1:13" x14ac:dyDescent="0.25">
      <c r="A329" s="37"/>
      <c r="B329" s="2"/>
      <c r="C329" s="2"/>
      <c r="G329" s="2"/>
      <c r="H329" s="2"/>
      <c r="L329" s="2"/>
      <c r="M329" s="2"/>
    </row>
    <row r="330" spans="1:13" x14ac:dyDescent="0.25">
      <c r="A330" s="37"/>
      <c r="B330" s="2"/>
      <c r="C330" s="2"/>
      <c r="G330" s="2"/>
      <c r="H330" s="2"/>
      <c r="L330" s="2"/>
      <c r="M330" s="2"/>
    </row>
    <row r="331" spans="1:13" x14ac:dyDescent="0.25">
      <c r="A331" s="37"/>
      <c r="B331" s="2"/>
      <c r="C331" s="2"/>
      <c r="G331" s="2"/>
      <c r="H331" s="2"/>
      <c r="L331" s="2"/>
      <c r="M331" s="2"/>
    </row>
    <row r="332" spans="1:13" x14ac:dyDescent="0.25">
      <c r="A332" s="37"/>
      <c r="B332" s="2"/>
      <c r="C332" s="2"/>
      <c r="G332" s="2"/>
      <c r="H332" s="2"/>
      <c r="L332" s="2"/>
      <c r="M332" s="2"/>
    </row>
    <row r="333" spans="1:13" x14ac:dyDescent="0.25">
      <c r="A333" s="37"/>
      <c r="B333" s="2"/>
      <c r="C333" s="2"/>
      <c r="G333" s="2"/>
      <c r="H333" s="2"/>
      <c r="L333" s="2"/>
      <c r="M333" s="2"/>
    </row>
    <row r="334" spans="1:13" x14ac:dyDescent="0.25">
      <c r="A334" s="37"/>
      <c r="B334" s="2"/>
      <c r="C334" s="2"/>
      <c r="G334" s="2"/>
      <c r="H334" s="2"/>
      <c r="L334" s="2"/>
      <c r="M334" s="2"/>
    </row>
    <row r="335" spans="1:13" x14ac:dyDescent="0.25">
      <c r="A335" s="37"/>
      <c r="B335" s="2"/>
      <c r="C335" s="2"/>
      <c r="G335" s="2"/>
      <c r="H335" s="2"/>
      <c r="L335" s="2"/>
      <c r="M335" s="2"/>
    </row>
    <row r="336" spans="1:13" x14ac:dyDescent="0.25">
      <c r="A336" s="37"/>
      <c r="B336" s="2"/>
      <c r="C336" s="2"/>
      <c r="G336" s="2"/>
      <c r="H336" s="2"/>
      <c r="L336" s="2"/>
      <c r="M336" s="2"/>
    </row>
    <row r="337" spans="1:13" x14ac:dyDescent="0.25">
      <c r="A337" s="37"/>
      <c r="B337" s="2"/>
      <c r="C337" s="2"/>
      <c r="G337" s="2"/>
      <c r="H337" s="2"/>
      <c r="L337" s="2"/>
      <c r="M337" s="2"/>
    </row>
    <row r="338" spans="1:13" x14ac:dyDescent="0.25">
      <c r="A338" s="37"/>
      <c r="B338" s="2"/>
      <c r="C338" s="2"/>
      <c r="G338" s="2"/>
      <c r="H338" s="2"/>
      <c r="L338" s="2"/>
      <c r="M338" s="2"/>
    </row>
    <row r="339" spans="1:13" x14ac:dyDescent="0.25">
      <c r="A339" s="37"/>
      <c r="B339" s="2"/>
      <c r="C339" s="2"/>
      <c r="G339" s="2"/>
      <c r="H339" s="2"/>
      <c r="L339" s="2"/>
      <c r="M339" s="2"/>
    </row>
    <row r="340" spans="1:13" x14ac:dyDescent="0.25">
      <c r="A340" s="37"/>
      <c r="B340" s="2"/>
      <c r="C340" s="2"/>
      <c r="G340" s="2"/>
      <c r="H340" s="2"/>
      <c r="L340" s="2"/>
      <c r="M340" s="2"/>
    </row>
    <row r="341" spans="1:13" x14ac:dyDescent="0.25">
      <c r="A341" s="37"/>
      <c r="B341" s="2"/>
      <c r="C341" s="2"/>
      <c r="G341" s="2"/>
      <c r="H341" s="2"/>
      <c r="L341" s="2"/>
      <c r="M341" s="2"/>
    </row>
    <row r="342" spans="1:13" x14ac:dyDescent="0.25">
      <c r="A342" s="37"/>
      <c r="B342" s="2"/>
      <c r="C342" s="2"/>
      <c r="G342" s="2"/>
      <c r="H342" s="2"/>
      <c r="L342" s="2"/>
      <c r="M342" s="2"/>
    </row>
    <row r="343" spans="1:13" x14ac:dyDescent="0.25">
      <c r="A343" s="37"/>
      <c r="B343" s="2"/>
      <c r="C343" s="2"/>
      <c r="G343" s="2"/>
      <c r="H343" s="2"/>
      <c r="L343" s="2"/>
      <c r="M343" s="2"/>
    </row>
    <row r="344" spans="1:13" x14ac:dyDescent="0.25">
      <c r="A344" s="37"/>
      <c r="B344" s="2"/>
      <c r="C344" s="2"/>
      <c r="G344" s="2"/>
      <c r="H344" s="2"/>
      <c r="L344" s="2"/>
      <c r="M344" s="2"/>
    </row>
    <row r="345" spans="1:13" x14ac:dyDescent="0.25">
      <c r="A345" s="37"/>
      <c r="B345" s="2"/>
      <c r="C345" s="2"/>
      <c r="G345" s="2"/>
      <c r="H345" s="2"/>
      <c r="L345" s="2"/>
      <c r="M345" s="2"/>
    </row>
    <row r="346" spans="1:13" x14ac:dyDescent="0.25">
      <c r="A346" s="37"/>
      <c r="B346" s="2"/>
      <c r="C346" s="2"/>
      <c r="G346" s="2"/>
      <c r="H346" s="2"/>
      <c r="L346" s="2"/>
      <c r="M346" s="2"/>
    </row>
    <row r="347" spans="1:13" x14ac:dyDescent="0.25">
      <c r="A347" s="37"/>
      <c r="B347" s="2"/>
      <c r="C347" s="2"/>
      <c r="G347" s="2"/>
      <c r="H347" s="2"/>
      <c r="L347" s="2"/>
      <c r="M347" s="2"/>
    </row>
    <row r="348" spans="1:13" x14ac:dyDescent="0.25">
      <c r="A348" s="37"/>
      <c r="B348" s="2"/>
      <c r="C348" s="2"/>
      <c r="G348" s="2"/>
      <c r="H348" s="2"/>
      <c r="L348" s="2"/>
      <c r="M348" s="2"/>
    </row>
    <row r="349" spans="1:13" x14ac:dyDescent="0.25">
      <c r="A349" s="37"/>
      <c r="B349" s="2"/>
      <c r="C349" s="2"/>
      <c r="G349" s="2"/>
      <c r="H349" s="2"/>
      <c r="L349" s="2"/>
      <c r="M349" s="2"/>
    </row>
    <row r="350" spans="1:13" x14ac:dyDescent="0.25">
      <c r="A350" s="37"/>
      <c r="B350" s="2"/>
      <c r="C350" s="2"/>
      <c r="G350" s="2"/>
      <c r="H350" s="2"/>
      <c r="L350" s="2"/>
      <c r="M350" s="2"/>
    </row>
    <row r="351" spans="1:13" x14ac:dyDescent="0.25">
      <c r="A351" s="37"/>
      <c r="B351" s="2"/>
      <c r="C351" s="2"/>
      <c r="G351" s="2"/>
      <c r="H351" s="2"/>
      <c r="L351" s="2"/>
      <c r="M351" s="2"/>
    </row>
    <row r="352" spans="1:13" x14ac:dyDescent="0.25">
      <c r="A352" s="37"/>
      <c r="B352" s="2"/>
      <c r="C352" s="2"/>
      <c r="G352" s="2"/>
      <c r="H352" s="2"/>
      <c r="L352" s="2"/>
      <c r="M352" s="2"/>
    </row>
    <row r="353" spans="1:13" x14ac:dyDescent="0.25">
      <c r="A353" s="37"/>
      <c r="B353" s="2"/>
      <c r="C353" s="2"/>
      <c r="G353" s="2"/>
      <c r="H353" s="2"/>
      <c r="L353" s="2"/>
      <c r="M353" s="2"/>
    </row>
    <row r="354" spans="1:13" x14ac:dyDescent="0.25">
      <c r="A354" s="37"/>
      <c r="B354" s="2"/>
      <c r="C354" s="2"/>
      <c r="G354" s="2"/>
      <c r="H354" s="2"/>
      <c r="L354" s="2"/>
      <c r="M354" s="2"/>
    </row>
    <row r="355" spans="1:13" x14ac:dyDescent="0.25">
      <c r="A355" s="37"/>
      <c r="B355" s="2"/>
      <c r="C355" s="2"/>
      <c r="G355" s="2"/>
      <c r="H355" s="2"/>
      <c r="L355" s="2"/>
      <c r="M355" s="2"/>
    </row>
    <row r="356" spans="1:13" x14ac:dyDescent="0.25">
      <c r="A356" s="37"/>
      <c r="B356" s="2"/>
      <c r="C356" s="2"/>
      <c r="G356" s="2"/>
      <c r="H356" s="2"/>
      <c r="L356" s="2"/>
      <c r="M356" s="2"/>
    </row>
    <row r="357" spans="1:13" x14ac:dyDescent="0.25">
      <c r="A357" s="37"/>
      <c r="B357" s="2"/>
      <c r="C357" s="2"/>
      <c r="G357" s="2"/>
      <c r="H357" s="2"/>
      <c r="L357" s="2"/>
      <c r="M357" s="2"/>
    </row>
    <row r="358" spans="1:13" x14ac:dyDescent="0.25">
      <c r="A358" s="37"/>
      <c r="B358" s="2"/>
      <c r="C358" s="2"/>
      <c r="G358" s="2"/>
      <c r="H358" s="2"/>
      <c r="L358" s="2"/>
      <c r="M358" s="2"/>
    </row>
    <row r="359" spans="1:13" x14ac:dyDescent="0.25">
      <c r="A359" s="37"/>
      <c r="B359" s="2"/>
      <c r="C359" s="2"/>
      <c r="G359" s="2"/>
      <c r="H359" s="2"/>
      <c r="L359" s="2"/>
      <c r="M359" s="2"/>
    </row>
    <row r="360" spans="1:13" x14ac:dyDescent="0.25">
      <c r="A360" s="37"/>
      <c r="B360" s="2"/>
      <c r="C360" s="2"/>
      <c r="G360" s="2"/>
      <c r="H360" s="2"/>
      <c r="L360" s="2"/>
      <c r="M360" s="2"/>
    </row>
    <row r="361" spans="1:13" x14ac:dyDescent="0.25">
      <c r="A361" s="37"/>
      <c r="B361" s="2"/>
      <c r="C361" s="2"/>
      <c r="G361" s="2"/>
      <c r="H361" s="2"/>
      <c r="L361" s="2"/>
      <c r="M361" s="2"/>
    </row>
    <row r="362" spans="1:13" x14ac:dyDescent="0.25">
      <c r="A362" s="37"/>
      <c r="B362" s="2"/>
      <c r="C362" s="2"/>
      <c r="G362" s="2"/>
      <c r="H362" s="2"/>
      <c r="L362" s="2"/>
      <c r="M362" s="2"/>
    </row>
    <row r="363" spans="1:13" x14ac:dyDescent="0.25">
      <c r="A363" s="37"/>
      <c r="B363" s="2"/>
      <c r="C363" s="2"/>
      <c r="G363" s="2"/>
      <c r="H363" s="2"/>
      <c r="L363" s="2"/>
      <c r="M363" s="2"/>
    </row>
    <row r="364" spans="1:13" x14ac:dyDescent="0.25">
      <c r="A364" s="37"/>
      <c r="B364" s="2"/>
      <c r="C364" s="2"/>
      <c r="G364" s="2"/>
      <c r="H364" s="2"/>
      <c r="L364" s="2"/>
      <c r="M364" s="2"/>
    </row>
    <row r="365" spans="1:13" x14ac:dyDescent="0.25">
      <c r="A365" s="37"/>
      <c r="B365" s="2"/>
      <c r="C365" s="2"/>
      <c r="G365" s="2"/>
      <c r="H365" s="2"/>
      <c r="L365" s="2"/>
      <c r="M365" s="2"/>
    </row>
    <row r="366" spans="1:13" x14ac:dyDescent="0.25">
      <c r="A366" s="37"/>
      <c r="B366" s="2"/>
      <c r="C366" s="2"/>
      <c r="G366" s="2"/>
      <c r="H366" s="2"/>
      <c r="L366" s="2"/>
      <c r="M366" s="2"/>
    </row>
    <row r="367" spans="1:13" x14ac:dyDescent="0.25">
      <c r="A367" s="37"/>
      <c r="B367" s="2"/>
      <c r="C367" s="2"/>
      <c r="G367" s="2"/>
      <c r="H367" s="2"/>
      <c r="L367" s="2"/>
      <c r="M367" s="2"/>
    </row>
    <row r="368" spans="1:13" x14ac:dyDescent="0.25">
      <c r="A368" s="37"/>
      <c r="B368" s="2"/>
      <c r="C368" s="2"/>
      <c r="G368" s="2"/>
      <c r="H368" s="2"/>
      <c r="L368" s="2"/>
      <c r="M368" s="2"/>
    </row>
    <row r="369" spans="1:13" x14ac:dyDescent="0.25">
      <c r="A369" s="37"/>
      <c r="B369" s="2"/>
      <c r="C369" s="2"/>
      <c r="G369" s="2"/>
      <c r="H369" s="2"/>
      <c r="L369" s="2"/>
      <c r="M369" s="2"/>
    </row>
    <row r="370" spans="1:13" x14ac:dyDescent="0.25">
      <c r="A370" s="37"/>
      <c r="B370" s="2"/>
      <c r="C370" s="2"/>
      <c r="G370" s="2"/>
      <c r="H370" s="2"/>
      <c r="L370" s="2"/>
      <c r="M370" s="2"/>
    </row>
    <row r="371" spans="1:13" x14ac:dyDescent="0.25">
      <c r="A371" s="37"/>
      <c r="B371" s="2"/>
      <c r="C371" s="2"/>
      <c r="G371" s="2"/>
      <c r="H371" s="2"/>
      <c r="L371" s="2"/>
      <c r="M371" s="2"/>
    </row>
    <row r="372" spans="1:13" x14ac:dyDescent="0.25">
      <c r="A372" s="37"/>
      <c r="B372" s="2"/>
      <c r="C372" s="2"/>
      <c r="G372" s="2"/>
      <c r="H372" s="2"/>
      <c r="L372" s="2"/>
      <c r="M372" s="2"/>
    </row>
    <row r="373" spans="1:13" x14ac:dyDescent="0.25">
      <c r="A373" s="37"/>
      <c r="B373" s="2"/>
      <c r="C373" s="2"/>
      <c r="G373" s="2"/>
      <c r="H373" s="2"/>
      <c r="L373" s="2"/>
      <c r="M373" s="2"/>
    </row>
    <row r="374" spans="1:13" x14ac:dyDescent="0.25">
      <c r="A374" s="37"/>
      <c r="B374" s="2"/>
      <c r="C374" s="2"/>
      <c r="G374" s="2"/>
      <c r="H374" s="2"/>
      <c r="L374" s="2"/>
      <c r="M374" s="2"/>
    </row>
    <row r="375" spans="1:13" x14ac:dyDescent="0.25">
      <c r="A375" s="37"/>
      <c r="B375" s="2"/>
      <c r="C375" s="2"/>
      <c r="G375" s="2"/>
      <c r="H375" s="2"/>
      <c r="L375" s="2"/>
      <c r="M375" s="2"/>
    </row>
    <row r="376" spans="1:13" x14ac:dyDescent="0.25">
      <c r="A376" s="37"/>
      <c r="B376" s="2"/>
      <c r="C376" s="2"/>
      <c r="G376" s="2"/>
      <c r="H376" s="2"/>
      <c r="L376" s="2"/>
      <c r="M376" s="2"/>
    </row>
    <row r="377" spans="1:13" x14ac:dyDescent="0.25">
      <c r="A377" s="37"/>
      <c r="B377" s="2"/>
      <c r="C377" s="2"/>
      <c r="G377" s="2"/>
      <c r="H377" s="2"/>
      <c r="L377" s="2"/>
      <c r="M377" s="2"/>
    </row>
    <row r="378" spans="1:13" x14ac:dyDescent="0.25">
      <c r="A378" s="37"/>
      <c r="B378" s="2"/>
      <c r="C378" s="2"/>
      <c r="G378" s="2"/>
      <c r="H378" s="2"/>
      <c r="L378" s="2"/>
      <c r="M378" s="2"/>
    </row>
    <row r="379" spans="1:13" x14ac:dyDescent="0.25">
      <c r="A379" s="37"/>
      <c r="B379" s="2"/>
      <c r="C379" s="2"/>
      <c r="G379" s="2"/>
      <c r="H379" s="2"/>
      <c r="L379" s="2"/>
      <c r="M379" s="2"/>
    </row>
    <row r="380" spans="1:13" x14ac:dyDescent="0.25">
      <c r="A380" s="37"/>
      <c r="B380" s="2"/>
      <c r="C380" s="2"/>
      <c r="G380" s="2"/>
      <c r="H380" s="2"/>
      <c r="L380" s="2"/>
      <c r="M380" s="2"/>
    </row>
    <row r="381" spans="1:13" x14ac:dyDescent="0.25">
      <c r="A381" s="37"/>
      <c r="B381" s="2"/>
      <c r="C381" s="2"/>
      <c r="G381" s="2"/>
      <c r="H381" s="2"/>
      <c r="L381" s="2"/>
      <c r="M381" s="2"/>
    </row>
    <row r="382" spans="1:13" x14ac:dyDescent="0.25">
      <c r="A382" s="37"/>
      <c r="B382" s="2"/>
      <c r="C382" s="2"/>
      <c r="G382" s="2"/>
      <c r="H382" s="2"/>
      <c r="L382" s="2"/>
      <c r="M382" s="2"/>
    </row>
    <row r="383" spans="1:13" x14ac:dyDescent="0.25">
      <c r="A383" s="37"/>
      <c r="B383" s="2"/>
      <c r="C383" s="2"/>
      <c r="G383" s="2"/>
      <c r="H383" s="2"/>
      <c r="L383" s="2"/>
      <c r="M383" s="2"/>
    </row>
    <row r="384" spans="1:13" x14ac:dyDescent="0.25">
      <c r="A384" s="37"/>
      <c r="B384" s="2"/>
      <c r="C384" s="2"/>
      <c r="G384" s="2"/>
      <c r="H384" s="2"/>
      <c r="L384" s="2"/>
      <c r="M384" s="2"/>
    </row>
    <row r="385" spans="1:13" x14ac:dyDescent="0.25">
      <c r="A385" s="37"/>
      <c r="B385" s="2"/>
      <c r="C385" s="2"/>
      <c r="G385" s="2"/>
      <c r="H385" s="2"/>
      <c r="L385" s="2"/>
      <c r="M385" s="2"/>
    </row>
    <row r="386" spans="1:13" x14ac:dyDescent="0.25">
      <c r="A386" s="37"/>
      <c r="B386" s="2"/>
      <c r="C386" s="2"/>
      <c r="G386" s="2"/>
      <c r="H386" s="2"/>
      <c r="L386" s="2"/>
      <c r="M386" s="2"/>
    </row>
    <row r="387" spans="1:13" x14ac:dyDescent="0.25">
      <c r="A387" s="37"/>
      <c r="B387" s="2"/>
      <c r="C387" s="2"/>
      <c r="G387" s="2"/>
      <c r="H387" s="2"/>
      <c r="L387" s="2"/>
      <c r="M387" s="2"/>
    </row>
    <row r="388" spans="1:13" x14ac:dyDescent="0.25">
      <c r="A388" s="37"/>
      <c r="B388" s="2"/>
      <c r="C388" s="2"/>
      <c r="G388" s="2"/>
      <c r="H388" s="2"/>
      <c r="L388" s="2"/>
      <c r="M388" s="2"/>
    </row>
    <row r="389" spans="1:13" x14ac:dyDescent="0.25">
      <c r="A389" s="37"/>
      <c r="B389" s="2"/>
      <c r="C389" s="2"/>
      <c r="G389" s="2"/>
      <c r="H389" s="2"/>
      <c r="L389" s="2"/>
      <c r="M389" s="2"/>
    </row>
    <row r="390" spans="1:13" x14ac:dyDescent="0.25">
      <c r="A390" s="37"/>
      <c r="B390" s="2"/>
      <c r="C390" s="2"/>
      <c r="G390" s="2"/>
      <c r="H390" s="2"/>
      <c r="L390" s="2"/>
      <c r="M390" s="2"/>
    </row>
    <row r="391" spans="1:13" x14ac:dyDescent="0.25">
      <c r="A391" s="37"/>
      <c r="B391" s="2"/>
      <c r="C391" s="2"/>
      <c r="G391" s="2"/>
      <c r="H391" s="2"/>
      <c r="L391" s="2"/>
      <c r="M391" s="2"/>
    </row>
    <row r="392" spans="1:13" x14ac:dyDescent="0.25">
      <c r="A392" s="37"/>
      <c r="B392" s="2"/>
      <c r="C392" s="2"/>
      <c r="G392" s="2"/>
      <c r="H392" s="2"/>
      <c r="L392" s="2"/>
      <c r="M392" s="2"/>
    </row>
    <row r="393" spans="1:13" x14ac:dyDescent="0.25">
      <c r="A393" s="37"/>
      <c r="B393" s="2"/>
      <c r="C393" s="2"/>
      <c r="G393" s="2"/>
      <c r="H393" s="2"/>
      <c r="L393" s="2"/>
      <c r="M393" s="2"/>
    </row>
    <row r="394" spans="1:13" x14ac:dyDescent="0.25">
      <c r="A394" s="37"/>
      <c r="B394" s="2"/>
      <c r="C394" s="2"/>
      <c r="G394" s="2"/>
      <c r="H394" s="2"/>
      <c r="L394" s="2"/>
      <c r="M394" s="2"/>
    </row>
    <row r="395" spans="1:13" x14ac:dyDescent="0.25">
      <c r="A395" s="37"/>
      <c r="B395" s="2"/>
      <c r="C395" s="2"/>
      <c r="G395" s="2"/>
      <c r="H395" s="2"/>
      <c r="L395" s="2"/>
      <c r="M395" s="2"/>
    </row>
    <row r="396" spans="1:13" x14ac:dyDescent="0.25">
      <c r="A396" s="37"/>
      <c r="B396" s="2"/>
      <c r="C396" s="2"/>
      <c r="G396" s="2"/>
      <c r="H396" s="2"/>
      <c r="L396" s="2"/>
      <c r="M396" s="2"/>
    </row>
    <row r="397" spans="1:13" x14ac:dyDescent="0.25">
      <c r="A397" s="37"/>
      <c r="B397" s="2"/>
      <c r="C397" s="2"/>
      <c r="G397" s="2"/>
      <c r="H397" s="2"/>
      <c r="L397" s="2"/>
      <c r="M397" s="2"/>
    </row>
    <row r="398" spans="1:13" x14ac:dyDescent="0.25">
      <c r="A398" s="37"/>
      <c r="B398" s="2"/>
      <c r="C398" s="2"/>
      <c r="G398" s="2"/>
      <c r="H398" s="2"/>
      <c r="L398" s="2"/>
      <c r="M398" s="2"/>
    </row>
    <row r="399" spans="1:13" x14ac:dyDescent="0.25">
      <c r="A399" s="37"/>
      <c r="B399" s="2"/>
      <c r="C399" s="2"/>
      <c r="G399" s="2"/>
      <c r="H399" s="2"/>
      <c r="L399" s="2"/>
      <c r="M399" s="2"/>
    </row>
    <row r="400" spans="1:13" x14ac:dyDescent="0.25">
      <c r="A400" s="37"/>
      <c r="B400" s="2"/>
      <c r="C400" s="2"/>
      <c r="G400" s="2"/>
      <c r="H400" s="2"/>
      <c r="L400" s="2"/>
      <c r="M400" s="2"/>
    </row>
    <row r="401" spans="1:13" x14ac:dyDescent="0.25">
      <c r="A401" s="37"/>
      <c r="B401" s="2"/>
      <c r="C401" s="2"/>
      <c r="G401" s="2"/>
      <c r="H401" s="2"/>
      <c r="L401" s="2"/>
      <c r="M401" s="2"/>
    </row>
    <row r="402" spans="1:13" x14ac:dyDescent="0.25">
      <c r="A402" s="37"/>
      <c r="B402" s="2"/>
      <c r="C402" s="2"/>
      <c r="G402" s="2"/>
      <c r="H402" s="2"/>
      <c r="L402" s="2"/>
      <c r="M402" s="2"/>
    </row>
    <row r="403" spans="1:13" x14ac:dyDescent="0.25">
      <c r="A403" s="37"/>
      <c r="B403" s="2"/>
      <c r="C403" s="2"/>
      <c r="G403" s="2"/>
      <c r="H403" s="2"/>
      <c r="L403" s="2"/>
      <c r="M403" s="2"/>
    </row>
    <row r="404" spans="1:13" x14ac:dyDescent="0.25">
      <c r="A404" s="37"/>
      <c r="B404" s="2"/>
      <c r="C404" s="2"/>
      <c r="G404" s="2"/>
      <c r="H404" s="2"/>
      <c r="L404" s="2"/>
      <c r="M404" s="2"/>
    </row>
    <row r="405" spans="1:13" x14ac:dyDescent="0.25">
      <c r="A405" s="37"/>
      <c r="B405" s="2"/>
      <c r="C405" s="2"/>
      <c r="G405" s="2"/>
      <c r="H405" s="2"/>
      <c r="L405" s="2"/>
      <c r="M405" s="2"/>
    </row>
    <row r="406" spans="1:13" x14ac:dyDescent="0.25">
      <c r="A406" s="37"/>
      <c r="B406" s="2"/>
      <c r="C406" s="2"/>
      <c r="G406" s="2"/>
      <c r="H406" s="2"/>
      <c r="L406" s="2"/>
      <c r="M406" s="2"/>
    </row>
    <row r="407" spans="1:13" x14ac:dyDescent="0.25">
      <c r="A407" s="37"/>
      <c r="B407" s="2"/>
      <c r="C407" s="2"/>
      <c r="G407" s="2"/>
      <c r="H407" s="2"/>
      <c r="L407" s="2"/>
      <c r="M407" s="2"/>
    </row>
    <row r="408" spans="1:13" x14ac:dyDescent="0.25">
      <c r="A408" s="37"/>
      <c r="B408" s="2"/>
      <c r="C408" s="2"/>
      <c r="G408" s="2"/>
      <c r="H408" s="2"/>
      <c r="L408" s="2"/>
      <c r="M408" s="2"/>
    </row>
    <row r="409" spans="1:13" x14ac:dyDescent="0.25">
      <c r="A409" s="37"/>
      <c r="B409" s="2"/>
      <c r="C409" s="2"/>
      <c r="G409" s="2"/>
      <c r="H409" s="2"/>
      <c r="L409" s="2"/>
      <c r="M409" s="2"/>
    </row>
    <row r="410" spans="1:13" x14ac:dyDescent="0.25">
      <c r="A410" s="37"/>
      <c r="B410" s="2"/>
      <c r="C410" s="2"/>
      <c r="G410" s="2"/>
      <c r="H410" s="2"/>
      <c r="L410" s="2"/>
      <c r="M410" s="2"/>
    </row>
    <row r="411" spans="1:13" x14ac:dyDescent="0.25">
      <c r="A411" s="37"/>
      <c r="B411" s="2"/>
      <c r="C411" s="2"/>
      <c r="G411" s="2"/>
      <c r="H411" s="2"/>
      <c r="L411" s="2"/>
      <c r="M411" s="2"/>
    </row>
    <row r="412" spans="1:13" x14ac:dyDescent="0.25">
      <c r="A412" s="37"/>
      <c r="B412" s="2"/>
      <c r="C412" s="2"/>
      <c r="G412" s="2"/>
      <c r="H412" s="2"/>
      <c r="L412" s="2"/>
      <c r="M412" s="2"/>
    </row>
    <row r="413" spans="1:13" x14ac:dyDescent="0.25">
      <c r="A413" s="37"/>
      <c r="B413" s="2"/>
      <c r="C413" s="2"/>
      <c r="G413" s="2"/>
      <c r="H413" s="2"/>
      <c r="L413" s="2"/>
      <c r="M413" s="2"/>
    </row>
    <row r="414" spans="1:13" x14ac:dyDescent="0.25">
      <c r="A414" s="37"/>
      <c r="B414" s="2"/>
      <c r="C414" s="2"/>
      <c r="G414" s="2"/>
      <c r="H414" s="2"/>
      <c r="L414" s="2"/>
      <c r="M414" s="2"/>
    </row>
    <row r="415" spans="1:13" x14ac:dyDescent="0.25">
      <c r="A415" s="37"/>
      <c r="B415" s="2"/>
      <c r="C415" s="2"/>
      <c r="G415" s="2"/>
      <c r="H415" s="2"/>
      <c r="L415" s="2"/>
      <c r="M415" s="2"/>
    </row>
    <row r="416" spans="1:13" x14ac:dyDescent="0.25">
      <c r="A416" s="37"/>
      <c r="B416" s="2"/>
      <c r="C416" s="2"/>
      <c r="G416" s="2"/>
      <c r="H416" s="2"/>
      <c r="L416" s="2"/>
      <c r="M416" s="2"/>
    </row>
    <row r="417" spans="1:13" x14ac:dyDescent="0.25">
      <c r="A417" s="37"/>
      <c r="B417" s="2"/>
      <c r="C417" s="2"/>
      <c r="G417" s="2"/>
      <c r="H417" s="2"/>
      <c r="L417" s="2"/>
      <c r="M417" s="2"/>
    </row>
    <row r="418" spans="1:13" x14ac:dyDescent="0.25">
      <c r="A418" s="37"/>
      <c r="B418" s="2"/>
      <c r="C418" s="2"/>
      <c r="G418" s="2"/>
      <c r="H418" s="2"/>
      <c r="L418" s="2"/>
      <c r="M418" s="2"/>
    </row>
    <row r="419" spans="1:13" x14ac:dyDescent="0.25">
      <c r="A419" s="37"/>
      <c r="B419" s="2"/>
      <c r="C419" s="2"/>
      <c r="G419" s="2"/>
      <c r="H419" s="2"/>
      <c r="L419" s="2"/>
      <c r="M419" s="2"/>
    </row>
    <row r="420" spans="1:13" x14ac:dyDescent="0.25">
      <c r="A420" s="37"/>
      <c r="B420" s="2"/>
      <c r="C420" s="2"/>
      <c r="G420" s="2"/>
      <c r="H420" s="2"/>
      <c r="L420" s="2"/>
      <c r="M420" s="2"/>
    </row>
    <row r="421" spans="1:13" x14ac:dyDescent="0.25">
      <c r="A421" s="37"/>
      <c r="B421" s="2"/>
      <c r="C421" s="2"/>
      <c r="G421" s="2"/>
      <c r="H421" s="2"/>
      <c r="L421" s="2"/>
      <c r="M421" s="2"/>
    </row>
    <row r="422" spans="1:13" x14ac:dyDescent="0.25">
      <c r="A422" s="37"/>
      <c r="B422" s="2"/>
      <c r="C422" s="2"/>
      <c r="G422" s="2"/>
      <c r="H422" s="2"/>
      <c r="L422" s="2"/>
      <c r="M422" s="2"/>
    </row>
    <row r="423" spans="1:13" x14ac:dyDescent="0.25">
      <c r="A423" s="37"/>
      <c r="B423" s="2"/>
      <c r="C423" s="2"/>
      <c r="G423" s="2"/>
      <c r="H423" s="2"/>
      <c r="L423" s="2"/>
      <c r="M423" s="2"/>
    </row>
    <row r="424" spans="1:13" x14ac:dyDescent="0.25">
      <c r="A424" s="37"/>
      <c r="B424" s="2"/>
      <c r="C424" s="2"/>
      <c r="G424" s="2"/>
      <c r="H424" s="2"/>
      <c r="L424" s="2"/>
      <c r="M424" s="2"/>
    </row>
    <row r="425" spans="1:13" x14ac:dyDescent="0.25">
      <c r="A425" s="37"/>
      <c r="B425" s="2"/>
      <c r="C425" s="2"/>
      <c r="G425" s="2"/>
      <c r="H425" s="2"/>
      <c r="L425" s="2"/>
      <c r="M425" s="2"/>
    </row>
    <row r="426" spans="1:13" x14ac:dyDescent="0.25">
      <c r="A426" s="37"/>
      <c r="B426" s="2"/>
      <c r="C426" s="2"/>
      <c r="G426" s="2"/>
      <c r="H426" s="2"/>
      <c r="L426" s="2"/>
      <c r="M426" s="2"/>
    </row>
    <row r="427" spans="1:13" x14ac:dyDescent="0.25">
      <c r="A427" s="37"/>
      <c r="B427" s="2"/>
      <c r="C427" s="2"/>
      <c r="G427" s="2"/>
      <c r="H427" s="2"/>
      <c r="L427" s="2"/>
      <c r="M427" s="2"/>
    </row>
    <row r="428" spans="1:13" x14ac:dyDescent="0.25">
      <c r="A428" s="37"/>
      <c r="B428" s="2"/>
      <c r="C428" s="2"/>
      <c r="G428" s="2"/>
      <c r="H428" s="2"/>
      <c r="L428" s="2"/>
      <c r="M428" s="2"/>
    </row>
    <row r="429" spans="1:13" x14ac:dyDescent="0.25">
      <c r="A429" s="37"/>
      <c r="B429" s="2"/>
      <c r="C429" s="2"/>
      <c r="G429" s="2"/>
      <c r="H429" s="2"/>
      <c r="L429" s="2"/>
      <c r="M429" s="2"/>
    </row>
    <row r="430" spans="1:13" x14ac:dyDescent="0.25">
      <c r="A430" s="37"/>
      <c r="B430" s="2"/>
      <c r="C430" s="2"/>
      <c r="G430" s="2"/>
      <c r="H430" s="2"/>
      <c r="L430" s="2"/>
      <c r="M430" s="2"/>
    </row>
    <row r="431" spans="1:13" x14ac:dyDescent="0.25">
      <c r="A431" s="37"/>
      <c r="B431" s="2"/>
      <c r="C431" s="2"/>
      <c r="G431" s="2"/>
      <c r="H431" s="2"/>
      <c r="L431" s="2"/>
      <c r="M431" s="2"/>
    </row>
    <row r="432" spans="1:13" x14ac:dyDescent="0.25">
      <c r="A432" s="37"/>
      <c r="B432" s="2"/>
      <c r="C432" s="2"/>
      <c r="G432" s="2"/>
      <c r="H432" s="2"/>
      <c r="L432" s="2"/>
      <c r="M432" s="2"/>
    </row>
    <row r="433" spans="1:13" x14ac:dyDescent="0.25">
      <c r="A433" s="37"/>
      <c r="B433" s="2"/>
      <c r="C433" s="2"/>
      <c r="G433" s="2"/>
      <c r="H433" s="2"/>
      <c r="L433" s="2"/>
      <c r="M433" s="2"/>
    </row>
    <row r="434" spans="1:13" x14ac:dyDescent="0.25">
      <c r="A434" s="37"/>
      <c r="B434" s="2"/>
      <c r="C434" s="2"/>
      <c r="G434" s="2"/>
      <c r="H434" s="2"/>
      <c r="L434" s="2"/>
      <c r="M434" s="2"/>
    </row>
    <row r="435" spans="1:13" x14ac:dyDescent="0.25">
      <c r="A435" s="37"/>
      <c r="B435" s="2"/>
      <c r="C435" s="2"/>
      <c r="G435" s="2"/>
      <c r="H435" s="2"/>
      <c r="L435" s="2"/>
      <c r="M435" s="2"/>
    </row>
    <row r="436" spans="1:13" x14ac:dyDescent="0.25">
      <c r="A436" s="37"/>
      <c r="B436" s="2"/>
      <c r="C436" s="2"/>
      <c r="G436" s="2"/>
      <c r="H436" s="2"/>
      <c r="L436" s="2"/>
      <c r="M436" s="2"/>
    </row>
    <row r="437" spans="1:13" x14ac:dyDescent="0.25">
      <c r="A437" s="37"/>
      <c r="B437" s="2"/>
      <c r="C437" s="2"/>
      <c r="G437" s="2"/>
      <c r="H437" s="2"/>
      <c r="L437" s="2"/>
      <c r="M437" s="2"/>
    </row>
    <row r="438" spans="1:13" x14ac:dyDescent="0.25">
      <c r="A438" s="37"/>
      <c r="B438" s="2"/>
      <c r="C438" s="2"/>
      <c r="G438" s="2"/>
      <c r="H438" s="2"/>
      <c r="L438" s="2"/>
      <c r="M438" s="2"/>
    </row>
    <row r="439" spans="1:13" x14ac:dyDescent="0.25">
      <c r="A439" s="37"/>
      <c r="B439" s="2"/>
      <c r="C439" s="2"/>
      <c r="G439" s="2"/>
      <c r="H439" s="2"/>
      <c r="L439" s="2"/>
      <c r="M439" s="2"/>
    </row>
    <row r="440" spans="1:13" x14ac:dyDescent="0.25">
      <c r="A440" s="37"/>
      <c r="B440" s="2"/>
      <c r="C440" s="2"/>
      <c r="G440" s="2"/>
      <c r="H440" s="2"/>
      <c r="L440" s="2"/>
      <c r="M440" s="2"/>
    </row>
    <row r="441" spans="1:13" x14ac:dyDescent="0.25">
      <c r="A441" s="37"/>
      <c r="B441" s="2"/>
      <c r="C441" s="2"/>
      <c r="G441" s="2"/>
      <c r="H441" s="2"/>
      <c r="L441" s="2"/>
      <c r="M441" s="2"/>
    </row>
    <row r="442" spans="1:13" x14ac:dyDescent="0.25">
      <c r="A442" s="37"/>
      <c r="B442" s="2"/>
      <c r="C442" s="2"/>
      <c r="G442" s="2"/>
      <c r="H442" s="2"/>
      <c r="L442" s="2"/>
      <c r="M442" s="2"/>
    </row>
    <row r="443" spans="1:13" x14ac:dyDescent="0.25">
      <c r="A443" s="37"/>
      <c r="B443" s="2"/>
      <c r="C443" s="2"/>
      <c r="G443" s="2"/>
      <c r="H443" s="2"/>
      <c r="L443" s="2"/>
      <c r="M443" s="2"/>
    </row>
    <row r="444" spans="1:13" x14ac:dyDescent="0.25">
      <c r="A444" s="37"/>
      <c r="B444" s="2"/>
      <c r="C444" s="2"/>
      <c r="G444" s="2"/>
      <c r="H444" s="2"/>
      <c r="L444" s="2"/>
      <c r="M444" s="2"/>
    </row>
    <row r="445" spans="1:13" x14ac:dyDescent="0.25">
      <c r="A445" s="37"/>
      <c r="B445" s="2"/>
      <c r="C445" s="2"/>
      <c r="G445" s="2"/>
      <c r="H445" s="2"/>
      <c r="L445" s="2"/>
      <c r="M445" s="2"/>
    </row>
    <row r="446" spans="1:13" x14ac:dyDescent="0.25">
      <c r="A446" s="37"/>
      <c r="B446" s="2"/>
      <c r="C446" s="2"/>
      <c r="G446" s="2"/>
      <c r="H446" s="2"/>
      <c r="L446" s="2"/>
      <c r="M446" s="2"/>
    </row>
    <row r="447" spans="1:13" x14ac:dyDescent="0.25">
      <c r="A447" s="37"/>
      <c r="B447" s="2"/>
      <c r="C447" s="2"/>
      <c r="G447" s="2"/>
      <c r="H447" s="2"/>
      <c r="L447" s="2"/>
      <c r="M447" s="2"/>
    </row>
    <row r="448" spans="1:13" x14ac:dyDescent="0.25">
      <c r="A448" s="37"/>
      <c r="B448" s="2"/>
      <c r="C448" s="2"/>
      <c r="G448" s="2"/>
      <c r="H448" s="2"/>
      <c r="L448" s="2"/>
      <c r="M448" s="2"/>
    </row>
    <row r="449" spans="1:13" x14ac:dyDescent="0.25">
      <c r="A449" s="37"/>
      <c r="B449" s="2"/>
      <c r="C449" s="2"/>
      <c r="G449" s="2"/>
      <c r="H449" s="2"/>
      <c r="L449" s="2"/>
      <c r="M449" s="2"/>
    </row>
    <row r="450" spans="1:13" x14ac:dyDescent="0.25">
      <c r="A450" s="37"/>
      <c r="B450" s="2"/>
      <c r="C450" s="2"/>
      <c r="G450" s="2"/>
      <c r="H450" s="2"/>
      <c r="L450" s="2"/>
      <c r="M450" s="2"/>
    </row>
    <row r="451" spans="1:13" x14ac:dyDescent="0.25">
      <c r="A451" s="37"/>
      <c r="B451" s="2"/>
      <c r="C451" s="2"/>
      <c r="G451" s="2"/>
      <c r="H451" s="2"/>
      <c r="L451" s="2"/>
      <c r="M451" s="2"/>
    </row>
    <row r="452" spans="1:13" x14ac:dyDescent="0.25">
      <c r="A452" s="37"/>
      <c r="B452" s="2"/>
      <c r="C452" s="2"/>
      <c r="G452" s="2"/>
      <c r="H452" s="2"/>
      <c r="L452" s="2"/>
      <c r="M452" s="2"/>
    </row>
    <row r="453" spans="1:13" x14ac:dyDescent="0.25">
      <c r="A453" s="37"/>
      <c r="B453" s="2"/>
      <c r="C453" s="2"/>
      <c r="G453" s="2"/>
      <c r="H453" s="2"/>
      <c r="L453" s="2"/>
      <c r="M453" s="2"/>
    </row>
    <row r="454" spans="1:13" x14ac:dyDescent="0.25">
      <c r="A454" s="37"/>
      <c r="B454" s="2"/>
      <c r="C454" s="2"/>
      <c r="G454" s="2"/>
      <c r="H454" s="2"/>
      <c r="L454" s="2"/>
      <c r="M454" s="2"/>
    </row>
    <row r="455" spans="1:13" x14ac:dyDescent="0.25">
      <c r="A455" s="37"/>
      <c r="B455" s="2"/>
      <c r="C455" s="2"/>
      <c r="G455" s="2"/>
      <c r="H455" s="2"/>
      <c r="L455" s="2"/>
      <c r="M455" s="2"/>
    </row>
    <row r="456" spans="1:13" x14ac:dyDescent="0.25">
      <c r="A456" s="37"/>
      <c r="B456" s="2"/>
      <c r="C456" s="2"/>
      <c r="G456" s="2"/>
      <c r="H456" s="2"/>
      <c r="L456" s="2"/>
      <c r="M456" s="2"/>
    </row>
    <row r="457" spans="1:13" x14ac:dyDescent="0.25">
      <c r="A457" s="37"/>
      <c r="B457" s="2"/>
      <c r="C457" s="2"/>
      <c r="G457" s="2"/>
      <c r="H457" s="2"/>
      <c r="L457" s="2"/>
      <c r="M457" s="2"/>
    </row>
    <row r="458" spans="1:13" x14ac:dyDescent="0.25">
      <c r="A458" s="37"/>
      <c r="B458" s="2"/>
      <c r="C458" s="2"/>
      <c r="G458" s="2"/>
      <c r="H458" s="2"/>
      <c r="L458" s="2"/>
      <c r="M458" s="2"/>
    </row>
    <row r="459" spans="1:13" x14ac:dyDescent="0.25">
      <c r="A459" s="37"/>
      <c r="B459" s="2"/>
      <c r="C459" s="2"/>
      <c r="G459" s="2"/>
      <c r="H459" s="2"/>
      <c r="L459" s="2"/>
      <c r="M459" s="2"/>
    </row>
    <row r="460" spans="1:13" x14ac:dyDescent="0.25">
      <c r="A460" s="37"/>
      <c r="B460" s="2"/>
      <c r="C460" s="2"/>
      <c r="G460" s="2"/>
      <c r="H460" s="2"/>
      <c r="L460" s="2"/>
      <c r="M460" s="2"/>
    </row>
    <row r="461" spans="1:13" x14ac:dyDescent="0.25">
      <c r="A461" s="37"/>
      <c r="B461" s="2"/>
      <c r="C461" s="2"/>
      <c r="G461" s="2"/>
      <c r="H461" s="2"/>
      <c r="L461" s="2"/>
      <c r="M461" s="2"/>
    </row>
    <row r="462" spans="1:13" x14ac:dyDescent="0.25">
      <c r="A462" s="37"/>
      <c r="B462" s="2"/>
      <c r="C462" s="2"/>
      <c r="G462" s="2"/>
      <c r="H462" s="2"/>
      <c r="L462" s="2"/>
      <c r="M462" s="2"/>
    </row>
    <row r="463" spans="1:13" x14ac:dyDescent="0.25">
      <c r="A463" s="37"/>
      <c r="B463" s="2"/>
      <c r="C463" s="2"/>
      <c r="G463" s="2"/>
      <c r="H463" s="2"/>
      <c r="L463" s="2"/>
      <c r="M463" s="2"/>
    </row>
    <row r="464" spans="1:13" x14ac:dyDescent="0.25">
      <c r="A464" s="37"/>
      <c r="B464" s="2"/>
      <c r="C464" s="2"/>
      <c r="G464" s="2"/>
      <c r="H464" s="2"/>
      <c r="L464" s="2"/>
      <c r="M464" s="2"/>
    </row>
    <row r="465" spans="1:13" x14ac:dyDescent="0.25">
      <c r="A465" s="37"/>
      <c r="B465" s="2"/>
      <c r="C465" s="2"/>
      <c r="G465" s="2"/>
      <c r="H465" s="2"/>
      <c r="L465" s="2"/>
      <c r="M465" s="2"/>
    </row>
    <row r="466" spans="1:13" x14ac:dyDescent="0.25">
      <c r="A466" s="37"/>
      <c r="B466" s="2"/>
      <c r="C466" s="2"/>
      <c r="G466" s="2"/>
      <c r="H466" s="2"/>
      <c r="L466" s="2"/>
      <c r="M466" s="2"/>
    </row>
    <row r="467" spans="1:13" x14ac:dyDescent="0.25">
      <c r="A467" s="37"/>
      <c r="B467" s="2"/>
      <c r="C467" s="2"/>
      <c r="G467" s="2"/>
      <c r="H467" s="2"/>
      <c r="L467" s="2"/>
      <c r="M467" s="2"/>
    </row>
    <row r="468" spans="1:13" x14ac:dyDescent="0.25">
      <c r="A468" s="37"/>
      <c r="B468" s="2"/>
      <c r="C468" s="2"/>
      <c r="G468" s="2"/>
      <c r="H468" s="2"/>
      <c r="L468" s="2"/>
      <c r="M468" s="2"/>
    </row>
    <row r="469" spans="1:13" x14ac:dyDescent="0.25">
      <c r="A469" s="37"/>
      <c r="B469" s="2"/>
      <c r="C469" s="2"/>
      <c r="G469" s="2"/>
      <c r="H469" s="2"/>
      <c r="L469" s="2"/>
      <c r="M469" s="2"/>
    </row>
    <row r="470" spans="1:13" x14ac:dyDescent="0.25">
      <c r="A470" s="37"/>
      <c r="B470" s="2"/>
      <c r="C470" s="2"/>
      <c r="G470" s="2"/>
      <c r="H470" s="2"/>
      <c r="L470" s="2"/>
      <c r="M470" s="2"/>
    </row>
    <row r="471" spans="1:13" x14ac:dyDescent="0.25">
      <c r="A471" s="37"/>
      <c r="B471" s="2"/>
      <c r="C471" s="2"/>
      <c r="G471" s="2"/>
      <c r="H471" s="2"/>
      <c r="L471" s="2"/>
      <c r="M471" s="2"/>
    </row>
    <row r="472" spans="1:13" x14ac:dyDescent="0.25">
      <c r="A472" s="37"/>
      <c r="B472" s="2"/>
      <c r="C472" s="2"/>
      <c r="G472" s="2"/>
      <c r="H472" s="2"/>
      <c r="L472" s="2"/>
      <c r="M472" s="2"/>
    </row>
    <row r="473" spans="1:13" x14ac:dyDescent="0.25">
      <c r="A473" s="37"/>
      <c r="B473" s="2"/>
      <c r="C473" s="2"/>
      <c r="G473" s="2"/>
      <c r="H473" s="2"/>
      <c r="L473" s="2"/>
      <c r="M473" s="2"/>
    </row>
    <row r="474" spans="1:13" x14ac:dyDescent="0.25">
      <c r="A474" s="37"/>
      <c r="B474" s="2"/>
      <c r="C474" s="2"/>
      <c r="G474" s="2"/>
      <c r="H474" s="2"/>
      <c r="L474" s="2"/>
      <c r="M474" s="2"/>
    </row>
    <row r="475" spans="1:13" x14ac:dyDescent="0.25">
      <c r="A475" s="37"/>
      <c r="B475" s="2"/>
      <c r="C475" s="2"/>
      <c r="G475" s="2"/>
      <c r="H475" s="2"/>
      <c r="L475" s="2"/>
      <c r="M475" s="2"/>
    </row>
    <row r="476" spans="1:13" x14ac:dyDescent="0.25">
      <c r="A476" s="37"/>
      <c r="B476" s="2"/>
      <c r="C476" s="2"/>
      <c r="G476" s="2"/>
      <c r="H476" s="2"/>
      <c r="L476" s="2"/>
      <c r="M476" s="2"/>
    </row>
    <row r="477" spans="1:13" x14ac:dyDescent="0.25">
      <c r="A477" s="37"/>
      <c r="B477" s="2"/>
      <c r="C477" s="2"/>
      <c r="G477" s="2"/>
      <c r="H477" s="2"/>
      <c r="L477" s="2"/>
      <c r="M477" s="2"/>
    </row>
    <row r="478" spans="1:13" x14ac:dyDescent="0.25">
      <c r="A478" s="37"/>
      <c r="B478" s="2"/>
      <c r="C478" s="2"/>
      <c r="G478" s="2"/>
      <c r="H478" s="2"/>
      <c r="L478" s="2"/>
      <c r="M478" s="2"/>
    </row>
    <row r="479" spans="1:13" x14ac:dyDescent="0.25">
      <c r="A479" s="37"/>
      <c r="B479" s="2"/>
      <c r="C479" s="2"/>
      <c r="G479" s="2"/>
      <c r="H479" s="2"/>
      <c r="L479" s="2"/>
      <c r="M479" s="2"/>
    </row>
    <row r="480" spans="1:13" x14ac:dyDescent="0.25">
      <c r="A480" s="37"/>
      <c r="B480" s="2"/>
      <c r="C480" s="2"/>
      <c r="G480" s="2"/>
      <c r="H480" s="2"/>
      <c r="L480" s="2"/>
      <c r="M480" s="2"/>
    </row>
    <row r="481" spans="1:13" x14ac:dyDescent="0.25">
      <c r="A481" s="37"/>
      <c r="B481" s="2"/>
      <c r="C481" s="2"/>
      <c r="G481" s="2"/>
      <c r="H481" s="2"/>
      <c r="L481" s="2"/>
      <c r="M481" s="2"/>
    </row>
    <row r="482" spans="1:13" x14ac:dyDescent="0.25">
      <c r="A482" s="37"/>
      <c r="B482" s="2"/>
      <c r="C482" s="2"/>
      <c r="G482" s="2"/>
      <c r="H482" s="2"/>
      <c r="L482" s="2"/>
      <c r="M482" s="2"/>
    </row>
    <row r="483" spans="1:13" x14ac:dyDescent="0.25">
      <c r="A483" s="37"/>
      <c r="B483" s="2"/>
      <c r="C483" s="2"/>
      <c r="G483" s="2"/>
      <c r="H483" s="2"/>
      <c r="L483" s="2"/>
      <c r="M483" s="2"/>
    </row>
    <row r="484" spans="1:13" x14ac:dyDescent="0.25">
      <c r="A484" s="37"/>
      <c r="B484" s="2"/>
      <c r="C484" s="2"/>
      <c r="G484" s="2"/>
      <c r="H484" s="2"/>
      <c r="L484" s="2"/>
      <c r="M484" s="2"/>
    </row>
    <row r="485" spans="1:13" x14ac:dyDescent="0.25">
      <c r="A485" s="37"/>
      <c r="B485" s="2"/>
      <c r="C485" s="2"/>
      <c r="G485" s="2"/>
      <c r="H485" s="2"/>
      <c r="L485" s="2"/>
      <c r="M485" s="2"/>
    </row>
    <row r="486" spans="1:13" x14ac:dyDescent="0.25">
      <c r="A486" s="37"/>
      <c r="B486" s="2"/>
      <c r="C486" s="2"/>
      <c r="G486" s="2"/>
      <c r="H486" s="2"/>
      <c r="L486" s="2"/>
      <c r="M486" s="2"/>
    </row>
    <row r="487" spans="1:13" x14ac:dyDescent="0.25">
      <c r="A487" s="37"/>
      <c r="B487" s="2"/>
      <c r="C487" s="2"/>
      <c r="G487" s="2"/>
      <c r="H487" s="2"/>
      <c r="L487" s="2"/>
      <c r="M487" s="2"/>
    </row>
    <row r="488" spans="1:13" x14ac:dyDescent="0.25">
      <c r="A488" s="37"/>
      <c r="B488" s="2"/>
      <c r="C488" s="2"/>
      <c r="G488" s="2"/>
      <c r="H488" s="2"/>
      <c r="L488" s="2"/>
      <c r="M488" s="2"/>
    </row>
    <row r="489" spans="1:13" x14ac:dyDescent="0.25">
      <c r="A489" s="37"/>
      <c r="B489" s="2"/>
      <c r="C489" s="2"/>
      <c r="G489" s="2"/>
      <c r="H489" s="2"/>
      <c r="L489" s="2"/>
      <c r="M489" s="2"/>
    </row>
    <row r="490" spans="1:13" x14ac:dyDescent="0.25">
      <c r="A490" s="37"/>
      <c r="B490" s="2"/>
      <c r="C490" s="2"/>
      <c r="G490" s="2"/>
      <c r="H490" s="2"/>
      <c r="L490" s="2"/>
      <c r="M490" s="2"/>
    </row>
    <row r="491" spans="1:13" x14ac:dyDescent="0.25">
      <c r="A491" s="37"/>
      <c r="B491" s="2"/>
      <c r="C491" s="2"/>
      <c r="G491" s="2"/>
      <c r="H491" s="2"/>
      <c r="L491" s="2"/>
      <c r="M491" s="2"/>
    </row>
    <row r="492" spans="1:13" x14ac:dyDescent="0.25">
      <c r="A492" s="37"/>
      <c r="B492" s="2"/>
      <c r="C492" s="2"/>
      <c r="G492" s="2"/>
      <c r="H492" s="2"/>
      <c r="L492" s="2"/>
      <c r="M492" s="2"/>
    </row>
    <row r="493" spans="1:13" x14ac:dyDescent="0.25">
      <c r="A493" s="37"/>
      <c r="B493" s="2"/>
      <c r="C493" s="2"/>
      <c r="G493" s="2"/>
      <c r="H493" s="2"/>
      <c r="L493" s="2"/>
      <c r="M493" s="2"/>
    </row>
    <row r="494" spans="1:13" x14ac:dyDescent="0.25">
      <c r="A494" s="37"/>
      <c r="B494" s="2"/>
      <c r="C494" s="2"/>
      <c r="G494" s="2"/>
      <c r="H494" s="2"/>
      <c r="L494" s="2"/>
      <c r="M494" s="2"/>
    </row>
    <row r="495" spans="1:13" x14ac:dyDescent="0.25">
      <c r="A495" s="37"/>
      <c r="B495" s="2"/>
      <c r="C495" s="2"/>
      <c r="G495" s="2"/>
      <c r="H495" s="2"/>
      <c r="L495" s="2"/>
      <c r="M495" s="2"/>
    </row>
    <row r="496" spans="1:13" x14ac:dyDescent="0.25">
      <c r="A496" s="37"/>
      <c r="B496" s="2"/>
      <c r="C496" s="2"/>
      <c r="G496" s="2"/>
      <c r="H496" s="2"/>
      <c r="L496" s="2"/>
      <c r="M496" s="2"/>
    </row>
    <row r="497" spans="1:13" x14ac:dyDescent="0.25">
      <c r="A497" s="37"/>
      <c r="B497" s="2"/>
      <c r="C497" s="2"/>
      <c r="G497" s="2"/>
      <c r="H497" s="2"/>
      <c r="L497" s="2"/>
      <c r="M497" s="2"/>
    </row>
    <row r="498" spans="1:13" x14ac:dyDescent="0.25">
      <c r="A498" s="37"/>
      <c r="B498" s="2"/>
      <c r="C498" s="2"/>
      <c r="G498" s="2"/>
      <c r="H498" s="2"/>
      <c r="L498" s="2"/>
      <c r="M498" s="2"/>
    </row>
    <row r="499" spans="1:13" x14ac:dyDescent="0.25">
      <c r="A499" s="37"/>
      <c r="B499" s="2"/>
      <c r="C499" s="2"/>
      <c r="G499" s="2"/>
      <c r="H499" s="2"/>
      <c r="L499" s="2"/>
      <c r="M499" s="2"/>
    </row>
    <row r="500" spans="1:13" x14ac:dyDescent="0.25">
      <c r="A500" s="37"/>
      <c r="B500" s="2"/>
      <c r="C500" s="2"/>
      <c r="G500" s="2"/>
      <c r="H500" s="2"/>
      <c r="L500" s="2"/>
      <c r="M500" s="2"/>
    </row>
    <row r="501" spans="1:13" x14ac:dyDescent="0.25">
      <c r="A501" s="37"/>
      <c r="B501" s="2"/>
      <c r="C501" s="2"/>
      <c r="G501" s="2"/>
      <c r="H501" s="2"/>
      <c r="L501" s="2"/>
      <c r="M501" s="2"/>
    </row>
    <row r="502" spans="1:13" x14ac:dyDescent="0.25">
      <c r="A502" s="37"/>
      <c r="B502" s="2"/>
      <c r="C502" s="2"/>
      <c r="G502" s="2"/>
      <c r="H502" s="2"/>
      <c r="L502" s="2"/>
      <c r="M502" s="2"/>
    </row>
    <row r="503" spans="1:13" x14ac:dyDescent="0.25">
      <c r="A503" s="37"/>
      <c r="B503" s="2"/>
      <c r="C503" s="2"/>
      <c r="G503" s="2"/>
      <c r="H503" s="2"/>
      <c r="L503" s="2"/>
      <c r="M503" s="2"/>
    </row>
    <row r="504" spans="1:13" x14ac:dyDescent="0.25">
      <c r="A504" s="37"/>
      <c r="B504" s="2"/>
      <c r="C504" s="2"/>
      <c r="G504" s="2"/>
      <c r="H504" s="2"/>
      <c r="L504" s="2"/>
      <c r="M504" s="2"/>
    </row>
    <row r="505" spans="1:13" x14ac:dyDescent="0.25">
      <c r="A505" s="37"/>
      <c r="B505" s="2"/>
      <c r="C505" s="2"/>
      <c r="G505" s="2"/>
      <c r="H505" s="2"/>
      <c r="L505" s="2"/>
      <c r="M505" s="2"/>
    </row>
    <row r="506" spans="1:13" x14ac:dyDescent="0.25">
      <c r="A506" s="37"/>
      <c r="B506" s="2"/>
      <c r="C506" s="2"/>
      <c r="G506" s="2"/>
      <c r="H506" s="2"/>
      <c r="L506" s="2"/>
      <c r="M506" s="2"/>
    </row>
    <row r="507" spans="1:13" x14ac:dyDescent="0.25">
      <c r="A507" s="37"/>
      <c r="B507" s="2"/>
      <c r="C507" s="2"/>
      <c r="G507" s="2"/>
      <c r="H507" s="2"/>
      <c r="L507" s="2"/>
      <c r="M507" s="2"/>
    </row>
    <row r="508" spans="1:13" x14ac:dyDescent="0.25">
      <c r="A508" s="37"/>
      <c r="B508" s="2"/>
      <c r="C508" s="2"/>
      <c r="G508" s="2"/>
      <c r="H508" s="2"/>
      <c r="L508" s="2"/>
      <c r="M508" s="2"/>
    </row>
    <row r="509" spans="1:13" x14ac:dyDescent="0.25">
      <c r="A509" s="37"/>
      <c r="B509" s="2"/>
      <c r="C509" s="2"/>
      <c r="G509" s="2"/>
      <c r="H509" s="2"/>
      <c r="L509" s="2"/>
      <c r="M509" s="2"/>
    </row>
    <row r="510" spans="1:13" x14ac:dyDescent="0.25">
      <c r="A510" s="37"/>
      <c r="B510" s="2"/>
      <c r="C510" s="2"/>
      <c r="G510" s="2"/>
      <c r="H510" s="2"/>
      <c r="L510" s="2"/>
      <c r="M510" s="2"/>
    </row>
    <row r="511" spans="1:13" x14ac:dyDescent="0.25">
      <c r="A511" s="37"/>
      <c r="B511" s="2"/>
      <c r="C511" s="2"/>
      <c r="G511" s="2"/>
      <c r="H511" s="2"/>
      <c r="L511" s="2"/>
      <c r="M511" s="2"/>
    </row>
    <row r="512" spans="1:13" x14ac:dyDescent="0.25">
      <c r="A512" s="37"/>
      <c r="B512" s="2"/>
      <c r="C512" s="2"/>
      <c r="G512" s="2"/>
      <c r="H512" s="2"/>
      <c r="L512" s="2"/>
      <c r="M512" s="2"/>
    </row>
    <row r="513" spans="1:13" x14ac:dyDescent="0.25">
      <c r="A513" s="37"/>
      <c r="B513" s="2"/>
      <c r="C513" s="2"/>
      <c r="G513" s="2"/>
      <c r="H513" s="2"/>
      <c r="L513" s="2"/>
      <c r="M513" s="2"/>
    </row>
    <row r="514" spans="1:13" x14ac:dyDescent="0.25">
      <c r="A514" s="37"/>
      <c r="B514" s="2"/>
      <c r="C514" s="2"/>
      <c r="G514" s="2"/>
      <c r="H514" s="2"/>
      <c r="L514" s="2"/>
      <c r="M514" s="2"/>
    </row>
    <row r="515" spans="1:13" x14ac:dyDescent="0.25">
      <c r="A515" s="37"/>
      <c r="B515" s="2"/>
      <c r="C515" s="2"/>
      <c r="G515" s="2"/>
      <c r="H515" s="2"/>
      <c r="L515" s="2"/>
      <c r="M515" s="2"/>
    </row>
    <row r="516" spans="1:13" x14ac:dyDescent="0.25">
      <c r="A516" s="37"/>
      <c r="B516" s="2"/>
      <c r="C516" s="2"/>
      <c r="G516" s="2"/>
      <c r="H516" s="2"/>
      <c r="L516" s="2"/>
      <c r="M516" s="2"/>
    </row>
    <row r="517" spans="1:13" x14ac:dyDescent="0.25">
      <c r="A517" s="37"/>
      <c r="B517" s="2"/>
      <c r="C517" s="2"/>
      <c r="G517" s="2"/>
      <c r="H517" s="2"/>
      <c r="L517" s="2"/>
      <c r="M517" s="2"/>
    </row>
    <row r="518" spans="1:13" x14ac:dyDescent="0.25">
      <c r="A518" s="37"/>
      <c r="B518" s="2"/>
      <c r="C518" s="2"/>
      <c r="G518" s="2"/>
      <c r="H518" s="2"/>
      <c r="L518" s="2"/>
      <c r="M518" s="2"/>
    </row>
    <row r="519" spans="1:13" x14ac:dyDescent="0.25">
      <c r="A519" s="37"/>
      <c r="B519" s="2"/>
      <c r="C519" s="2"/>
      <c r="G519" s="2"/>
      <c r="H519" s="2"/>
      <c r="L519" s="2"/>
      <c r="M519" s="2"/>
    </row>
    <row r="520" spans="1:13" x14ac:dyDescent="0.25">
      <c r="A520" s="37"/>
      <c r="B520" s="2"/>
      <c r="C520" s="2"/>
      <c r="G520" s="2"/>
      <c r="H520" s="2"/>
      <c r="L520" s="2"/>
      <c r="M520" s="2"/>
    </row>
    <row r="521" spans="1:13" x14ac:dyDescent="0.25">
      <c r="A521" s="37"/>
      <c r="B521" s="2"/>
      <c r="C521" s="2"/>
      <c r="G521" s="2"/>
      <c r="H521" s="2"/>
      <c r="L521" s="2"/>
      <c r="M521" s="2"/>
    </row>
    <row r="522" spans="1:13" x14ac:dyDescent="0.25">
      <c r="A522" s="37"/>
      <c r="B522" s="2"/>
      <c r="C522" s="2"/>
      <c r="G522" s="2"/>
      <c r="H522" s="2"/>
      <c r="L522" s="2"/>
      <c r="M522" s="2"/>
    </row>
    <row r="523" spans="1:13" x14ac:dyDescent="0.25">
      <c r="A523" s="37"/>
      <c r="B523" s="2"/>
      <c r="C523" s="2"/>
      <c r="G523" s="2"/>
      <c r="H523" s="2"/>
      <c r="L523" s="2"/>
      <c r="M523" s="2"/>
    </row>
    <row r="524" spans="1:13" x14ac:dyDescent="0.25">
      <c r="A524" s="37"/>
      <c r="B524" s="2"/>
      <c r="C524" s="2"/>
      <c r="G524" s="2"/>
      <c r="H524" s="2"/>
      <c r="L524" s="2"/>
      <c r="M524" s="2"/>
    </row>
    <row r="525" spans="1:13" x14ac:dyDescent="0.25">
      <c r="A525" s="37"/>
      <c r="B525" s="2"/>
      <c r="C525" s="2"/>
      <c r="G525" s="2"/>
      <c r="H525" s="2"/>
      <c r="L525" s="2"/>
      <c r="M525" s="2"/>
    </row>
    <row r="526" spans="1:13" x14ac:dyDescent="0.25">
      <c r="A526" s="37"/>
      <c r="B526" s="2"/>
      <c r="C526" s="2"/>
      <c r="G526" s="2"/>
      <c r="H526" s="2"/>
      <c r="L526" s="2"/>
      <c r="M526" s="2"/>
    </row>
    <row r="527" spans="1:13" x14ac:dyDescent="0.25">
      <c r="A527" s="37"/>
      <c r="B527" s="2"/>
      <c r="C527" s="2"/>
      <c r="G527" s="2"/>
      <c r="H527" s="2"/>
      <c r="L527" s="2"/>
      <c r="M527" s="2"/>
    </row>
    <row r="528" spans="1:13" x14ac:dyDescent="0.25">
      <c r="A528" s="37"/>
      <c r="B528" s="2"/>
      <c r="C528" s="2"/>
      <c r="G528" s="2"/>
      <c r="H528" s="2"/>
      <c r="L528" s="2"/>
      <c r="M528" s="2"/>
    </row>
    <row r="529" spans="1:13" x14ac:dyDescent="0.25">
      <c r="A529" s="37"/>
      <c r="B529" s="2"/>
      <c r="C529" s="2"/>
      <c r="G529" s="2"/>
      <c r="H529" s="2"/>
      <c r="L529" s="2"/>
      <c r="M529" s="2"/>
    </row>
    <row r="530" spans="1:13" x14ac:dyDescent="0.25">
      <c r="A530" s="37"/>
      <c r="B530" s="2"/>
      <c r="C530" s="2"/>
      <c r="G530" s="2"/>
      <c r="H530" s="2"/>
      <c r="L530" s="2"/>
      <c r="M530" s="2"/>
    </row>
    <row r="531" spans="1:13" x14ac:dyDescent="0.25">
      <c r="A531" s="37"/>
      <c r="B531" s="2"/>
      <c r="C531" s="2"/>
      <c r="G531" s="2"/>
      <c r="H531" s="2"/>
      <c r="L531" s="2"/>
      <c r="M531" s="2"/>
    </row>
    <row r="532" spans="1:13" x14ac:dyDescent="0.25">
      <c r="A532" s="37"/>
      <c r="B532" s="2"/>
      <c r="C532" s="2"/>
      <c r="G532" s="2"/>
      <c r="H532" s="2"/>
      <c r="L532" s="2"/>
      <c r="M532" s="2"/>
    </row>
    <row r="533" spans="1:13" x14ac:dyDescent="0.25">
      <c r="A533" s="37"/>
      <c r="B533" s="2"/>
      <c r="C533" s="2"/>
      <c r="G533" s="2"/>
      <c r="H533" s="2"/>
      <c r="L533" s="2"/>
      <c r="M533" s="2"/>
    </row>
    <row r="534" spans="1:13" x14ac:dyDescent="0.25">
      <c r="A534" s="37"/>
      <c r="B534" s="2"/>
      <c r="C534" s="2"/>
      <c r="G534" s="2"/>
      <c r="H534" s="2"/>
      <c r="L534" s="2"/>
      <c r="M534" s="2"/>
    </row>
    <row r="535" spans="1:13" x14ac:dyDescent="0.25">
      <c r="A535" s="37"/>
      <c r="B535" s="2"/>
      <c r="C535" s="2"/>
      <c r="G535" s="2"/>
      <c r="H535" s="2"/>
      <c r="L535" s="2"/>
      <c r="M535" s="2"/>
    </row>
    <row r="536" spans="1:13" x14ac:dyDescent="0.25">
      <c r="A536" s="37"/>
      <c r="B536" s="2"/>
      <c r="C536" s="2"/>
      <c r="G536" s="2"/>
      <c r="H536" s="2"/>
      <c r="L536" s="2"/>
      <c r="M536" s="2"/>
    </row>
    <row r="537" spans="1:13" x14ac:dyDescent="0.25">
      <c r="A537" s="37"/>
      <c r="B537" s="2"/>
      <c r="C537" s="2"/>
      <c r="G537" s="2"/>
      <c r="H537" s="2"/>
      <c r="L537" s="2"/>
      <c r="M537" s="2"/>
    </row>
    <row r="538" spans="1:13" x14ac:dyDescent="0.25">
      <c r="A538" s="37"/>
      <c r="B538" s="2"/>
      <c r="C538" s="2"/>
      <c r="G538" s="2"/>
      <c r="H538" s="2"/>
      <c r="L538" s="2"/>
      <c r="M538" s="2"/>
    </row>
    <row r="539" spans="1:13" x14ac:dyDescent="0.25">
      <c r="A539" s="37"/>
      <c r="B539" s="2"/>
      <c r="C539" s="2"/>
      <c r="G539" s="2"/>
      <c r="H539" s="2"/>
      <c r="L539" s="2"/>
      <c r="M539" s="2"/>
    </row>
    <row r="540" spans="1:13" x14ac:dyDescent="0.25">
      <c r="A540" s="37"/>
      <c r="B540" s="2"/>
      <c r="C540" s="2"/>
      <c r="G540" s="2"/>
      <c r="H540" s="2"/>
      <c r="L540" s="2"/>
      <c r="M540" s="2"/>
    </row>
    <row r="541" spans="1:13" x14ac:dyDescent="0.25">
      <c r="A541" s="37"/>
      <c r="B541" s="2"/>
      <c r="C541" s="2"/>
      <c r="G541" s="2"/>
      <c r="H541" s="2"/>
      <c r="L541" s="2"/>
      <c r="M541" s="2"/>
    </row>
    <row r="542" spans="1:13" x14ac:dyDescent="0.25">
      <c r="A542" s="37"/>
      <c r="B542" s="2"/>
      <c r="C542" s="2"/>
      <c r="G542" s="2"/>
      <c r="H542" s="2"/>
      <c r="L542" s="2"/>
      <c r="M542" s="2"/>
    </row>
    <row r="543" spans="1:13" x14ac:dyDescent="0.25">
      <c r="A543" s="37"/>
    </row>
    <row r="545" spans="2:13" x14ac:dyDescent="0.25">
      <c r="B545" s="36"/>
      <c r="C545" s="36"/>
      <c r="G545" s="36"/>
      <c r="H545" s="36"/>
      <c r="L545" s="36"/>
      <c r="M545" s="36"/>
    </row>
  </sheetData>
  <sheetProtection algorithmName="SHA-512" hashValue="TpOZqdgE2o7+d2p75CY8LdE6FQO4A3PbhlPVSzP6bj0x6E2IVVnCxu+5ueo8f3nPKEffDe4tZvceOK1ibRBHYQ==" saltValue="imzPhivObiWzCGte5W6IkA=="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8F364-4C20-49FD-83F2-EF2004497F57}">
  <sheetPr>
    <tabColor rgb="FFC00000"/>
  </sheetPr>
  <dimension ref="A1:B46"/>
  <sheetViews>
    <sheetView workbookViewId="0"/>
  </sheetViews>
  <sheetFormatPr defaultRowHeight="15" x14ac:dyDescent="0.25"/>
  <sheetData>
    <row r="1" spans="1:2" x14ac:dyDescent="0.25">
      <c r="A1">
        <v>0</v>
      </c>
      <c r="B1" t="s">
        <v>89</v>
      </c>
    </row>
    <row r="2" spans="1:2" x14ac:dyDescent="0.25">
      <c r="A2">
        <f>A1+1</f>
        <v>1</v>
      </c>
      <c r="B2" t="s">
        <v>88</v>
      </c>
    </row>
    <row r="3" spans="1:2" x14ac:dyDescent="0.25">
      <c r="A3">
        <f t="shared" ref="A3:A44" si="0">A2+1</f>
        <v>2</v>
      </c>
    </row>
    <row r="4" spans="1:2" x14ac:dyDescent="0.25">
      <c r="A4">
        <f t="shared" si="0"/>
        <v>3</v>
      </c>
    </row>
    <row r="5" spans="1:2" x14ac:dyDescent="0.25">
      <c r="A5">
        <f t="shared" si="0"/>
        <v>4</v>
      </c>
    </row>
    <row r="6" spans="1:2" x14ac:dyDescent="0.25">
      <c r="A6">
        <f t="shared" si="0"/>
        <v>5</v>
      </c>
    </row>
    <row r="7" spans="1:2" x14ac:dyDescent="0.25">
      <c r="A7">
        <f t="shared" si="0"/>
        <v>6</v>
      </c>
    </row>
    <row r="8" spans="1:2" x14ac:dyDescent="0.25">
      <c r="A8">
        <f t="shared" si="0"/>
        <v>7</v>
      </c>
    </row>
    <row r="9" spans="1:2" x14ac:dyDescent="0.25">
      <c r="A9">
        <f t="shared" si="0"/>
        <v>8</v>
      </c>
    </row>
    <row r="10" spans="1:2" x14ac:dyDescent="0.25">
      <c r="A10">
        <f t="shared" si="0"/>
        <v>9</v>
      </c>
    </row>
    <row r="11" spans="1:2" x14ac:dyDescent="0.25">
      <c r="A11">
        <f t="shared" si="0"/>
        <v>10</v>
      </c>
    </row>
    <row r="12" spans="1:2" x14ac:dyDescent="0.25">
      <c r="A12">
        <f t="shared" si="0"/>
        <v>11</v>
      </c>
    </row>
    <row r="13" spans="1:2" x14ac:dyDescent="0.25">
      <c r="A13">
        <f t="shared" si="0"/>
        <v>12</v>
      </c>
    </row>
    <row r="14" spans="1:2" x14ac:dyDescent="0.25">
      <c r="A14">
        <f t="shared" si="0"/>
        <v>13</v>
      </c>
    </row>
    <row r="15" spans="1:2" x14ac:dyDescent="0.25">
      <c r="A15">
        <f t="shared" si="0"/>
        <v>14</v>
      </c>
    </row>
    <row r="16" spans="1:2" x14ac:dyDescent="0.25">
      <c r="A16">
        <f t="shared" si="0"/>
        <v>15</v>
      </c>
    </row>
    <row r="17" spans="1:1" x14ac:dyDescent="0.25">
      <c r="A17">
        <f t="shared" si="0"/>
        <v>16</v>
      </c>
    </row>
    <row r="18" spans="1:1" x14ac:dyDescent="0.25">
      <c r="A18">
        <f t="shared" si="0"/>
        <v>17</v>
      </c>
    </row>
    <row r="19" spans="1:1" x14ac:dyDescent="0.25">
      <c r="A19">
        <f t="shared" si="0"/>
        <v>18</v>
      </c>
    </row>
    <row r="20" spans="1:1" x14ac:dyDescent="0.25">
      <c r="A20">
        <f t="shared" si="0"/>
        <v>19</v>
      </c>
    </row>
    <row r="21" spans="1:1" x14ac:dyDescent="0.25">
      <c r="A21">
        <f t="shared" si="0"/>
        <v>20</v>
      </c>
    </row>
    <row r="22" spans="1:1" x14ac:dyDescent="0.25">
      <c r="A22">
        <f t="shared" si="0"/>
        <v>21</v>
      </c>
    </row>
    <row r="23" spans="1:1" x14ac:dyDescent="0.25">
      <c r="A23">
        <f t="shared" si="0"/>
        <v>22</v>
      </c>
    </row>
    <row r="24" spans="1:1" x14ac:dyDescent="0.25">
      <c r="A24">
        <f t="shared" si="0"/>
        <v>23</v>
      </c>
    </row>
    <row r="25" spans="1:1" x14ac:dyDescent="0.25">
      <c r="A25">
        <f t="shared" si="0"/>
        <v>24</v>
      </c>
    </row>
    <row r="26" spans="1:1" x14ac:dyDescent="0.25">
      <c r="A26">
        <f t="shared" si="0"/>
        <v>25</v>
      </c>
    </row>
    <row r="27" spans="1:1" x14ac:dyDescent="0.25">
      <c r="A27">
        <f t="shared" si="0"/>
        <v>26</v>
      </c>
    </row>
    <row r="28" spans="1:1" x14ac:dyDescent="0.25">
      <c r="A28">
        <f t="shared" si="0"/>
        <v>27</v>
      </c>
    </row>
    <row r="29" spans="1:1" x14ac:dyDescent="0.25">
      <c r="A29">
        <f t="shared" si="0"/>
        <v>28</v>
      </c>
    </row>
    <row r="30" spans="1:1" x14ac:dyDescent="0.25">
      <c r="A30">
        <f t="shared" si="0"/>
        <v>29</v>
      </c>
    </row>
    <row r="31" spans="1:1" x14ac:dyDescent="0.25">
      <c r="A31">
        <f>A30+1</f>
        <v>30</v>
      </c>
    </row>
    <row r="32" spans="1:1" x14ac:dyDescent="0.25">
      <c r="A32">
        <f t="shared" si="0"/>
        <v>31</v>
      </c>
    </row>
    <row r="33" spans="1:1" x14ac:dyDescent="0.25">
      <c r="A33">
        <f t="shared" si="0"/>
        <v>32</v>
      </c>
    </row>
    <row r="34" spans="1:1" x14ac:dyDescent="0.25">
      <c r="A34">
        <f t="shared" si="0"/>
        <v>33</v>
      </c>
    </row>
    <row r="35" spans="1:1" x14ac:dyDescent="0.25">
      <c r="A35">
        <f t="shared" si="0"/>
        <v>34</v>
      </c>
    </row>
    <row r="36" spans="1:1" x14ac:dyDescent="0.25">
      <c r="A36">
        <f t="shared" si="0"/>
        <v>35</v>
      </c>
    </row>
    <row r="37" spans="1:1" x14ac:dyDescent="0.25">
      <c r="A37">
        <f t="shared" si="0"/>
        <v>36</v>
      </c>
    </row>
    <row r="38" spans="1:1" x14ac:dyDescent="0.25">
      <c r="A38">
        <f t="shared" si="0"/>
        <v>37</v>
      </c>
    </row>
    <row r="39" spans="1:1" x14ac:dyDescent="0.25">
      <c r="A39">
        <f>A38+1</f>
        <v>38</v>
      </c>
    </row>
    <row r="40" spans="1:1" x14ac:dyDescent="0.25">
      <c r="A40">
        <f t="shared" si="0"/>
        <v>39</v>
      </c>
    </row>
    <row r="41" spans="1:1" x14ac:dyDescent="0.25">
      <c r="A41">
        <f t="shared" si="0"/>
        <v>40</v>
      </c>
    </row>
    <row r="42" spans="1:1" x14ac:dyDescent="0.25">
      <c r="A42">
        <f t="shared" si="0"/>
        <v>41</v>
      </c>
    </row>
    <row r="43" spans="1:1" x14ac:dyDescent="0.25">
      <c r="A43">
        <f t="shared" si="0"/>
        <v>42</v>
      </c>
    </row>
    <row r="44" spans="1:1" x14ac:dyDescent="0.25">
      <c r="A44">
        <f t="shared" si="0"/>
        <v>43</v>
      </c>
    </row>
    <row r="45" spans="1:1" x14ac:dyDescent="0.25">
      <c r="A45">
        <f>A44+1</f>
        <v>44</v>
      </c>
    </row>
    <row r="46" spans="1:1" x14ac:dyDescent="0.25">
      <c r="A46">
        <f>A45+1</f>
        <v>45</v>
      </c>
    </row>
  </sheetData>
  <sheetProtection algorithmName="SHA-512" hashValue="PrjP2586PYYOyJ2Jx2YXu3undyYM6fcJ6lbO0/kelwpgF20xNNrlin3Gfhg0x4TYyps3B+VG7FHRMvN9mIvYGQ==" saltValue="Q+9cYNZjzTaG1hBFHpRW2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68240-4E5D-45A4-9C42-A23C90F46760}">
  <sheetPr>
    <tabColor theme="7" tint="-0.499984740745262"/>
    <pageSetUpPr fitToPage="1"/>
  </sheetPr>
  <dimension ref="B2:R16"/>
  <sheetViews>
    <sheetView showGridLines="0" showRowColHeaders="0" zoomScaleNormal="100" workbookViewId="0"/>
  </sheetViews>
  <sheetFormatPr defaultRowHeight="15" x14ac:dyDescent="0.25"/>
  <cols>
    <col min="3" max="3" width="11" customWidth="1"/>
    <col min="4" max="4" width="43" bestFit="1" customWidth="1"/>
    <col min="7" max="7" width="11" customWidth="1"/>
    <col min="8" max="8" width="43.42578125" customWidth="1"/>
    <col min="11" max="11" width="11" customWidth="1"/>
    <col min="12" max="12" width="65.5703125" bestFit="1" customWidth="1"/>
  </cols>
  <sheetData>
    <row r="2" spans="2:18" ht="18.75" x14ac:dyDescent="0.3">
      <c r="B2" s="142" t="s">
        <v>178</v>
      </c>
      <c r="C2" s="143"/>
      <c r="D2" s="143"/>
      <c r="E2" s="143"/>
      <c r="F2" s="143"/>
      <c r="G2" s="143"/>
      <c r="H2" s="143"/>
      <c r="I2" s="143"/>
      <c r="J2" s="143"/>
      <c r="K2" s="143"/>
      <c r="L2" s="144"/>
      <c r="M2" s="140"/>
      <c r="N2" s="140"/>
      <c r="O2" s="140"/>
      <c r="P2" s="140"/>
      <c r="Q2" s="140"/>
      <c r="R2" s="140"/>
    </row>
    <row r="4" spans="2:18" ht="18.75" x14ac:dyDescent="0.3">
      <c r="B4" s="146"/>
      <c r="C4" s="147" t="s">
        <v>32</v>
      </c>
      <c r="D4" s="148"/>
      <c r="F4" s="155"/>
      <c r="G4" s="156" t="s">
        <v>30</v>
      </c>
      <c r="H4" s="157"/>
      <c r="J4" s="170"/>
      <c r="K4" s="171" t="s">
        <v>31</v>
      </c>
      <c r="L4" s="172"/>
    </row>
    <row r="5" spans="2:18" x14ac:dyDescent="0.25">
      <c r="B5" s="149" t="s">
        <v>159</v>
      </c>
      <c r="C5" s="9">
        <f>Assumptions!$D$13</f>
        <v>111571.5</v>
      </c>
      <c r="D5" s="44" t="s">
        <v>163</v>
      </c>
      <c r="F5" s="158" t="s">
        <v>159</v>
      </c>
      <c r="G5" s="159">
        <f>Assumptions!$D$13</f>
        <v>111571.5</v>
      </c>
      <c r="H5" s="160" t="s">
        <v>163</v>
      </c>
      <c r="I5" s="141"/>
      <c r="J5" s="173" t="s">
        <v>159</v>
      </c>
      <c r="K5" s="166">
        <f>Assumptions!$D$13-Assumptions!$D$30</f>
        <v>108815.5</v>
      </c>
      <c r="L5" s="174" t="s">
        <v>164</v>
      </c>
    </row>
    <row r="6" spans="2:18" x14ac:dyDescent="0.25">
      <c r="B6" s="149" t="s">
        <v>159</v>
      </c>
      <c r="C6" s="9">
        <f>Assumptions!$E$18</f>
        <v>2198.4576329329379</v>
      </c>
      <c r="D6" s="44" t="s">
        <v>167</v>
      </c>
      <c r="F6" s="158" t="s">
        <v>159</v>
      </c>
      <c r="G6" s="161">
        <f>Assumptions!$E$19</f>
        <v>2841.6330117986968</v>
      </c>
      <c r="H6" s="160" t="s">
        <v>166</v>
      </c>
      <c r="I6" s="141"/>
      <c r="J6" s="173" t="s">
        <v>159</v>
      </c>
      <c r="K6" s="167">
        <f>Assumptions!$D$29</f>
        <v>2756</v>
      </c>
      <c r="L6" s="174" t="s">
        <v>165</v>
      </c>
    </row>
    <row r="7" spans="2:18" x14ac:dyDescent="0.25">
      <c r="B7" s="149" t="s">
        <v>159</v>
      </c>
      <c r="C7" s="152">
        <f>Assumptions!$D$51</f>
        <v>0.05</v>
      </c>
      <c r="D7" s="44" t="s">
        <v>168</v>
      </c>
      <c r="F7" s="158" t="s">
        <v>159</v>
      </c>
      <c r="G7" s="162">
        <f>Assumptions!$D$51</f>
        <v>0.05</v>
      </c>
      <c r="H7" s="160" t="s">
        <v>168</v>
      </c>
      <c r="I7" s="141"/>
      <c r="J7" s="173" t="s">
        <v>159</v>
      </c>
      <c r="K7" s="168">
        <f>Assumptions!$D$52</f>
        <v>3.7400000000000003E-2</v>
      </c>
      <c r="L7" s="174" t="s">
        <v>169</v>
      </c>
    </row>
    <row r="8" spans="2:18" x14ac:dyDescent="0.25">
      <c r="B8" s="149" t="s">
        <v>159</v>
      </c>
      <c r="C8" s="152">
        <f>C7</f>
        <v>0.05</v>
      </c>
      <c r="D8" s="44" t="s">
        <v>171</v>
      </c>
      <c r="F8" s="158" t="s">
        <v>159</v>
      </c>
      <c r="G8" s="162">
        <f>G7</f>
        <v>0.05</v>
      </c>
      <c r="H8" s="160" t="s">
        <v>171</v>
      </c>
      <c r="I8" s="141"/>
      <c r="J8" s="173" t="s">
        <v>159</v>
      </c>
      <c r="K8" s="168">
        <f>K7</f>
        <v>3.7400000000000003E-2</v>
      </c>
      <c r="L8" s="174" t="s">
        <v>170</v>
      </c>
    </row>
    <row r="9" spans="2:18" x14ac:dyDescent="0.25">
      <c r="B9" s="149" t="s">
        <v>159</v>
      </c>
      <c r="C9" s="145" t="s">
        <v>172</v>
      </c>
      <c r="D9" s="44"/>
      <c r="F9" s="158" t="s">
        <v>159</v>
      </c>
      <c r="G9" s="150" t="s">
        <v>172</v>
      </c>
      <c r="H9" s="160"/>
      <c r="I9" s="141"/>
      <c r="J9" s="173" t="s">
        <v>159</v>
      </c>
      <c r="K9" s="151" t="s">
        <v>173</v>
      </c>
      <c r="L9" s="174"/>
    </row>
    <row r="10" spans="2:18" x14ac:dyDescent="0.25">
      <c r="B10" s="149" t="s">
        <v>159</v>
      </c>
      <c r="C10" s="152">
        <f>Assumptions!$D$45</f>
        <v>8.7180000000000007E-2</v>
      </c>
      <c r="D10" s="44" t="s">
        <v>174</v>
      </c>
      <c r="F10" s="158" t="s">
        <v>159</v>
      </c>
      <c r="G10" s="162">
        <f>Assumptions!$D$45</f>
        <v>8.7180000000000007E-2</v>
      </c>
      <c r="H10" s="160" t="s">
        <v>174</v>
      </c>
      <c r="I10" s="141"/>
      <c r="J10" s="173" t="s">
        <v>159</v>
      </c>
      <c r="K10" s="168">
        <f>Assumptions!$D$45</f>
        <v>8.7180000000000007E-2</v>
      </c>
      <c r="L10" s="174" t="s">
        <v>174</v>
      </c>
    </row>
    <row r="11" spans="2:18" x14ac:dyDescent="0.25">
      <c r="B11" s="149" t="s">
        <v>159</v>
      </c>
      <c r="C11" s="145" t="s">
        <v>175</v>
      </c>
      <c r="D11" s="44"/>
      <c r="F11" s="158" t="s">
        <v>159</v>
      </c>
      <c r="G11" s="150" t="s">
        <v>175</v>
      </c>
      <c r="H11" s="160"/>
      <c r="I11" s="141"/>
      <c r="J11" s="173" t="s">
        <v>159</v>
      </c>
      <c r="K11" s="169" t="s">
        <v>175</v>
      </c>
      <c r="L11" s="174"/>
    </row>
    <row r="12" spans="2:18" x14ac:dyDescent="0.25">
      <c r="B12" s="149" t="s">
        <v>159</v>
      </c>
      <c r="C12" s="145" t="s">
        <v>160</v>
      </c>
      <c r="D12" s="44"/>
      <c r="F12" s="158" t="s">
        <v>159</v>
      </c>
      <c r="G12" s="150" t="s">
        <v>160</v>
      </c>
      <c r="H12" s="160"/>
      <c r="I12" s="141"/>
      <c r="J12" s="173" t="s">
        <v>159</v>
      </c>
      <c r="K12" s="151" t="s">
        <v>161</v>
      </c>
      <c r="L12" s="174"/>
    </row>
    <row r="13" spans="2:18" x14ac:dyDescent="0.25">
      <c r="B13" s="149" t="s">
        <v>159</v>
      </c>
      <c r="C13" s="145" t="s">
        <v>162</v>
      </c>
      <c r="D13" s="44"/>
      <c r="F13" s="158" t="s">
        <v>159</v>
      </c>
      <c r="G13" s="150" t="s">
        <v>162</v>
      </c>
      <c r="H13" s="160"/>
      <c r="I13" s="141"/>
      <c r="J13" s="173" t="s">
        <v>159</v>
      </c>
      <c r="K13" s="151" t="s">
        <v>162</v>
      </c>
      <c r="L13" s="174"/>
    </row>
    <row r="14" spans="2:18" x14ac:dyDescent="0.25">
      <c r="B14" s="153" t="s">
        <v>159</v>
      </c>
      <c r="C14" s="154" t="str">
        <f>"Simulation run for "&amp;Results!$D$2&amp;" years."</f>
        <v>Simulation run for 31 years.</v>
      </c>
      <c r="D14" s="46"/>
      <c r="F14" s="163" t="s">
        <v>159</v>
      </c>
      <c r="G14" s="164" t="str">
        <f>"Simulation run for "&amp;Results!$D$2&amp;" years."</f>
        <v>Simulation run for 31 years.</v>
      </c>
      <c r="H14" s="165"/>
      <c r="I14" s="141"/>
      <c r="J14" s="175" t="s">
        <v>159</v>
      </c>
      <c r="K14" s="176" t="str">
        <f>"Simulation run for "&amp;Results!$D$2&amp;" years."</f>
        <v>Simulation run for 31 years.</v>
      </c>
      <c r="L14" s="177"/>
    </row>
    <row r="16" spans="2:18" x14ac:dyDescent="0.25">
      <c r="B16" s="178" t="s">
        <v>176</v>
      </c>
    </row>
  </sheetData>
  <sheetProtection algorithmName="SHA-512" hashValue="9gCXKsd4RffFPLCDl9ATGQC395GAMVgeo0YJnT0qPNZB3LfTEZwT27yzs7cOiV0VqtE+WjMLOQpbmEfYKBxfKg==" saltValue="GbaXaCHKgCoWN/i+bPtR3A==" spinCount="100000" sheet="1" objects="1" scenarios="1"/>
  <printOptions horizontalCentered="1"/>
  <pageMargins left="0.25" right="0.25" top="0.75" bottom="0.75" header="0.3" footer="0.3"/>
  <pageSetup scale="45" fitToHeight="0" orientation="landscape" horizontalDpi="0" verticalDpi="0" r:id="rId1"/>
  <headerFooter>
    <oddHeader>&amp;L&amp;A&amp;CRent vs. Purchase of a Home&amp;R&amp;D, &amp;T</oddHeader>
    <oddFooter>&amp;L© Copyright 2025 Nicholas A. Beaver. All rights reserved.&amp;CPage &amp;P of &amp;N&amp;Rwww.nicholasabeaver.com</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A0293-5572-4C49-A5C1-0C1D70ED4001}">
  <sheetPr>
    <tabColor theme="8" tint="-0.249977111117893"/>
    <pageSetUpPr fitToPage="1"/>
  </sheetPr>
  <dimension ref="A2:I61"/>
  <sheetViews>
    <sheetView showGridLines="0" showRowColHeaders="0" zoomScaleNormal="100" workbookViewId="0"/>
  </sheetViews>
  <sheetFormatPr defaultRowHeight="15" x14ac:dyDescent="0.25"/>
  <cols>
    <col min="2" max="2" width="27.28515625" bestFit="1" customWidth="1"/>
    <col min="3" max="3" width="6" customWidth="1"/>
    <col min="4" max="4" width="13.85546875" bestFit="1" customWidth="1"/>
    <col min="5" max="5" width="12.5703125" customWidth="1"/>
    <col min="6" max="6" width="51.7109375" bestFit="1" customWidth="1"/>
    <col min="9" max="9" width="9.5703125" bestFit="1" customWidth="1"/>
  </cols>
  <sheetData>
    <row r="2" spans="1:6" x14ac:dyDescent="0.25">
      <c r="B2" s="139" t="s">
        <v>157</v>
      </c>
      <c r="C2" s="137"/>
      <c r="D2" s="137"/>
      <c r="E2" s="137"/>
      <c r="F2" s="138"/>
    </row>
    <row r="4" spans="1:6" ht="18.75" x14ac:dyDescent="0.3">
      <c r="A4" t="s">
        <v>72</v>
      </c>
      <c r="B4" s="41" t="s">
        <v>20</v>
      </c>
      <c r="C4" s="52"/>
      <c r="D4" s="52"/>
      <c r="E4" s="52"/>
      <c r="F4" s="53"/>
    </row>
    <row r="5" spans="1:6" x14ac:dyDescent="0.25">
      <c r="B5" s="54"/>
      <c r="C5" s="49"/>
      <c r="D5" s="49"/>
      <c r="E5" s="49"/>
      <c r="F5" s="55"/>
    </row>
    <row r="6" spans="1:6" x14ac:dyDescent="0.25">
      <c r="B6" s="56" t="s">
        <v>1</v>
      </c>
      <c r="C6" s="47" t="s">
        <v>16</v>
      </c>
      <c r="D6" s="16">
        <v>425000</v>
      </c>
      <c r="E6" s="9"/>
      <c r="F6" s="57" t="s">
        <v>134</v>
      </c>
    </row>
    <row r="7" spans="1:6" x14ac:dyDescent="0.25">
      <c r="B7" s="56" t="s">
        <v>8</v>
      </c>
      <c r="C7" s="47" t="s">
        <v>16</v>
      </c>
      <c r="D7" s="16">
        <v>85000</v>
      </c>
      <c r="E7" s="7"/>
      <c r="F7" s="57" t="s">
        <v>133</v>
      </c>
    </row>
    <row r="8" spans="1:6" x14ac:dyDescent="0.25">
      <c r="B8" s="56" t="s">
        <v>9</v>
      </c>
      <c r="C8" s="47"/>
      <c r="D8" s="9">
        <f>D6-D7</f>
        <v>340000</v>
      </c>
      <c r="E8" s="9"/>
      <c r="F8" s="57" t="s">
        <v>132</v>
      </c>
    </row>
    <row r="9" spans="1:6" x14ac:dyDescent="0.25">
      <c r="B9" s="56"/>
      <c r="C9" s="47"/>
      <c r="D9" s="9"/>
      <c r="E9" s="9"/>
      <c r="F9" s="57"/>
    </row>
    <row r="10" spans="1:6" x14ac:dyDescent="0.25">
      <c r="B10" s="56" t="s">
        <v>81</v>
      </c>
      <c r="C10" s="47" t="s">
        <v>16</v>
      </c>
      <c r="D10" s="16">
        <v>14884</v>
      </c>
      <c r="E10" s="9"/>
      <c r="F10" s="57" t="s">
        <v>131</v>
      </c>
    </row>
    <row r="11" spans="1:6" x14ac:dyDescent="0.25">
      <c r="B11" s="56" t="s">
        <v>155</v>
      </c>
      <c r="C11" s="47" t="s">
        <v>16</v>
      </c>
      <c r="D11" s="16">
        <v>11687.5</v>
      </c>
      <c r="E11" s="9"/>
      <c r="F11" s="57" t="s">
        <v>156</v>
      </c>
    </row>
    <row r="12" spans="1:6" x14ac:dyDescent="0.25">
      <c r="B12" s="56"/>
      <c r="C12" s="47"/>
      <c r="D12" s="136"/>
      <c r="E12" s="9"/>
      <c r="F12" s="57"/>
    </row>
    <row r="13" spans="1:6" x14ac:dyDescent="0.25">
      <c r="B13" s="56" t="s">
        <v>154</v>
      </c>
      <c r="C13" s="47"/>
      <c r="D13" s="27">
        <f>D7+D10+D11</f>
        <v>111571.5</v>
      </c>
      <c r="E13" s="30">
        <f>D13/D6</f>
        <v>0.26252117647058826</v>
      </c>
      <c r="F13" s="57" t="s">
        <v>153</v>
      </c>
    </row>
    <row r="14" spans="1:6" x14ac:dyDescent="0.25">
      <c r="B14" s="56"/>
      <c r="C14" s="50"/>
      <c r="D14" s="9"/>
      <c r="E14" s="9"/>
      <c r="F14" s="57"/>
    </row>
    <row r="15" spans="1:6" x14ac:dyDescent="0.25">
      <c r="B15" s="56"/>
      <c r="C15" s="50"/>
      <c r="D15" s="13" t="s">
        <v>18</v>
      </c>
      <c r="E15" s="13" t="s">
        <v>19</v>
      </c>
      <c r="F15" s="57"/>
    </row>
    <row r="16" spans="1:6" ht="17.25" x14ac:dyDescent="0.25">
      <c r="B16" s="56" t="s">
        <v>96</v>
      </c>
      <c r="C16" s="47" t="s">
        <v>17</v>
      </c>
      <c r="D16" s="91">
        <v>6.7199999999999996E-2</v>
      </c>
      <c r="E16" s="14">
        <f>D16/12</f>
        <v>5.5999999999999999E-3</v>
      </c>
      <c r="F16" s="57" t="s">
        <v>127</v>
      </c>
    </row>
    <row r="17" spans="1:9" ht="17.25" x14ac:dyDescent="0.25">
      <c r="B17" s="56" t="s">
        <v>97</v>
      </c>
      <c r="C17" s="47" t="s">
        <v>17</v>
      </c>
      <c r="D17" s="91">
        <v>5.8500000000000003E-2</v>
      </c>
      <c r="E17" s="14">
        <f>D17/12</f>
        <v>4.875E-3</v>
      </c>
      <c r="F17" s="57" t="s">
        <v>128</v>
      </c>
    </row>
    <row r="18" spans="1:9" ht="17.25" x14ac:dyDescent="0.25">
      <c r="B18" s="56" t="s">
        <v>92</v>
      </c>
      <c r="C18" s="47"/>
      <c r="D18" s="27">
        <f>E18*12</f>
        <v>26381.491595195257</v>
      </c>
      <c r="E18" s="10">
        <f>PMT(E16, 360, $D$8)*-1</f>
        <v>2198.4576329329379</v>
      </c>
      <c r="F18" s="57" t="s">
        <v>129</v>
      </c>
    </row>
    <row r="19" spans="1:9" ht="17.25" x14ac:dyDescent="0.25">
      <c r="B19" s="56" t="s">
        <v>91</v>
      </c>
      <c r="C19" s="47"/>
      <c r="D19" s="27">
        <f>E19*12</f>
        <v>34099.596141584363</v>
      </c>
      <c r="E19" s="10">
        <f>PMT(E17, 180, $D$8)*-1</f>
        <v>2841.6330117986968</v>
      </c>
      <c r="F19" s="57" t="s">
        <v>130</v>
      </c>
      <c r="I19" s="106"/>
    </row>
    <row r="20" spans="1:9" x14ac:dyDescent="0.25">
      <c r="B20" s="56"/>
      <c r="C20" s="8"/>
      <c r="D20" s="8"/>
      <c r="E20" s="8"/>
      <c r="F20" s="57"/>
    </row>
    <row r="21" spans="1:9" ht="17.25" x14ac:dyDescent="0.25">
      <c r="B21" s="56" t="s">
        <v>93</v>
      </c>
      <c r="C21" s="39">
        <f>IF((D7/D6)&lt;0.2, 1, 0)</f>
        <v>0</v>
      </c>
      <c r="D21" s="91">
        <v>0.01</v>
      </c>
      <c r="E21" s="10"/>
      <c r="F21" s="57" t="s">
        <v>126</v>
      </c>
    </row>
    <row r="22" spans="1:9" x14ac:dyDescent="0.25">
      <c r="B22" s="56"/>
      <c r="C22" s="39"/>
      <c r="D22" s="87"/>
      <c r="E22" s="10"/>
      <c r="F22" s="57"/>
    </row>
    <row r="23" spans="1:9" x14ac:dyDescent="0.25">
      <c r="B23" s="56"/>
      <c r="C23" s="47"/>
      <c r="D23" s="13" t="s">
        <v>18</v>
      </c>
      <c r="E23" s="13" t="s">
        <v>19</v>
      </c>
      <c r="F23" s="57"/>
    </row>
    <row r="24" spans="1:9" ht="17.25" x14ac:dyDescent="0.25">
      <c r="B24" s="56" t="s">
        <v>94</v>
      </c>
      <c r="C24" s="39"/>
      <c r="D24" s="14">
        <f>D21*C21</f>
        <v>0</v>
      </c>
      <c r="E24" s="14">
        <f>((1+D24)^(1/12)-1)*C24</f>
        <v>0</v>
      </c>
      <c r="F24" s="57" t="s">
        <v>124</v>
      </c>
    </row>
    <row r="25" spans="1:9" ht="17.25" x14ac:dyDescent="0.25">
      <c r="B25" s="56" t="s">
        <v>95</v>
      </c>
      <c r="C25" s="47"/>
      <c r="D25" s="9">
        <f>D21*D8*C21</f>
        <v>0</v>
      </c>
      <c r="E25" s="9">
        <f>D25/12</f>
        <v>0</v>
      </c>
      <c r="F25" s="57" t="s">
        <v>125</v>
      </c>
    </row>
    <row r="26" spans="1:9" x14ac:dyDescent="0.25">
      <c r="B26" s="56"/>
      <c r="C26" s="6"/>
      <c r="D26" s="25"/>
      <c r="E26" s="14"/>
      <c r="F26" s="57"/>
    </row>
    <row r="27" spans="1:9" ht="18.75" x14ac:dyDescent="0.3">
      <c r="A27" t="s">
        <v>72</v>
      </c>
      <c r="B27" s="58" t="s">
        <v>63</v>
      </c>
      <c r="C27" s="51"/>
      <c r="D27" s="51"/>
      <c r="E27" s="51"/>
      <c r="F27" s="59"/>
    </row>
    <row r="28" spans="1:9" x14ac:dyDescent="0.25">
      <c r="B28" s="54"/>
      <c r="C28" s="49"/>
      <c r="D28" s="49"/>
      <c r="E28" s="49"/>
      <c r="F28" s="55"/>
    </row>
    <row r="29" spans="1:9" ht="17.25" x14ac:dyDescent="0.25">
      <c r="B29" s="56" t="s">
        <v>98</v>
      </c>
      <c r="C29" s="47" t="s">
        <v>16</v>
      </c>
      <c r="D29" s="16">
        <v>2756</v>
      </c>
      <c r="E29" s="10"/>
      <c r="F29" s="57" t="s">
        <v>123</v>
      </c>
    </row>
    <row r="30" spans="1:9" ht="17.25" x14ac:dyDescent="0.25">
      <c r="B30" s="56" t="s">
        <v>99</v>
      </c>
      <c r="C30" s="47" t="s">
        <v>16</v>
      </c>
      <c r="D30" s="16">
        <v>2756</v>
      </c>
      <c r="E30" s="10"/>
      <c r="F30" s="57" t="s">
        <v>121</v>
      </c>
    </row>
    <row r="31" spans="1:9" ht="17.25" x14ac:dyDescent="0.25">
      <c r="B31" s="56" t="s">
        <v>117</v>
      </c>
      <c r="C31" s="47" t="s">
        <v>16</v>
      </c>
      <c r="D31" s="16">
        <v>23</v>
      </c>
      <c r="E31" s="107"/>
      <c r="F31" s="57" t="s">
        <v>122</v>
      </c>
    </row>
    <row r="32" spans="1:9" x14ac:dyDescent="0.25">
      <c r="B32" s="60"/>
      <c r="C32" s="8"/>
      <c r="D32" s="11"/>
      <c r="E32" s="12"/>
      <c r="F32" s="57"/>
    </row>
    <row r="33" spans="1:6" ht="18.75" x14ac:dyDescent="0.3">
      <c r="A33" t="s">
        <v>72</v>
      </c>
      <c r="B33" s="58" t="s">
        <v>23</v>
      </c>
      <c r="C33" s="51"/>
      <c r="D33" s="51"/>
      <c r="E33" s="51"/>
      <c r="F33" s="59"/>
    </row>
    <row r="34" spans="1:6" x14ac:dyDescent="0.25">
      <c r="B34" s="60"/>
      <c r="C34" s="8"/>
      <c r="D34" s="13" t="s">
        <v>18</v>
      </c>
      <c r="E34" s="13" t="s">
        <v>19</v>
      </c>
      <c r="F34" s="57"/>
    </row>
    <row r="35" spans="1:6" ht="17.25" x14ac:dyDescent="0.25">
      <c r="B35" s="56" t="s">
        <v>102</v>
      </c>
      <c r="C35" s="47" t="s">
        <v>17</v>
      </c>
      <c r="D35" s="91">
        <v>2.5000000000000001E-2</v>
      </c>
      <c r="E35" s="14">
        <f t="shared" ref="E35:E36" si="0">(1+D35)^(1/12)-1</f>
        <v>2.0598362698427408E-3</v>
      </c>
      <c r="F35" s="57" t="s">
        <v>135</v>
      </c>
    </row>
    <row r="36" spans="1:6" ht="17.25" x14ac:dyDescent="0.25">
      <c r="B36" s="56" t="s">
        <v>103</v>
      </c>
      <c r="C36" s="47" t="s">
        <v>17</v>
      </c>
      <c r="D36" s="91">
        <v>0.01</v>
      </c>
      <c r="E36" s="14">
        <f t="shared" si="0"/>
        <v>8.295381143461622E-4</v>
      </c>
      <c r="F36" s="57" t="s">
        <v>136</v>
      </c>
    </row>
    <row r="37" spans="1:6" ht="17.25" x14ac:dyDescent="0.25">
      <c r="B37" s="56" t="s">
        <v>104</v>
      </c>
      <c r="C37" s="47" t="s">
        <v>16</v>
      </c>
      <c r="D37" s="108">
        <v>3899</v>
      </c>
      <c r="E37" s="107">
        <f>D37/12</f>
        <v>324.91666666666669</v>
      </c>
      <c r="F37" s="57" t="s">
        <v>137</v>
      </c>
    </row>
    <row r="38" spans="1:6" ht="17.25" x14ac:dyDescent="0.25">
      <c r="B38" s="56" t="s">
        <v>105</v>
      </c>
      <c r="C38" s="47" t="s">
        <v>16</v>
      </c>
      <c r="D38" s="16">
        <v>0</v>
      </c>
      <c r="E38" s="10">
        <f>D38/12</f>
        <v>0</v>
      </c>
      <c r="F38" s="57" t="s">
        <v>138</v>
      </c>
    </row>
    <row r="39" spans="1:6" x14ac:dyDescent="0.25">
      <c r="B39" s="60"/>
      <c r="C39" s="8"/>
      <c r="D39" s="15"/>
      <c r="E39" s="14"/>
      <c r="F39" s="57"/>
    </row>
    <row r="40" spans="1:6" ht="18.75" x14ac:dyDescent="0.3">
      <c r="A40" t="s">
        <v>72</v>
      </c>
      <c r="B40" s="58" t="s">
        <v>151</v>
      </c>
      <c r="C40" s="51"/>
      <c r="D40" s="51"/>
      <c r="E40" s="51"/>
      <c r="F40" s="59"/>
    </row>
    <row r="41" spans="1:6" x14ac:dyDescent="0.25">
      <c r="B41" s="60"/>
      <c r="C41" s="8"/>
      <c r="D41" s="13" t="s">
        <v>18</v>
      </c>
      <c r="E41" s="13" t="s">
        <v>19</v>
      </c>
      <c r="F41" s="57"/>
    </row>
    <row r="42" spans="1:6" ht="17.25" x14ac:dyDescent="0.25">
      <c r="B42" s="56" t="s">
        <v>119</v>
      </c>
      <c r="C42" s="47" t="s">
        <v>17</v>
      </c>
      <c r="D42" s="91">
        <v>8.8800000000000004E-2</v>
      </c>
      <c r="E42" s="14">
        <f>(1+D42)^(1/12)-1</f>
        <v>7.114872315682641E-3</v>
      </c>
      <c r="F42" s="57" t="s">
        <v>139</v>
      </c>
    </row>
    <row r="43" spans="1:6" ht="17.25" x14ac:dyDescent="0.25">
      <c r="B43" s="56" t="s">
        <v>106</v>
      </c>
      <c r="C43" s="47" t="s">
        <v>17</v>
      </c>
      <c r="D43" s="91">
        <v>1.0800000000000001E-2</v>
      </c>
      <c r="E43" s="14">
        <f>(1+D43)^(1/12)-1</f>
        <v>8.9557549945640247E-4</v>
      </c>
      <c r="F43" s="57" t="s">
        <v>140</v>
      </c>
    </row>
    <row r="44" spans="1:6" ht="17.25" x14ac:dyDescent="0.25">
      <c r="B44" s="56" t="s">
        <v>101</v>
      </c>
      <c r="C44" s="47" t="s">
        <v>17</v>
      </c>
      <c r="D44" s="92">
        <v>0.15</v>
      </c>
      <c r="E44" s="26" t="s">
        <v>65</v>
      </c>
      <c r="F44" s="57" t="s">
        <v>141</v>
      </c>
    </row>
    <row r="45" spans="1:6" ht="17.25" x14ac:dyDescent="0.25">
      <c r="B45" s="56" t="s">
        <v>120</v>
      </c>
      <c r="C45" s="47" t="s">
        <v>17</v>
      </c>
      <c r="D45" s="133">
        <f>D42-(D43*D44)</f>
        <v>8.7180000000000007E-2</v>
      </c>
      <c r="E45" s="14">
        <f>(1+D45)^(1/12)-1</f>
        <v>6.9899151946608562E-3</v>
      </c>
      <c r="F45" s="57" t="s">
        <v>142</v>
      </c>
    </row>
    <row r="46" spans="1:6" ht="17.25" x14ac:dyDescent="0.25">
      <c r="B46" s="56" t="s">
        <v>107</v>
      </c>
      <c r="C46" s="47" t="s">
        <v>17</v>
      </c>
      <c r="D46" s="91">
        <v>4.0000000000000002E-4</v>
      </c>
      <c r="E46" s="48">
        <f t="shared" ref="E46" si="1">(1+D46)^(1/12)-1</f>
        <v>3.3327223783574667E-5</v>
      </c>
      <c r="F46" s="57" t="s">
        <v>143</v>
      </c>
    </row>
    <row r="47" spans="1:6" x14ac:dyDescent="0.25">
      <c r="B47" s="56"/>
      <c r="C47" s="47"/>
      <c r="D47" s="116"/>
      <c r="E47" s="48"/>
      <c r="F47" s="57"/>
    </row>
    <row r="48" spans="1:6" ht="18.75" x14ac:dyDescent="0.3">
      <c r="A48" t="s">
        <v>72</v>
      </c>
      <c r="B48" s="58" t="s">
        <v>114</v>
      </c>
      <c r="C48" s="112"/>
      <c r="D48" s="113"/>
      <c r="E48" s="114"/>
      <c r="F48" s="115"/>
    </row>
    <row r="49" spans="2:8" x14ac:dyDescent="0.25">
      <c r="B49" s="56"/>
      <c r="C49" s="47"/>
      <c r="D49" s="116"/>
      <c r="E49" s="48"/>
      <c r="F49" s="57"/>
    </row>
    <row r="50" spans="2:8" x14ac:dyDescent="0.25">
      <c r="B50" s="56"/>
      <c r="C50" s="47"/>
      <c r="D50" s="13" t="s">
        <v>18</v>
      </c>
      <c r="E50" s="13" t="s">
        <v>19</v>
      </c>
      <c r="F50" s="57"/>
    </row>
    <row r="51" spans="2:8" ht="17.25" x14ac:dyDescent="0.25">
      <c r="B51" s="56" t="s">
        <v>108</v>
      </c>
      <c r="C51" s="47" t="s">
        <v>17</v>
      </c>
      <c r="D51" s="91">
        <v>0.05</v>
      </c>
      <c r="E51" s="14">
        <f>(1+D51)^(1/12)-1</f>
        <v>4.0741237836483535E-3</v>
      </c>
      <c r="F51" s="57" t="s">
        <v>144</v>
      </c>
    </row>
    <row r="52" spans="2:8" ht="17.25" x14ac:dyDescent="0.25">
      <c r="B52" s="56" t="s">
        <v>109</v>
      </c>
      <c r="C52" s="47" t="s">
        <v>17</v>
      </c>
      <c r="D52" s="91">
        <v>3.7400000000000003E-2</v>
      </c>
      <c r="E52" s="14">
        <f t="shared" ref="E52" si="2">(1+D52)^(1/12)-1</f>
        <v>3.0644845397465037E-3</v>
      </c>
      <c r="F52" s="57" t="s">
        <v>145</v>
      </c>
    </row>
    <row r="53" spans="2:8" x14ac:dyDescent="0.25">
      <c r="B53" s="60"/>
      <c r="C53" s="8"/>
      <c r="D53" s="8"/>
      <c r="E53" s="15"/>
      <c r="F53" s="44"/>
    </row>
    <row r="54" spans="2:8" s="188" customFormat="1" ht="12.75" customHeight="1" x14ac:dyDescent="0.2">
      <c r="B54" s="179" t="s">
        <v>100</v>
      </c>
      <c r="C54" s="180"/>
      <c r="D54" s="180"/>
      <c r="E54" s="181"/>
      <c r="F54" s="182"/>
    </row>
    <row r="55" spans="2:8" s="188" customFormat="1" ht="12.75" customHeight="1" x14ac:dyDescent="0.2">
      <c r="B55" s="183" t="s">
        <v>180</v>
      </c>
      <c r="C55" s="189"/>
      <c r="D55" s="189"/>
      <c r="E55" s="184"/>
      <c r="F55" s="185" t="s">
        <v>183</v>
      </c>
    </row>
    <row r="56" spans="2:8" s="188" customFormat="1" ht="12.75" customHeight="1" x14ac:dyDescent="0.2">
      <c r="B56" s="183" t="s">
        <v>181</v>
      </c>
      <c r="C56" s="189"/>
      <c r="D56" s="189"/>
      <c r="E56" s="184"/>
      <c r="F56" s="185" t="s">
        <v>186</v>
      </c>
    </row>
    <row r="57" spans="2:8" s="188" customFormat="1" ht="12.75" customHeight="1" x14ac:dyDescent="0.2">
      <c r="B57" s="183" t="s">
        <v>187</v>
      </c>
      <c r="C57" s="189"/>
      <c r="D57" s="189"/>
      <c r="E57" s="184"/>
      <c r="F57" s="185" t="s">
        <v>184</v>
      </c>
    </row>
    <row r="58" spans="2:8" s="188" customFormat="1" ht="12.75" customHeight="1" x14ac:dyDescent="0.2">
      <c r="B58" s="183" t="s">
        <v>182</v>
      </c>
      <c r="C58" s="189"/>
      <c r="D58" s="189"/>
      <c r="E58" s="184"/>
      <c r="F58" s="190" t="s">
        <v>185</v>
      </c>
    </row>
    <row r="59" spans="2:8" s="188" customFormat="1" ht="12.75" customHeight="1" x14ac:dyDescent="0.2">
      <c r="B59" s="186"/>
      <c r="C59" s="187"/>
      <c r="D59" s="187"/>
      <c r="E59" s="187"/>
      <c r="F59" s="191"/>
    </row>
    <row r="60" spans="2:8" s="188" customFormat="1" ht="12.75" customHeight="1" x14ac:dyDescent="0.25">
      <c r="B60"/>
      <c r="C60"/>
      <c r="D60"/>
      <c r="E60"/>
      <c r="F60"/>
      <c r="G60"/>
      <c r="H60"/>
    </row>
    <row r="61" spans="2:8" s="188" customFormat="1" ht="12.75" customHeight="1" x14ac:dyDescent="0.25">
      <c r="B61"/>
      <c r="C61"/>
      <c r="D61"/>
      <c r="E61"/>
      <c r="F61"/>
      <c r="G61"/>
      <c r="H61"/>
    </row>
  </sheetData>
  <sheetProtection algorithmName="SHA-512" hashValue="JVHTN6EcCiarMd7I9MLbUAx93W4LZfa4w2ae10dzHfzt/xa9q5SipjpAx1j0u1mHqNkB4jEoI+AkmrOwhK2jjQ==" saltValue="RjNE411FP51bMtfxtY41kg==" spinCount="100000" sheet="1" objects="1" scenarios="1"/>
  <dataValidations count="26">
    <dataValidation type="whole" allowBlank="1" showErrorMessage="1" errorTitle="Invalid Entry" error="Enter a dollar value between $1 and $100,000,000" promptTitle="Purchase Price" prompt="Enter a whole dollar value between $1 and $100,000,000" sqref="D6" xr:uid="{04A52440-D2EA-4203-9F49-D4E58680E22D}">
      <formula1>1</formula1>
      <formula2>100000000</formula2>
    </dataValidation>
    <dataValidation type="custom" allowBlank="1" showInputMessage="1" showErrorMessage="1" errorTitle="Invalid Entry" error="Enter a dollar value between 0 and 50% of the Purchase Price." sqref="D7" xr:uid="{5AEBE428-6245-488E-9B93-57320B73115A}">
      <formula1>AND(D7&gt;=0, D7&lt;=D6*0.5)</formula1>
    </dataValidation>
    <dataValidation type="custom" allowBlank="1" showErrorMessage="1" errorTitle="Invalid Entry" error="Enter a percentage value between 0 and 20%." sqref="D16:D17" xr:uid="{3E2B0FFC-3565-43EE-8EE1-58EA848DE7BD}">
      <formula1>AND(D16&gt;=0, D16&lt;=0.2)</formula1>
    </dataValidation>
    <dataValidation type="custom" allowBlank="1" showErrorMessage="1" errorTitle="Invalid Entry" error="Enter a value between 0 and 2%." sqref="D24 D22" xr:uid="{D0161917-DA30-4204-A437-6626772CBBC5}">
      <formula1>AND(D22&gt;=0, D22&lt;=0.02)</formula1>
    </dataValidation>
    <dataValidation type="custom" allowBlank="1" showInputMessage="1" showErrorMessage="1" errorTitle="Invalid Entry" error="Enter a dollar value between $0 and 1.5x the highest monthly mortgage payment." sqref="D29" xr:uid="{D4F2F5A8-E3D9-41A1-9798-8FF16D1DD2C3}">
      <formula1>AND(D29&gt;=0, D29&lt;=MAX(E18:E19) * 1.5)</formula1>
    </dataValidation>
    <dataValidation type="custom" allowBlank="1" showErrorMessage="1" errorTitle="Invalid Entry" error="Enter a percentage value between -10 and 25%." sqref="D52" xr:uid="{AFDCA69E-E962-43DE-BBC9-02D4616B5ECA}">
      <formula1>AND(D52&gt;=-0.1, D52&lt;=0.25)</formula1>
    </dataValidation>
    <dataValidation type="custom" allowBlank="1" showErrorMessage="1" errorTitle="Invalid Entry" error="Enter a value between 0 and 5%." sqref="D52 D47:D50" xr:uid="{207C0AAD-2609-4EA5-9816-A130D42F442D}">
      <formula1>AND(D47&gt;=0,D47&lt;=0.05)</formula1>
    </dataValidation>
    <dataValidation type="custom" allowBlank="1" showInputMessage="1" showErrorMessage="1" errorTitle="Invalid Entry" error="Enter a percentage value between 0 and 5%." sqref="D35:D36" xr:uid="{62E52B26-CC4C-4AEB-AD68-6E98CF372FC4}">
      <formula1>AND(D35&gt;=0, D35&lt;=0.05)</formula1>
    </dataValidation>
    <dataValidation type="custom" allowBlank="1" showInputMessage="1" showErrorMessage="1" errorTitle="Invalid Entry" error="Enter a dollar value between $0 and 5% of the home Purchase Price." sqref="D37" xr:uid="{EBACA46D-352E-4B69-AD68-7F9F453776C7}">
      <formula1>AND(D37&gt;=0, D37&lt;=(D6*0.05))</formula1>
    </dataValidation>
    <dataValidation type="custom" allowBlank="1" showInputMessage="1" showErrorMessage="1" errorTitle="Invalid Entry" error="Enter a percentage value between -10 and 25%." sqref="D51" xr:uid="{F12388BA-B685-4B49-9D7D-E468E9130FC4}">
      <formula1>AND(D51&gt;=-0.1,D51&lt;=0.25)</formula1>
    </dataValidation>
    <dataValidation type="custom" allowBlank="1" showInputMessage="1" showErrorMessage="1" errorTitle="Invalid Entry" error="Enter a dollar value between 0 and 250% of the Initial Rent Price." sqref="D30" xr:uid="{D98CD0C5-8238-45E6-9A95-44CB7BC9C377}">
      <formula1>AND(D30&gt;=0, D30&lt;=D29*2.5)</formula1>
    </dataValidation>
    <dataValidation type="custom" allowBlank="1" showErrorMessage="1" errorTitle="Invalid Entry" error="Enter a value between 0 and 100%." sqref="D44:D45" xr:uid="{A1B0BA86-5D7E-4926-98C4-CB11FA3281C4}">
      <formula1>AND(D44&gt;=0, D44&lt;=1)</formula1>
    </dataValidation>
    <dataValidation type="custom" allowBlank="1" showInputMessage="1" showErrorMessage="1" errorTitle="Invalid Entry" error="Enter a dollar value between $0 and 5% of the home Purchase Price." sqref="D38" xr:uid="{C0EA45BE-A6D6-4F7E-B783-752A8F20DFEE}">
      <formula1>AND(D38&gt;=0, D38&lt;(D6*0.05))</formula1>
    </dataValidation>
    <dataValidation type="custom" allowBlank="1" showErrorMessage="1" errorTitle="Invalid Entry" error="Enter a dollar value between $0 and 5% of the Initial Rent Price." sqref="D31" xr:uid="{8D183088-A1B5-440A-B727-2DDA2FC1EDD0}">
      <formula1>AND(D31&gt;=0, D31&lt;=(D29*0.05))</formula1>
    </dataValidation>
    <dataValidation type="custom" allowBlank="1" showErrorMessage="1" errorTitle="Invalid Entry" error="Enter a dollar value between $0 and 10% of the Purchase Price." promptTitle="Purchase Price" prompt="Enter a whole dollar value between $1 and $100,000,000" sqref="D12" xr:uid="{4586ED72-0531-4D91-96E8-3FAD1B9D1AD0}">
      <formula1>"&lt;=(D4*0.1)"</formula1>
    </dataValidation>
    <dataValidation type="custom" allowBlank="1" showErrorMessage="1" errorTitle="Invalid Entry" error="Enter a value between 0 and 25%." sqref="D45" xr:uid="{9082B476-EF90-470E-A0B2-448827334374}">
      <formula1>AND(D45&gt;=0, D45&lt;=0.25)</formula1>
    </dataValidation>
    <dataValidation allowBlank="1" showErrorMessage="1" errorTitle="Invalid Entry" error="Enter a value between 0 and 25%." sqref="D45" xr:uid="{5E2ED494-E61F-45D1-8780-C11D971D0DCF}"/>
    <dataValidation type="custom" allowBlank="1" showInputMessage="1" showErrorMessage="1" errorTitle="Invalid Entry" error="Enter a percentage value between -10 and 25%." sqref="D42" xr:uid="{F4B46C2F-E682-4645-AB48-F79D542DF3DB}">
      <formula1>AND(D42&gt;=-0.1, D42&lt;=0.25)</formula1>
    </dataValidation>
    <dataValidation type="custom" allowBlank="1" showErrorMessage="1" errorTitle="Invalid Entry" error="Enter a percentage value between 0 and 25% of the pre-tax portfolio return." sqref="D43" xr:uid="{F817E19C-12AD-4AC5-8AE9-928ED8F9F411}">
      <formula1>AND(D43&gt;=(D42*0), D43&lt;=(D42*0.25))</formula1>
    </dataValidation>
    <dataValidation type="custom" allowBlank="1" showErrorMessage="1" errorTitle="Invalid Entry" error="Enter a value between 0 and 25%." sqref="D51" xr:uid="{65AFAB4B-1BDE-47AA-8265-DDAC9E1DFE26}">
      <formula1>AND(D51&gt;=0,D51&lt;=0.25)</formula1>
    </dataValidation>
    <dataValidation type="custom" allowBlank="1" showErrorMessage="1" errorTitle="Invalid Entry" error="Enter a percentage value between 0 and 5%." sqref="D46" xr:uid="{DDA0823F-057C-4CE2-80AE-FF34197BA548}">
      <formula1>AND(D46&gt;=0,D46&lt;=0.05)</formula1>
    </dataValidation>
    <dataValidation type="custom" allowBlank="1" showErrorMessage="1" errorTitle="Invalid Entry" error="Enter a percentage value between 0 and 100%." sqref="D44" xr:uid="{2F961A07-F82F-42CC-A555-F84121271166}">
      <formula1>AND(D44&gt;=0, D44&lt;=1)</formula1>
    </dataValidation>
    <dataValidation type="custom" allowBlank="1" showErrorMessage="1" errorTitle="Invalid Entry" error="Enter a percentage value between 0 and 2%." sqref="D21" xr:uid="{E34F5EDA-094D-4A47-B64E-9E393A196C59}">
      <formula1>AND(D21&gt;=0, D21&lt;=0.02)</formula1>
    </dataValidation>
    <dataValidation allowBlank="1" showErrorMessage="1" errorTitle="Invalid Entry" error="Enter a dollar value between $0 and 10% of the Purchase Price." promptTitle="Purchase Price" prompt="Enter a whole dollar value between $1 and $100,000,000" sqref="D13" xr:uid="{9B0B52CE-3ED6-4660-B66C-3D87328D10E3}"/>
    <dataValidation type="custom" allowBlank="1" showErrorMessage="1" errorTitle="Invalid Entry" error="Enter a dollar value between $0 and 10% of the Purchase Price." promptTitle="Purchase Price" prompt="Enter a whole dollar value between $1 and $100,000,000" sqref="D11" xr:uid="{62E96DF6-104D-46BF-8C53-64B2472EA08D}">
      <formula1>AND(D11&gt;=0,  D11&lt;=(D6*0.1))</formula1>
    </dataValidation>
    <dataValidation type="custom" allowBlank="1" showErrorMessage="1" errorTitle="Invalid Entry" error="Enter a dollar value between $0 and 10% of the Purchase Price." promptTitle="Purchase Price" prompt="Enter a whole dollar value between $1 and $100,000,000" sqref="D10" xr:uid="{6696B065-895E-421E-A337-6D63155071AE}">
      <formula1>AND(D10&gt;=0, D10&lt;=(D6*0.1))</formula1>
    </dataValidation>
  </dataValidations>
  <printOptions horizontalCentered="1"/>
  <pageMargins left="0.25" right="0.25" top="0.75" bottom="0.75" header="0.3" footer="0.3"/>
  <pageSetup scale="75" orientation="portrait" r:id="rId1"/>
  <headerFooter>
    <oddHeader>&amp;L&amp;A&amp;CRent vs. Purchase of a Home&amp;R&amp;D, &amp;T</oddHeader>
    <oddFooter>&amp;L© Copyright 2025 Nicholas A. Beaver. All rights reserved.&amp;CPage &amp;P of &amp;N&amp;Rwww.nicholasabeaver.com</oddFooter>
  </headerFooter>
  <ignoredErrors>
    <ignoredError sqref="D18:D19 D45 D13"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9ECC3-97D4-4484-BA9C-16A5891EAF29}">
  <sheetPr>
    <tabColor theme="8" tint="-0.249977111117893"/>
    <pageSetUpPr fitToPage="1"/>
  </sheetPr>
  <dimension ref="A2:O124"/>
  <sheetViews>
    <sheetView showGridLines="0" showRowColHeaders="0" zoomScaleNormal="100" workbookViewId="0"/>
  </sheetViews>
  <sheetFormatPr defaultRowHeight="15" outlineLevelRow="1" x14ac:dyDescent="0.25"/>
  <cols>
    <col min="2" max="2" width="18.140625" customWidth="1"/>
    <col min="3" max="3" width="12.85546875" customWidth="1"/>
    <col min="4" max="4" width="15.140625" bestFit="1" customWidth="1"/>
    <col min="5" max="5" width="13.85546875" customWidth="1"/>
    <col min="6" max="6" width="15" bestFit="1" customWidth="1"/>
    <col min="7" max="15" width="12.85546875" customWidth="1"/>
    <col min="17" max="17" width="18" bestFit="1" customWidth="1"/>
    <col min="18" max="21" width="15" customWidth="1"/>
  </cols>
  <sheetData>
    <row r="2" spans="1:15" x14ac:dyDescent="0.25">
      <c r="A2" t="s">
        <v>72</v>
      </c>
      <c r="B2" s="89" t="s">
        <v>113</v>
      </c>
      <c r="C2" s="90"/>
      <c r="D2" s="93">
        <v>31</v>
      </c>
      <c r="E2" s="94" t="s">
        <v>146</v>
      </c>
      <c r="F2" s="94"/>
      <c r="G2" s="94"/>
      <c r="H2" s="94"/>
      <c r="I2" s="94"/>
      <c r="J2" s="94"/>
      <c r="K2" s="94"/>
      <c r="L2" s="94"/>
      <c r="M2" s="94"/>
      <c r="N2" s="94"/>
      <c r="O2" s="126"/>
    </row>
    <row r="4" spans="1:15" ht="18.75" x14ac:dyDescent="0.3">
      <c r="A4" t="s">
        <v>72</v>
      </c>
      <c r="B4" s="41" t="str">
        <f>"COMPARISON OF NET WORTH BY MODEL (ENDING YEAR "&amp;D2&amp;")"</f>
        <v>COMPARISON OF NET WORTH BY MODEL (ENDING YEAR 31)</v>
      </c>
      <c r="C4" s="42"/>
      <c r="D4" s="42"/>
      <c r="E4" s="42"/>
      <c r="F4" s="42"/>
      <c r="G4" s="42"/>
      <c r="H4" s="42"/>
      <c r="I4" s="42"/>
      <c r="J4" s="42"/>
      <c r="K4" s="42"/>
      <c r="L4" s="42"/>
      <c r="M4" s="42"/>
      <c r="N4" s="42"/>
      <c r="O4" s="43"/>
    </row>
    <row r="5" spans="1:15" outlineLevel="1" x14ac:dyDescent="0.25">
      <c r="B5" s="60"/>
      <c r="C5" s="8"/>
      <c r="D5" s="8"/>
      <c r="E5" s="8"/>
      <c r="F5" s="8"/>
      <c r="G5" s="8"/>
      <c r="H5" s="8"/>
      <c r="I5" s="8"/>
      <c r="J5" s="8"/>
      <c r="K5" s="8"/>
      <c r="L5" s="8"/>
      <c r="M5" s="8"/>
      <c r="N5" s="8"/>
      <c r="O5" s="44"/>
    </row>
    <row r="6" spans="1:15" ht="15" customHeight="1" outlineLevel="1" x14ac:dyDescent="0.25">
      <c r="B6" s="56"/>
      <c r="C6" s="8"/>
      <c r="D6" s="8"/>
      <c r="E6" s="196" t="s">
        <v>64</v>
      </c>
      <c r="F6" s="8"/>
      <c r="G6" s="8"/>
      <c r="H6" s="8"/>
      <c r="I6" s="8"/>
      <c r="J6" s="8"/>
      <c r="K6" s="8"/>
      <c r="L6" s="8"/>
      <c r="M6" s="8"/>
      <c r="N6" s="8"/>
      <c r="O6" s="44"/>
    </row>
    <row r="7" spans="1:15" ht="15" customHeight="1" outlineLevel="1" x14ac:dyDescent="0.25">
      <c r="B7" s="64" t="s">
        <v>12</v>
      </c>
      <c r="C7" s="35" t="s">
        <v>6</v>
      </c>
      <c r="D7" s="35" t="s">
        <v>13</v>
      </c>
      <c r="E7" s="197"/>
      <c r="F7" s="35" t="s">
        <v>14</v>
      </c>
      <c r="G7" s="8"/>
      <c r="H7" s="8"/>
      <c r="I7" s="8"/>
      <c r="J7" s="8"/>
      <c r="K7" s="8"/>
      <c r="L7" s="8"/>
      <c r="M7" s="8"/>
      <c r="N7" s="8"/>
      <c r="O7" s="44"/>
    </row>
    <row r="8" spans="1:15" outlineLevel="1" x14ac:dyDescent="0.25">
      <c r="B8" s="56" t="s">
        <v>32</v>
      </c>
      <c r="C8" s="9">
        <f>_xlfn.XLOOKUP($D$2, Model_30y!$B:$B,Model_30y!$K:$K, 0, 0, -1)</f>
        <v>1928666.7849110186</v>
      </c>
      <c r="D8" s="9">
        <f>_xlfn.XLOOKUP($D$2,Model_30y!$B:$B, Model_30y!$AG:$AG, 0, 0, -1)</f>
        <v>1508366.1741932738</v>
      </c>
      <c r="E8" s="9">
        <v>0</v>
      </c>
      <c r="F8" s="65">
        <f>SUM(C8:E8)</f>
        <v>3437032.9591042921</v>
      </c>
      <c r="G8" s="8"/>
      <c r="H8" s="8"/>
      <c r="I8" s="8"/>
      <c r="J8" s="8"/>
      <c r="K8" s="8"/>
      <c r="L8" s="8"/>
      <c r="M8" s="8"/>
      <c r="N8" s="8"/>
      <c r="O8" s="44"/>
    </row>
    <row r="9" spans="1:15" outlineLevel="1" x14ac:dyDescent="0.25">
      <c r="B9" s="56" t="s">
        <v>30</v>
      </c>
      <c r="C9" s="9">
        <f>_xlfn.XLOOKUP($D$2, Model_15y!$B:$B,Model_15y!$K:$K, 0, 0, -1)</f>
        <v>1928666.7849110183</v>
      </c>
      <c r="D9" s="9">
        <f>_xlfn.XLOOKUP($D$2,Model_15y!$B:$B, Model_15y!$AG:$AG, 0, 0, -1)</f>
        <v>1336262.1298430117</v>
      </c>
      <c r="E9" s="9">
        <v>0</v>
      </c>
      <c r="F9" s="65">
        <f t="shared" ref="F9:F10" si="0">SUM(C9:E9)</f>
        <v>3264928.9147540303</v>
      </c>
      <c r="G9" s="8"/>
      <c r="H9" s="8"/>
      <c r="I9" s="8"/>
      <c r="J9" s="8"/>
      <c r="K9" s="8"/>
      <c r="L9" s="8"/>
      <c r="M9" s="8"/>
      <c r="N9" s="8"/>
      <c r="O9" s="44"/>
    </row>
    <row r="10" spans="1:15" outlineLevel="1" x14ac:dyDescent="0.25">
      <c r="B10" s="56" t="s">
        <v>31</v>
      </c>
      <c r="C10" s="9">
        <v>0</v>
      </c>
      <c r="D10" s="9">
        <f>_xlfn.XLOOKUP($D$2, Model_Renter!$B:$B, Model_Renter!$N:$N, 0, 0, -1)</f>
        <v>3836027.6370834443</v>
      </c>
      <c r="E10" s="9">
        <f>Assumptions!$D$30</f>
        <v>2756</v>
      </c>
      <c r="F10" s="65">
        <f t="shared" si="0"/>
        <v>3838783.6370834443</v>
      </c>
      <c r="G10" s="6"/>
      <c r="H10" s="8"/>
      <c r="I10" s="8"/>
      <c r="J10" s="8"/>
      <c r="K10" s="8"/>
      <c r="L10" s="8"/>
      <c r="M10" s="8"/>
      <c r="N10" s="8"/>
      <c r="O10" s="44"/>
    </row>
    <row r="11" spans="1:15" outlineLevel="1" x14ac:dyDescent="0.25">
      <c r="B11" s="56"/>
      <c r="C11" s="9"/>
      <c r="D11" s="9"/>
      <c r="E11" s="9"/>
      <c r="F11" s="65"/>
      <c r="G11" s="8"/>
      <c r="H11" s="8"/>
      <c r="I11" s="8"/>
      <c r="J11" s="8"/>
      <c r="K11" s="8"/>
      <c r="L11" s="8"/>
      <c r="M11" s="8"/>
      <c r="N11" s="8"/>
      <c r="O11" s="44"/>
    </row>
    <row r="12" spans="1:15" outlineLevel="1" x14ac:dyDescent="0.25">
      <c r="B12" s="64"/>
      <c r="C12" s="28"/>
      <c r="D12" s="8"/>
      <c r="E12" s="8"/>
      <c r="F12" s="8"/>
      <c r="G12" s="8"/>
      <c r="H12" s="8"/>
      <c r="I12" s="8"/>
      <c r="J12" s="8"/>
      <c r="K12" s="8"/>
      <c r="L12" s="8"/>
      <c r="M12" s="8"/>
      <c r="N12" s="8"/>
      <c r="O12" s="44"/>
    </row>
    <row r="13" spans="1:15" outlineLevel="1" x14ac:dyDescent="0.25">
      <c r="B13" s="56"/>
      <c r="C13" s="30"/>
      <c r="D13" s="8"/>
      <c r="E13" s="8"/>
      <c r="F13" s="8"/>
      <c r="G13" s="8"/>
      <c r="H13" s="8"/>
      <c r="I13" s="8"/>
      <c r="J13" s="8"/>
      <c r="K13" s="8"/>
      <c r="L13" s="8"/>
      <c r="M13" s="8"/>
      <c r="N13" s="8"/>
      <c r="O13" s="44"/>
    </row>
    <row r="14" spans="1:15" outlineLevel="1" x14ac:dyDescent="0.25">
      <c r="B14" s="56"/>
      <c r="C14" s="30"/>
      <c r="D14" s="8"/>
      <c r="E14" s="8"/>
      <c r="F14" s="8"/>
      <c r="G14" s="8"/>
      <c r="H14" s="8"/>
      <c r="I14" s="8"/>
      <c r="J14" s="8"/>
      <c r="K14" s="8"/>
      <c r="L14" s="8"/>
      <c r="M14" s="8"/>
      <c r="N14" s="8"/>
      <c r="O14" s="44"/>
    </row>
    <row r="15" spans="1:15" outlineLevel="1" x14ac:dyDescent="0.25">
      <c r="B15" s="56"/>
      <c r="C15" s="30"/>
      <c r="D15" s="8"/>
      <c r="E15" s="8"/>
      <c r="F15" s="8"/>
      <c r="G15" s="8"/>
      <c r="H15" s="8"/>
      <c r="I15" s="8"/>
      <c r="J15" s="8"/>
      <c r="K15" s="8"/>
      <c r="L15" s="8"/>
      <c r="M15" s="8"/>
      <c r="N15" s="8"/>
      <c r="O15" s="44"/>
    </row>
    <row r="16" spans="1:15" outlineLevel="1" x14ac:dyDescent="0.25">
      <c r="B16" s="56"/>
      <c r="C16" s="30"/>
      <c r="D16" s="8"/>
      <c r="E16" s="8"/>
      <c r="F16" s="8"/>
      <c r="G16" s="8"/>
      <c r="H16" s="8"/>
      <c r="I16" s="8"/>
      <c r="J16" s="8"/>
      <c r="K16" s="8"/>
      <c r="L16" s="8"/>
      <c r="M16" s="8"/>
      <c r="N16" s="8"/>
      <c r="O16" s="44"/>
    </row>
    <row r="17" spans="1:15" outlineLevel="1" x14ac:dyDescent="0.25">
      <c r="B17" s="60"/>
      <c r="C17" s="8"/>
      <c r="D17" s="8"/>
      <c r="E17" s="8"/>
      <c r="F17" s="8"/>
      <c r="G17" s="8"/>
      <c r="H17" s="8"/>
      <c r="I17" s="8"/>
      <c r="J17" s="8"/>
      <c r="K17" s="8"/>
      <c r="L17" s="8"/>
      <c r="M17" s="8"/>
      <c r="N17" s="8"/>
      <c r="O17" s="44"/>
    </row>
    <row r="18" spans="1:15" outlineLevel="1" x14ac:dyDescent="0.25">
      <c r="B18" s="60"/>
      <c r="C18" s="8"/>
      <c r="D18" s="8"/>
      <c r="E18" s="8"/>
      <c r="F18" s="8"/>
      <c r="G18" s="8"/>
      <c r="H18" s="8"/>
      <c r="I18" s="8"/>
      <c r="J18" s="8"/>
      <c r="K18" s="8"/>
      <c r="L18" s="8"/>
      <c r="M18" s="8"/>
      <c r="N18" s="8"/>
      <c r="O18" s="44"/>
    </row>
    <row r="19" spans="1:15" outlineLevel="1" x14ac:dyDescent="0.25">
      <c r="B19" s="60"/>
      <c r="C19" s="8"/>
      <c r="D19" s="8"/>
      <c r="E19" s="8"/>
      <c r="F19" s="8"/>
      <c r="G19" s="8"/>
      <c r="H19" s="8"/>
      <c r="I19" s="8"/>
      <c r="J19" s="8"/>
      <c r="K19" s="8"/>
      <c r="L19" s="8"/>
      <c r="M19" s="8"/>
      <c r="N19" s="8"/>
      <c r="O19" s="44"/>
    </row>
    <row r="20" spans="1:15" outlineLevel="1" x14ac:dyDescent="0.25">
      <c r="B20" s="60"/>
      <c r="C20" s="8"/>
      <c r="D20" s="8"/>
      <c r="E20" s="8"/>
      <c r="F20" s="8"/>
      <c r="G20" s="8"/>
      <c r="H20" s="8"/>
      <c r="I20" s="8"/>
      <c r="J20" s="8"/>
      <c r="K20" s="8"/>
      <c r="L20" s="8"/>
      <c r="M20" s="8"/>
      <c r="N20" s="8"/>
      <c r="O20" s="44"/>
    </row>
    <row r="21" spans="1:15" outlineLevel="1" x14ac:dyDescent="0.25">
      <c r="B21" s="61"/>
      <c r="C21" s="45"/>
      <c r="D21" s="45"/>
      <c r="E21" s="45"/>
      <c r="F21" s="45"/>
      <c r="G21" s="45"/>
      <c r="H21" s="45"/>
      <c r="I21" s="45"/>
      <c r="J21" s="45"/>
      <c r="K21" s="45"/>
      <c r="L21" s="45"/>
      <c r="M21" s="45"/>
      <c r="N21" s="45"/>
      <c r="O21" s="46"/>
    </row>
    <row r="23" spans="1:15" ht="18.75" x14ac:dyDescent="0.3">
      <c r="A23" t="s">
        <v>72</v>
      </c>
      <c r="B23" s="41" t="str">
        <f>"NET WORTH OVER TIME BY MODEL (ENDING YEAR "&amp;D2&amp;")"</f>
        <v>NET WORTH OVER TIME BY MODEL (ENDING YEAR 31)</v>
      </c>
      <c r="C23" s="42"/>
      <c r="D23" s="42"/>
      <c r="E23" s="42"/>
      <c r="F23" s="42"/>
      <c r="G23" s="42"/>
      <c r="H23" s="42"/>
      <c r="I23" s="42"/>
      <c r="J23" s="42"/>
      <c r="K23" s="42"/>
      <c r="L23" s="42"/>
      <c r="M23" s="42"/>
      <c r="N23" s="42"/>
      <c r="O23" s="43"/>
    </row>
    <row r="24" spans="1:15" outlineLevel="1" x14ac:dyDescent="0.25">
      <c r="B24" s="60"/>
      <c r="C24" s="8"/>
      <c r="D24" s="8"/>
      <c r="E24" s="8"/>
      <c r="F24" s="8"/>
      <c r="G24" s="8"/>
      <c r="H24" s="8"/>
      <c r="I24" s="8"/>
      <c r="J24" s="8"/>
      <c r="K24" s="8"/>
      <c r="L24" s="8"/>
      <c r="M24" s="8"/>
      <c r="N24" s="8"/>
      <c r="O24" s="44"/>
    </row>
    <row r="25" spans="1:15" outlineLevel="1" x14ac:dyDescent="0.25">
      <c r="B25" s="60"/>
      <c r="C25" s="66" t="s">
        <v>0</v>
      </c>
      <c r="D25" s="67"/>
      <c r="E25" s="67"/>
      <c r="F25" s="67"/>
      <c r="G25" s="67"/>
      <c r="H25" s="8"/>
      <c r="I25" s="8"/>
      <c r="J25" s="8"/>
      <c r="K25" s="8"/>
      <c r="L25" s="8"/>
      <c r="M25" s="8"/>
      <c r="N25" s="8"/>
      <c r="O25" s="44"/>
    </row>
    <row r="26" spans="1:15" outlineLevel="1" x14ac:dyDescent="0.25">
      <c r="B26" s="64" t="s">
        <v>12</v>
      </c>
      <c r="C26" s="35">
        <f>IF($D$2=0, 0, 1)</f>
        <v>1</v>
      </c>
      <c r="D26" s="35">
        <f>ROUNDUP($D$2*(1/3), 0)</f>
        <v>11</v>
      </c>
      <c r="E26" s="35">
        <f>ROUNDUP($D$2*(2/3), 0)</f>
        <v>21</v>
      </c>
      <c r="F26" s="35">
        <f>ROUNDUP($D$2, 0)</f>
        <v>31</v>
      </c>
      <c r="G26" s="28"/>
      <c r="H26" s="8"/>
      <c r="I26" s="8"/>
      <c r="J26" s="8"/>
      <c r="K26" s="8"/>
      <c r="L26" s="8"/>
      <c r="M26" s="8"/>
      <c r="N26" s="8"/>
      <c r="O26" s="44"/>
    </row>
    <row r="27" spans="1:15" outlineLevel="1" x14ac:dyDescent="0.25">
      <c r="B27" s="56" t="s">
        <v>32</v>
      </c>
      <c r="C27" s="9" cm="1">
        <f t="array" ref="C27">INDEX(Net_Worth_Calculations!$C$2:$F$542,_xlfn.XMATCH(C$26,Net_Worth_Calculations!$B$2:$B$542,0,-1),_xlfn.XMATCH(Results!$B27,Net_Worth_Calculations!$C$1:$F$1,0,-1))</f>
        <v>121448.51344790851</v>
      </c>
      <c r="D27" s="9" cm="1">
        <f t="array" ref="D27">INDEX(Net_Worth_Calculations!$C$2:$F$542,_xlfn.XMATCH(D$26,Net_Worth_Calculations!$B$2:$B$542,0,-1),_xlfn.XMATCH(Results!$B27,Net_Worth_Calculations!$C$1:$F$1,0,-1))</f>
        <v>638296.93546420382</v>
      </c>
      <c r="E27" s="9" cm="1">
        <f t="array" ref="E27">INDEX(Net_Worth_Calculations!$C$2:$F$542,_xlfn.XMATCH(E$26,Net_Worth_Calculations!$B$2:$B$542,0,-1),_xlfn.XMATCH(Results!$B27,Net_Worth_Calculations!$C$1:$F$1,0,-1))</f>
        <v>1601711.8245857731</v>
      </c>
      <c r="F27" s="9" cm="1">
        <f t="array" ref="F27">INDEX(Net_Worth_Calculations!$C$2:$F$542,_xlfn.XMATCH(F$26,Net_Worth_Calculations!$B$2:$B$542,0,-1),_xlfn.XMATCH(Results!$B27,Net_Worth_Calculations!$C$1:$F$1,0,-1))</f>
        <v>3437032.9591042921</v>
      </c>
      <c r="G27" s="9"/>
      <c r="H27" s="8"/>
      <c r="I27" s="8"/>
      <c r="J27" s="8"/>
      <c r="K27" s="8"/>
      <c r="L27" s="8"/>
      <c r="M27" s="8"/>
      <c r="N27" s="8"/>
      <c r="O27" s="44"/>
    </row>
    <row r="28" spans="1:15" outlineLevel="1" x14ac:dyDescent="0.25">
      <c r="B28" s="56" t="s">
        <v>30</v>
      </c>
      <c r="C28" s="9" cm="1">
        <f t="array" ref="C28">INDEX(Net_Worth_Calculations!$C$2:$F$542,_xlfn.XMATCH(C$26,Net_Worth_Calculations!$B$2:$B$542,0,-1),_xlfn.XMATCH(Results!$B28,Net_Worth_Calculations!$C$1:$F$1,0,-1))</f>
        <v>123884.93204922938</v>
      </c>
      <c r="D28" s="9" cm="1">
        <f t="array" ref="D28">INDEX(Net_Worth_Calculations!$C$2:$F$542,_xlfn.XMATCH(D$26,Net_Worth_Calculations!$B$2:$B$542,0,-1),_xlfn.XMATCH(Results!$B28,Net_Worth_Calculations!$C$1:$F$1,0,-1))</f>
        <v>645872.52571607265</v>
      </c>
      <c r="E28" s="9" cm="1">
        <f t="array" ref="E28">INDEX(Net_Worth_Calculations!$C$2:$F$542,_xlfn.XMATCH(E$26,Net_Worth_Calculations!$B$2:$B$542,0,-1),_xlfn.XMATCH(Results!$B28,Net_Worth_Calculations!$C$1:$F$1,0,-1))</f>
        <v>1542778.9879655908</v>
      </c>
      <c r="F28" s="9" cm="1">
        <f t="array" ref="F28">INDEX(Net_Worth_Calculations!$C$2:$F$542,_xlfn.XMATCH(F$26,Net_Worth_Calculations!$B$2:$B$542,0,-1),_xlfn.XMATCH(Results!$B28,Net_Worth_Calculations!$C$1:$F$1,0,-1))</f>
        <v>3264928.9147540303</v>
      </c>
      <c r="G28" s="9"/>
      <c r="H28" s="8"/>
      <c r="I28" s="8"/>
      <c r="J28" s="8"/>
      <c r="K28" s="8"/>
      <c r="L28" s="8"/>
      <c r="M28" s="8"/>
      <c r="N28" s="8"/>
      <c r="O28" s="44"/>
    </row>
    <row r="29" spans="1:15" outlineLevel="1" x14ac:dyDescent="0.25">
      <c r="B29" s="56" t="s">
        <v>31</v>
      </c>
      <c r="C29" s="9" cm="1">
        <f t="array" ref="C29">INDEX(Net_Worth_Calculations!$C$2:$F$542,_xlfn.XMATCH(C$26,Net_Worth_Calculations!$B$2:$B$542,0,-1),_xlfn.XMATCH(Results!$B29,Net_Worth_Calculations!$C$1:$F$1,0,-1))</f>
        <v>141353.4398455233</v>
      </c>
      <c r="D29" s="9" cm="1">
        <f t="array" ref="D29">INDEX(Net_Worth_Calculations!$C$2:$F$542,_xlfn.XMATCH(D$26,Net_Worth_Calculations!$B$2:$B$542,0,-1),_xlfn.XMATCH(Results!$B29,Net_Worth_Calculations!$C$1:$F$1,0,-1))</f>
        <v>599140.98601179349</v>
      </c>
      <c r="E29" s="9" cm="1">
        <f t="array" ref="E29">INDEX(Net_Worth_Calculations!$C$2:$F$542,_xlfn.XMATCH(E$26,Net_Worth_Calculations!$B$2:$B$542,0,-1),_xlfn.XMATCH(Results!$B29,Net_Worth_Calculations!$C$1:$F$1,0,-1))</f>
        <v>1596093.2096838278</v>
      </c>
      <c r="F29" s="9" cm="1">
        <f t="array" ref="F29">INDEX(Net_Worth_Calculations!$C$2:$F$542,_xlfn.XMATCH(F$26,Net_Worth_Calculations!$B$2:$B$542,0,-1),_xlfn.XMATCH(Results!$B29,Net_Worth_Calculations!$C$1:$F$1,0,-1))</f>
        <v>3838783.6370834443</v>
      </c>
      <c r="G29" s="9"/>
      <c r="H29" s="8"/>
      <c r="I29" s="8"/>
      <c r="J29" s="8"/>
      <c r="K29" s="8"/>
      <c r="L29" s="8"/>
      <c r="M29" s="8"/>
      <c r="N29" s="8"/>
      <c r="O29" s="44"/>
    </row>
    <row r="30" spans="1:15" outlineLevel="1" x14ac:dyDescent="0.25">
      <c r="B30" s="129"/>
      <c r="C30" s="128"/>
      <c r="D30" s="128"/>
      <c r="E30" s="128"/>
      <c r="F30" s="128"/>
      <c r="G30" s="8"/>
      <c r="H30" s="8"/>
      <c r="I30" s="8"/>
      <c r="J30" s="8"/>
      <c r="K30" s="8"/>
      <c r="L30" s="8"/>
      <c r="M30" s="8"/>
      <c r="N30" s="8"/>
      <c r="O30" s="44"/>
    </row>
    <row r="31" spans="1:15" outlineLevel="1" x14ac:dyDescent="0.25">
      <c r="B31" s="60"/>
      <c r="C31" s="8"/>
      <c r="D31" s="8"/>
      <c r="E31" s="8"/>
      <c r="F31" s="8"/>
      <c r="G31" s="8"/>
      <c r="H31" s="8"/>
      <c r="I31" s="8"/>
      <c r="J31" s="8"/>
      <c r="K31" s="8"/>
      <c r="L31" s="8"/>
      <c r="M31" s="8"/>
      <c r="N31" s="8"/>
      <c r="O31" s="44"/>
    </row>
    <row r="32" spans="1:15" outlineLevel="1" x14ac:dyDescent="0.25">
      <c r="B32" s="60"/>
      <c r="C32" s="8"/>
      <c r="D32" s="8"/>
      <c r="E32" s="8"/>
      <c r="F32" s="8"/>
      <c r="G32" s="8"/>
      <c r="H32" s="8"/>
      <c r="I32" s="8"/>
      <c r="J32" s="8"/>
      <c r="K32" s="8"/>
      <c r="L32" s="8"/>
      <c r="M32" s="8"/>
      <c r="N32" s="8"/>
      <c r="O32" s="44"/>
    </row>
    <row r="33" spans="1:15" outlineLevel="1" x14ac:dyDescent="0.25">
      <c r="B33" s="60"/>
      <c r="C33" s="8"/>
      <c r="D33" s="8"/>
      <c r="E33" s="8"/>
      <c r="F33" s="8"/>
      <c r="G33" s="8"/>
      <c r="H33" s="8"/>
      <c r="I33" s="8"/>
      <c r="J33" s="8"/>
      <c r="K33" s="8"/>
      <c r="L33" s="8"/>
      <c r="M33" s="8"/>
      <c r="N33" s="8"/>
      <c r="O33" s="44"/>
    </row>
    <row r="34" spans="1:15" outlineLevel="1" x14ac:dyDescent="0.25">
      <c r="B34" s="60"/>
      <c r="C34" s="8"/>
      <c r="D34" s="8"/>
      <c r="E34" s="8"/>
      <c r="F34" s="8"/>
      <c r="G34" s="8"/>
      <c r="H34" s="8"/>
      <c r="I34" s="8"/>
      <c r="J34" s="8"/>
      <c r="K34" s="8"/>
      <c r="L34" s="8"/>
      <c r="M34" s="8"/>
      <c r="N34" s="8"/>
      <c r="O34" s="44"/>
    </row>
    <row r="35" spans="1:15" outlineLevel="1" x14ac:dyDescent="0.25">
      <c r="B35" s="60"/>
      <c r="C35" s="8"/>
      <c r="D35" s="8"/>
      <c r="E35" s="8"/>
      <c r="F35" s="8"/>
      <c r="G35" s="8"/>
      <c r="H35" s="8"/>
      <c r="I35" s="8"/>
      <c r="J35" s="8"/>
      <c r="K35" s="8"/>
      <c r="L35" s="8"/>
      <c r="M35" s="8"/>
      <c r="N35" s="8"/>
      <c r="O35" s="44"/>
    </row>
    <row r="36" spans="1:15" outlineLevel="1" x14ac:dyDescent="0.25">
      <c r="B36" s="60"/>
      <c r="C36" s="8"/>
      <c r="D36" s="8"/>
      <c r="E36" s="8"/>
      <c r="F36" s="8"/>
      <c r="G36" s="8"/>
      <c r="H36" s="8"/>
      <c r="I36" s="8"/>
      <c r="J36" s="8"/>
      <c r="K36" s="8"/>
      <c r="L36" s="8"/>
      <c r="M36" s="8"/>
      <c r="N36" s="8"/>
      <c r="O36" s="44"/>
    </row>
    <row r="37" spans="1:15" outlineLevel="1" x14ac:dyDescent="0.25">
      <c r="B37" s="60"/>
      <c r="C37" s="8"/>
      <c r="D37" s="8"/>
      <c r="E37" s="8"/>
      <c r="F37" s="8"/>
      <c r="G37" s="8"/>
      <c r="H37" s="8"/>
      <c r="I37" s="8"/>
      <c r="J37" s="8"/>
      <c r="K37" s="8"/>
      <c r="L37" s="8"/>
      <c r="M37" s="8"/>
      <c r="N37" s="8"/>
      <c r="O37" s="44"/>
    </row>
    <row r="38" spans="1:15" outlineLevel="1" x14ac:dyDescent="0.25">
      <c r="B38" s="60"/>
      <c r="C38" s="8"/>
      <c r="D38" s="8"/>
      <c r="E38" s="8"/>
      <c r="F38" s="8"/>
      <c r="G38" s="8"/>
      <c r="H38" s="8"/>
      <c r="I38" s="8"/>
      <c r="J38" s="8"/>
      <c r="K38" s="8"/>
      <c r="L38" s="8"/>
      <c r="M38" s="8"/>
      <c r="N38" s="8"/>
      <c r="O38" s="44"/>
    </row>
    <row r="39" spans="1:15" outlineLevel="1" x14ac:dyDescent="0.25">
      <c r="B39" s="60"/>
      <c r="C39" s="8"/>
      <c r="D39" s="8"/>
      <c r="E39" s="8"/>
      <c r="F39" s="8"/>
      <c r="G39" s="8"/>
      <c r="H39" s="8"/>
      <c r="I39" s="8"/>
      <c r="J39" s="8"/>
      <c r="K39" s="8"/>
      <c r="L39" s="8"/>
      <c r="M39" s="8"/>
      <c r="N39" s="8"/>
      <c r="O39" s="44"/>
    </row>
    <row r="40" spans="1:15" outlineLevel="1" x14ac:dyDescent="0.25">
      <c r="B40" s="60"/>
      <c r="C40" s="8"/>
      <c r="D40" s="8"/>
      <c r="E40" s="8"/>
      <c r="F40" s="8"/>
      <c r="G40" s="8"/>
      <c r="H40" s="8"/>
      <c r="I40" s="8"/>
      <c r="J40" s="8"/>
      <c r="K40" s="8"/>
      <c r="L40" s="8"/>
      <c r="M40" s="8"/>
      <c r="N40" s="8"/>
      <c r="O40" s="44"/>
    </row>
    <row r="41" spans="1:15" outlineLevel="1" x14ac:dyDescent="0.25">
      <c r="B41" s="61"/>
      <c r="C41" s="45"/>
      <c r="D41" s="45"/>
      <c r="E41" s="45"/>
      <c r="F41" s="45"/>
      <c r="G41" s="45"/>
      <c r="H41" s="45"/>
      <c r="I41" s="45"/>
      <c r="J41" s="45"/>
      <c r="K41" s="45"/>
      <c r="L41" s="45"/>
      <c r="M41" s="45"/>
      <c r="N41" s="45"/>
      <c r="O41" s="46"/>
    </row>
    <row r="43" spans="1:15" ht="18.75" x14ac:dyDescent="0.3">
      <c r="A43" t="s">
        <v>72</v>
      </c>
      <c r="B43" s="41" t="str">
        <f>"INTERNAL RATES OF RETURN (IRR) BY MODEL (ENDING YEAR "&amp;D2&amp;")"</f>
        <v>INTERNAL RATES OF RETURN (IRR) BY MODEL (ENDING YEAR 31)</v>
      </c>
      <c r="C43" s="42"/>
      <c r="D43" s="42"/>
      <c r="E43" s="42"/>
      <c r="F43" s="42"/>
      <c r="G43" s="42"/>
      <c r="H43" s="42"/>
      <c r="I43" s="42"/>
      <c r="J43" s="42"/>
      <c r="K43" s="42"/>
      <c r="L43" s="42"/>
      <c r="M43" s="42"/>
      <c r="N43" s="42"/>
      <c r="O43" s="43"/>
    </row>
    <row r="44" spans="1:15" outlineLevel="1" x14ac:dyDescent="0.25">
      <c r="B44" s="60"/>
      <c r="C44" s="8"/>
      <c r="D44" s="8"/>
      <c r="E44" s="8"/>
      <c r="F44" s="8"/>
      <c r="G44" s="8"/>
      <c r="H44" s="8"/>
      <c r="I44" s="8"/>
      <c r="J44" s="8"/>
      <c r="K44" s="8"/>
      <c r="L44" s="8"/>
      <c r="M44" s="8"/>
      <c r="N44" s="8"/>
      <c r="O44" s="44"/>
    </row>
    <row r="45" spans="1:15" outlineLevel="1" x14ac:dyDescent="0.25">
      <c r="B45" s="64" t="s">
        <v>12</v>
      </c>
      <c r="C45" s="34" t="s">
        <v>24</v>
      </c>
      <c r="D45" s="8"/>
      <c r="E45" s="95"/>
      <c r="F45" s="96"/>
      <c r="G45" s="96"/>
      <c r="H45" s="96"/>
      <c r="I45" s="68"/>
      <c r="J45" s="8"/>
      <c r="K45" s="8"/>
      <c r="L45" s="8"/>
      <c r="M45" s="8"/>
      <c r="N45" s="8"/>
      <c r="O45" s="44"/>
    </row>
    <row r="46" spans="1:15" outlineLevel="1" x14ac:dyDescent="0.25">
      <c r="B46" s="56" t="s">
        <v>32</v>
      </c>
      <c r="C46" s="105">
        <f>_xlfn.XLOOKUP($D$2,IRR_Calculations!$A:$A, IRR_Calculations!E:E)</f>
        <v>0.12177011337581489</v>
      </c>
      <c r="D46" s="8"/>
      <c r="E46" s="97"/>
      <c r="F46" s="97"/>
      <c r="G46" s="97"/>
      <c r="H46" s="97"/>
      <c r="I46" s="69"/>
      <c r="J46" s="8"/>
      <c r="K46" s="8"/>
      <c r="L46" s="8"/>
      <c r="M46" s="8"/>
      <c r="N46" s="8"/>
      <c r="O46" s="44"/>
    </row>
    <row r="47" spans="1:15" outlineLevel="1" x14ac:dyDescent="0.25">
      <c r="B47" s="56" t="s">
        <v>30</v>
      </c>
      <c r="C47" s="105">
        <f>_xlfn.XLOOKUP($D$2,IRR_Calculations!$A:$A, IRR_Calculations!J:J)</f>
        <v>0.11996995626188056</v>
      </c>
      <c r="D47" s="8"/>
      <c r="E47" s="97"/>
      <c r="F47" s="98"/>
      <c r="G47" s="98"/>
      <c r="H47" s="97"/>
      <c r="I47" s="69"/>
      <c r="J47" s="8"/>
      <c r="K47" s="8"/>
      <c r="L47" s="8"/>
      <c r="M47" s="8"/>
      <c r="N47" s="8"/>
      <c r="O47" s="44"/>
    </row>
    <row r="48" spans="1:15" outlineLevel="1" x14ac:dyDescent="0.25">
      <c r="B48" s="56" t="s">
        <v>31</v>
      </c>
      <c r="C48" s="105">
        <f>_xlfn.XLOOKUP($D$2,IRR_Calculations!$A:$A, IRR_Calculations!O:O)</f>
        <v>8.5033238510569209E-2</v>
      </c>
      <c r="D48" s="8"/>
      <c r="E48" s="97"/>
      <c r="F48" s="97"/>
      <c r="G48" s="97"/>
      <c r="H48" s="97"/>
      <c r="I48" s="69"/>
      <c r="J48" s="8"/>
      <c r="K48" s="8"/>
      <c r="L48" s="8"/>
      <c r="M48" s="8"/>
      <c r="N48" s="8"/>
      <c r="O48" s="44"/>
    </row>
    <row r="49" spans="1:15" outlineLevel="1" x14ac:dyDescent="0.25">
      <c r="B49" s="56"/>
      <c r="C49" s="30"/>
      <c r="D49" s="6"/>
      <c r="E49" s="97"/>
      <c r="F49" s="98"/>
      <c r="G49" s="98"/>
      <c r="H49" s="97"/>
      <c r="I49" s="69"/>
      <c r="J49" s="8"/>
      <c r="K49" s="8"/>
      <c r="L49" s="8"/>
      <c r="M49" s="8"/>
      <c r="N49" s="8"/>
      <c r="O49" s="44"/>
    </row>
    <row r="50" spans="1:15" outlineLevel="1" x14ac:dyDescent="0.25">
      <c r="B50" s="56"/>
      <c r="C50" s="9"/>
      <c r="D50" s="9"/>
      <c r="E50" s="9"/>
      <c r="F50" s="30"/>
      <c r="G50" s="30"/>
      <c r="H50" s="8"/>
      <c r="I50" s="8"/>
      <c r="J50" s="8"/>
      <c r="K50" s="8"/>
      <c r="L50" s="8"/>
      <c r="M50" s="8"/>
      <c r="N50" s="8"/>
      <c r="O50" s="44"/>
    </row>
    <row r="51" spans="1:15" outlineLevel="1" x14ac:dyDescent="0.25">
      <c r="B51" s="60"/>
      <c r="C51" s="8"/>
      <c r="D51" s="8"/>
      <c r="E51" s="8"/>
      <c r="F51" s="8"/>
      <c r="G51" s="8"/>
      <c r="H51" s="8"/>
      <c r="I51" s="8"/>
      <c r="J51" s="8"/>
      <c r="K51" s="8"/>
      <c r="L51" s="8"/>
      <c r="M51" s="8"/>
      <c r="N51" s="8"/>
      <c r="O51" s="44"/>
    </row>
    <row r="52" spans="1:15" outlineLevel="1" x14ac:dyDescent="0.25">
      <c r="B52" s="60"/>
      <c r="C52" s="8"/>
      <c r="D52" s="8"/>
      <c r="E52" s="8"/>
      <c r="F52" s="8"/>
      <c r="G52" s="8"/>
      <c r="H52" s="8"/>
      <c r="I52" s="8"/>
      <c r="J52" s="8"/>
      <c r="K52" s="8"/>
      <c r="L52" s="8"/>
      <c r="M52" s="8"/>
      <c r="N52" s="8"/>
      <c r="O52" s="44"/>
    </row>
    <row r="53" spans="1:15" outlineLevel="1" x14ac:dyDescent="0.25">
      <c r="B53" s="61"/>
      <c r="C53" s="45"/>
      <c r="D53" s="45"/>
      <c r="E53" s="45"/>
      <c r="F53" s="45"/>
      <c r="G53" s="45"/>
      <c r="H53" s="45"/>
      <c r="I53" s="45"/>
      <c r="J53" s="45"/>
      <c r="K53" s="45"/>
      <c r="L53" s="45"/>
      <c r="M53" s="45"/>
      <c r="N53" s="45"/>
      <c r="O53" s="46"/>
    </row>
    <row r="55" spans="1:15" ht="18.75" x14ac:dyDescent="0.3">
      <c r="A55" t="s">
        <v>72</v>
      </c>
      <c r="B55" s="41" t="str">
        <f>"INTERNAL RATES OR RETURN (IRR) OVER TIME BY MODEL (ENDING YEAR "&amp;$D$2&amp;")"</f>
        <v>INTERNAL RATES OR RETURN (IRR) OVER TIME BY MODEL (ENDING YEAR 31)</v>
      </c>
      <c r="C55" s="103"/>
      <c r="D55" s="103"/>
      <c r="E55" s="103"/>
      <c r="F55" s="103"/>
      <c r="G55" s="103"/>
      <c r="H55" s="103"/>
      <c r="I55" s="103"/>
      <c r="J55" s="103"/>
      <c r="K55" s="103"/>
      <c r="L55" s="103"/>
      <c r="M55" s="103"/>
      <c r="N55" s="103"/>
      <c r="O55" s="104"/>
    </row>
    <row r="56" spans="1:15" outlineLevel="1" x14ac:dyDescent="0.25">
      <c r="B56" s="60"/>
      <c r="C56" s="8"/>
      <c r="D56" s="8"/>
      <c r="E56" s="8"/>
      <c r="F56" s="8"/>
      <c r="G56" s="8"/>
      <c r="H56" s="8"/>
      <c r="I56" s="8"/>
      <c r="J56" s="8"/>
      <c r="K56" s="8"/>
      <c r="L56" s="8"/>
      <c r="M56" s="8"/>
      <c r="N56" s="8"/>
      <c r="O56" s="44"/>
    </row>
    <row r="57" spans="1:15" outlineLevel="1" x14ac:dyDescent="0.25">
      <c r="B57" s="60"/>
      <c r="C57" s="66" t="s">
        <v>0</v>
      </c>
      <c r="D57" s="67"/>
      <c r="E57" s="67"/>
      <c r="F57" s="67"/>
      <c r="G57" s="67"/>
      <c r="H57" s="8"/>
      <c r="I57" s="8"/>
      <c r="J57" s="8"/>
      <c r="K57" s="8"/>
      <c r="L57" s="8"/>
      <c r="M57" s="8"/>
      <c r="N57" s="8"/>
      <c r="O57" s="44"/>
    </row>
    <row r="58" spans="1:15" outlineLevel="1" x14ac:dyDescent="0.25">
      <c r="B58" s="64" t="s">
        <v>12</v>
      </c>
      <c r="C58" s="35">
        <f>IF($D$2=0, 0, 1)</f>
        <v>1</v>
      </c>
      <c r="D58" s="35">
        <f>ROUNDUP($D$2*(1/3), 0)</f>
        <v>11</v>
      </c>
      <c r="E58" s="35">
        <f>ROUNDUP($D$2*(2/3), 0)</f>
        <v>21</v>
      </c>
      <c r="F58" s="35">
        <f>ROUNDUP($D$2, 0)</f>
        <v>31</v>
      </c>
      <c r="G58" s="28"/>
      <c r="H58" s="8"/>
      <c r="I58" s="8"/>
      <c r="J58" s="8"/>
      <c r="K58" s="8"/>
      <c r="L58" s="8"/>
      <c r="M58" s="8"/>
      <c r="N58" s="8"/>
      <c r="O58" s="44"/>
    </row>
    <row r="59" spans="1:15" outlineLevel="1" x14ac:dyDescent="0.25">
      <c r="B59" s="56" t="s">
        <v>32</v>
      </c>
      <c r="C59" s="105">
        <f>_xlfn.XLOOKUP(C$58, IRR_Calculations!$A:$A, IRR_Calculations!$E:$E)</f>
        <v>0.20376400248690563</v>
      </c>
      <c r="D59" s="105">
        <f>_xlfn.XLOOKUP(D$58, IRR_Calculations!$A:$A, IRR_Calculations!$E:$E)</f>
        <v>0.18163173339392502</v>
      </c>
      <c r="E59" s="105">
        <f>_xlfn.XLOOKUP(E$58, IRR_Calculations!$A:$A, IRR_Calculations!$E:$E)</f>
        <v>0.14121470155603566</v>
      </c>
      <c r="F59" s="105">
        <f>_xlfn.XLOOKUP(F$58, IRR_Calculations!$A:$A, IRR_Calculations!$E:$E)</f>
        <v>0.12177011337581489</v>
      </c>
      <c r="G59" s="105"/>
      <c r="H59" s="8"/>
      <c r="I59" s="8"/>
      <c r="J59" s="8"/>
      <c r="K59" s="8"/>
      <c r="L59" s="8"/>
      <c r="M59" s="8"/>
      <c r="N59" s="8"/>
      <c r="O59" s="44"/>
    </row>
    <row r="60" spans="1:15" outlineLevel="1" x14ac:dyDescent="0.25">
      <c r="B60" s="56" t="s">
        <v>30</v>
      </c>
      <c r="C60" s="105">
        <f>_xlfn.XLOOKUP(C$58, IRR_Calculations!$A:$A, IRR_Calculations!$J:$J)</f>
        <v>0.22815648377841247</v>
      </c>
      <c r="D60" s="105">
        <f>_xlfn.XLOOKUP(D$58, IRR_Calculations!$A:$A, IRR_Calculations!$J:$J)</f>
        <v>0.18289939895354967</v>
      </c>
      <c r="E60" s="105">
        <f>_xlfn.XLOOKUP(E$58, IRR_Calculations!$A:$A, IRR_Calculations!$J:$J)</f>
        <v>0.13920863900472291</v>
      </c>
      <c r="F60" s="105">
        <f>_xlfn.XLOOKUP(F$58, IRR_Calculations!$A:$A, IRR_Calculations!$J:$J)</f>
        <v>0.11996995626188056</v>
      </c>
      <c r="G60" s="105"/>
      <c r="H60" s="8"/>
      <c r="I60" s="8"/>
      <c r="J60" s="8"/>
      <c r="K60" s="8"/>
      <c r="L60" s="8"/>
      <c r="M60" s="8"/>
      <c r="N60" s="8"/>
      <c r="O60" s="44"/>
    </row>
    <row r="61" spans="1:15" outlineLevel="1" x14ac:dyDescent="0.25">
      <c r="B61" s="56" t="s">
        <v>31</v>
      </c>
      <c r="C61" s="105">
        <f>_xlfn.XLOOKUP(C$58, IRR_Calculations!$A:$A, IRR_Calculations!$O:$O)</f>
        <v>8.7149623899731132E-2</v>
      </c>
      <c r="D61" s="105">
        <f>_xlfn.XLOOKUP(D$58, IRR_Calculations!$A:$A, IRR_Calculations!$O:$O)</f>
        <v>8.5537936886815213E-2</v>
      </c>
      <c r="E61" s="105">
        <f>_xlfn.XLOOKUP(E$58, IRR_Calculations!$A:$A, IRR_Calculations!$O:$O)</f>
        <v>8.5157036988865231E-2</v>
      </c>
      <c r="F61" s="105">
        <f>_xlfn.XLOOKUP(F$58, IRR_Calculations!$A:$A, IRR_Calculations!$O:$O)</f>
        <v>8.5033238510569209E-2</v>
      </c>
      <c r="G61" s="105"/>
      <c r="H61" s="8"/>
      <c r="I61" s="8"/>
      <c r="J61" s="8"/>
      <c r="K61" s="8"/>
      <c r="L61" s="8"/>
      <c r="M61" s="8"/>
      <c r="N61" s="8"/>
      <c r="O61" s="44"/>
    </row>
    <row r="62" spans="1:15" outlineLevel="1" x14ac:dyDescent="0.25">
      <c r="B62" s="129"/>
      <c r="C62" s="128"/>
      <c r="D62" s="128"/>
      <c r="E62" s="128"/>
      <c r="F62" s="128"/>
      <c r="G62" s="9"/>
      <c r="H62" s="8"/>
      <c r="I62" s="8"/>
      <c r="J62" s="8"/>
      <c r="K62" s="8"/>
      <c r="L62" s="8"/>
      <c r="M62" s="8"/>
      <c r="N62" s="8"/>
      <c r="O62" s="44"/>
    </row>
    <row r="63" spans="1:15" outlineLevel="1" x14ac:dyDescent="0.25">
      <c r="B63" s="56"/>
      <c r="C63" s="9"/>
      <c r="D63" s="9"/>
      <c r="E63" s="9"/>
      <c r="F63" s="9"/>
      <c r="G63" s="9"/>
      <c r="H63" s="8"/>
      <c r="I63" s="8"/>
      <c r="J63" s="8"/>
      <c r="K63" s="8"/>
      <c r="L63" s="8"/>
      <c r="M63" s="8"/>
      <c r="N63" s="8"/>
      <c r="O63" s="44"/>
    </row>
    <row r="64" spans="1:15" outlineLevel="1" x14ac:dyDescent="0.25">
      <c r="B64" s="56"/>
      <c r="C64" s="9"/>
      <c r="D64" s="9"/>
      <c r="E64" s="9"/>
      <c r="F64" s="9"/>
      <c r="G64" s="9"/>
      <c r="H64" s="8"/>
      <c r="I64" s="8"/>
      <c r="J64" s="8"/>
      <c r="K64" s="8"/>
      <c r="L64" s="8"/>
      <c r="M64" s="8"/>
      <c r="N64" s="8"/>
      <c r="O64" s="44"/>
    </row>
    <row r="65" spans="1:15" outlineLevel="1" x14ac:dyDescent="0.25">
      <c r="B65" s="56"/>
      <c r="C65" s="9"/>
      <c r="D65" s="9"/>
      <c r="E65" s="9"/>
      <c r="F65" s="9"/>
      <c r="G65" s="9"/>
      <c r="H65" s="8"/>
      <c r="I65" s="8"/>
      <c r="J65" s="8"/>
      <c r="K65" s="8"/>
      <c r="L65" s="8"/>
      <c r="M65" s="8"/>
      <c r="N65" s="8"/>
      <c r="O65" s="44"/>
    </row>
    <row r="66" spans="1:15" outlineLevel="1" x14ac:dyDescent="0.25">
      <c r="B66" s="56"/>
      <c r="C66" s="9"/>
      <c r="D66" s="9"/>
      <c r="E66" s="9"/>
      <c r="F66" s="9"/>
      <c r="G66" s="9"/>
      <c r="H66" s="8"/>
      <c r="I66" s="8"/>
      <c r="J66" s="8"/>
      <c r="K66" s="8"/>
      <c r="L66" s="8"/>
      <c r="M66" s="8"/>
      <c r="N66" s="8"/>
      <c r="O66" s="44"/>
    </row>
    <row r="67" spans="1:15" outlineLevel="1" x14ac:dyDescent="0.25">
      <c r="B67" s="56"/>
      <c r="C67" s="9"/>
      <c r="D67" s="9"/>
      <c r="E67" s="9"/>
      <c r="F67" s="9"/>
      <c r="G67" s="9"/>
      <c r="H67" s="8"/>
      <c r="I67" s="8"/>
      <c r="J67" s="8"/>
      <c r="K67" s="8"/>
      <c r="L67" s="8"/>
      <c r="M67" s="8"/>
      <c r="N67" s="8"/>
      <c r="O67" s="44"/>
    </row>
    <row r="68" spans="1:15" outlineLevel="1" x14ac:dyDescent="0.25">
      <c r="B68" s="56"/>
      <c r="C68" s="9"/>
      <c r="D68" s="9"/>
      <c r="E68" s="9"/>
      <c r="F68" s="9"/>
      <c r="G68" s="9"/>
      <c r="H68" s="8"/>
      <c r="I68" s="8"/>
      <c r="J68" s="8"/>
      <c r="K68" s="8"/>
      <c r="L68" s="8"/>
      <c r="M68" s="8"/>
      <c r="N68" s="8"/>
      <c r="O68" s="44"/>
    </row>
    <row r="69" spans="1:15" outlineLevel="1" x14ac:dyDescent="0.25">
      <c r="B69" s="56"/>
      <c r="C69" s="9"/>
      <c r="D69" s="9"/>
      <c r="E69" s="9"/>
      <c r="F69" s="9"/>
      <c r="G69" s="9"/>
      <c r="H69" s="8"/>
      <c r="I69" s="8"/>
      <c r="J69" s="8"/>
      <c r="K69" s="8"/>
      <c r="L69" s="8"/>
      <c r="M69" s="8"/>
      <c r="N69" s="8"/>
      <c r="O69" s="44"/>
    </row>
    <row r="70" spans="1:15" outlineLevel="1" x14ac:dyDescent="0.25">
      <c r="B70" s="56"/>
      <c r="C70" s="9"/>
      <c r="D70" s="9"/>
      <c r="E70" s="9"/>
      <c r="F70" s="9"/>
      <c r="G70" s="9"/>
      <c r="H70" s="8"/>
      <c r="I70" s="8"/>
      <c r="J70" s="8"/>
      <c r="K70" s="8"/>
      <c r="L70" s="8"/>
      <c r="M70" s="8"/>
      <c r="N70" s="8"/>
      <c r="O70" s="44"/>
    </row>
    <row r="71" spans="1:15" outlineLevel="1" x14ac:dyDescent="0.25">
      <c r="B71" s="56"/>
      <c r="C71" s="9"/>
      <c r="D71" s="9"/>
      <c r="E71" s="9"/>
      <c r="F71" s="9"/>
      <c r="G71" s="9"/>
      <c r="H71" s="8"/>
      <c r="I71" s="8"/>
      <c r="J71" s="8"/>
      <c r="K71" s="8"/>
      <c r="L71" s="8"/>
      <c r="M71" s="8"/>
      <c r="N71" s="8"/>
      <c r="O71" s="44"/>
    </row>
    <row r="72" spans="1:15" outlineLevel="1" x14ac:dyDescent="0.25">
      <c r="B72" s="56"/>
      <c r="C72" s="9"/>
      <c r="D72" s="9"/>
      <c r="E72" s="9"/>
      <c r="F72" s="9"/>
      <c r="G72" s="9"/>
      <c r="H72" s="8"/>
      <c r="I72" s="8"/>
      <c r="J72" s="8"/>
      <c r="K72" s="8"/>
      <c r="L72" s="8"/>
      <c r="M72" s="8"/>
      <c r="N72" s="8"/>
      <c r="O72" s="44"/>
    </row>
    <row r="73" spans="1:15" outlineLevel="1" x14ac:dyDescent="0.25">
      <c r="B73" s="56"/>
      <c r="C73" s="9"/>
      <c r="D73" s="9"/>
      <c r="E73" s="9"/>
      <c r="F73" s="9"/>
      <c r="G73" s="9"/>
      <c r="H73" s="8"/>
      <c r="I73" s="8"/>
      <c r="J73" s="8"/>
      <c r="K73" s="8"/>
      <c r="L73" s="8"/>
      <c r="M73" s="8"/>
      <c r="N73" s="8"/>
      <c r="O73" s="44"/>
    </row>
    <row r="74" spans="1:15" outlineLevel="1" x14ac:dyDescent="0.25">
      <c r="B74" s="61"/>
      <c r="C74" s="45"/>
      <c r="D74" s="45"/>
      <c r="E74" s="45"/>
      <c r="F74" s="45"/>
      <c r="G74" s="45"/>
      <c r="H74" s="45"/>
      <c r="I74" s="45"/>
      <c r="J74" s="45"/>
      <c r="K74" s="45"/>
      <c r="L74" s="45"/>
      <c r="M74" s="45"/>
      <c r="N74" s="45"/>
      <c r="O74" s="46"/>
    </row>
    <row r="76" spans="1:15" ht="18.75" x14ac:dyDescent="0.3">
      <c r="A76" t="s">
        <v>72</v>
      </c>
      <c r="B76" s="41" t="str">
        <f>"TOTAL RETURN BY MODEL (ENDING YEAR "&amp;D2&amp;")"</f>
        <v>TOTAL RETURN BY MODEL (ENDING YEAR 31)</v>
      </c>
      <c r="C76" s="42"/>
      <c r="D76" s="42"/>
      <c r="E76" s="42"/>
      <c r="F76" s="42"/>
      <c r="G76" s="42"/>
      <c r="H76" s="42"/>
      <c r="I76" s="42"/>
      <c r="J76" s="42"/>
      <c r="K76" s="42"/>
      <c r="L76" s="42"/>
      <c r="M76" s="42"/>
      <c r="N76" s="42"/>
      <c r="O76" s="43"/>
    </row>
    <row r="77" spans="1:15" outlineLevel="1" x14ac:dyDescent="0.25">
      <c r="B77" s="56"/>
      <c r="C77" s="8"/>
      <c r="D77" s="8"/>
      <c r="E77" s="8"/>
      <c r="F77" s="8"/>
      <c r="G77" s="8"/>
      <c r="H77" s="8"/>
      <c r="I77" s="8"/>
      <c r="J77" s="8"/>
      <c r="K77" s="8"/>
      <c r="L77" s="8"/>
      <c r="M77" s="8"/>
      <c r="N77" s="8"/>
      <c r="O77" s="44"/>
    </row>
    <row r="78" spans="1:15" ht="30" outlineLevel="1" x14ac:dyDescent="0.25">
      <c r="B78" s="131" t="s">
        <v>87</v>
      </c>
      <c r="C78" s="111"/>
      <c r="D78" s="119" t="s">
        <v>85</v>
      </c>
      <c r="E78" s="119" t="s">
        <v>86</v>
      </c>
      <c r="F78" s="119" t="s">
        <v>31</v>
      </c>
      <c r="G78" s="111"/>
      <c r="H78" s="111"/>
      <c r="I78" s="111"/>
      <c r="J78" s="111"/>
      <c r="K78" s="111"/>
      <c r="L78" s="111"/>
      <c r="M78" s="111"/>
      <c r="N78" s="111"/>
      <c r="O78" s="120"/>
    </row>
    <row r="79" spans="1:15" outlineLevel="1" x14ac:dyDescent="0.25">
      <c r="B79" s="123" t="s">
        <v>6</v>
      </c>
      <c r="C79" s="111"/>
      <c r="D79" s="117">
        <f>_xlfn.MAXIFS(Model_30y!$K:$K, Model_30y!$B:$B, $D$2)</f>
        <v>1928666.7849110186</v>
      </c>
      <c r="E79" s="117">
        <f>_xlfn.MAXIFS(Model_15y!$K:$K, Model_15y!$B:$B, $D$2)</f>
        <v>1928666.7849110183</v>
      </c>
      <c r="F79" s="117">
        <v>0</v>
      </c>
      <c r="G79" s="111"/>
      <c r="H79" s="111"/>
      <c r="I79" s="111"/>
      <c r="J79" s="111"/>
      <c r="K79" s="111"/>
      <c r="L79" s="111"/>
      <c r="M79" s="111"/>
      <c r="N79" s="111"/>
      <c r="O79" s="120"/>
    </row>
    <row r="80" spans="1:15" outlineLevel="1" x14ac:dyDescent="0.25">
      <c r="B80" s="123" t="s">
        <v>152</v>
      </c>
      <c r="C80" s="124"/>
      <c r="D80" s="117">
        <f>_xlfn.MAXIFS(Model_30y!$AG:$AG, Model_30y!$B:$B, $D$2)</f>
        <v>1508366.1741932738</v>
      </c>
      <c r="E80" s="117">
        <f>_xlfn.MAXIFS(Model_15y!$AG:$AG, Model_15y!$B:$B, $D$2)</f>
        <v>1336262.1298430117</v>
      </c>
      <c r="F80" s="117">
        <f>_xlfn.MAXIFS(Model_Renter!$N:$N, Model_Renter!$B:$B, $D$2)</f>
        <v>3836027.6370834443</v>
      </c>
      <c r="G80" s="111"/>
      <c r="H80" s="111"/>
      <c r="I80" s="111"/>
      <c r="J80" s="111"/>
      <c r="K80" s="111"/>
      <c r="L80" s="111"/>
      <c r="M80" s="111"/>
      <c r="N80" s="111"/>
      <c r="O80" s="120"/>
    </row>
    <row r="81" spans="2:15" outlineLevel="1" x14ac:dyDescent="0.25">
      <c r="B81" s="123" t="s">
        <v>64</v>
      </c>
      <c r="C81" s="111"/>
      <c r="D81" s="118">
        <v>0</v>
      </c>
      <c r="E81" s="118">
        <v>0</v>
      </c>
      <c r="F81" s="118">
        <f>_xlfn.MAXIFS(Model_Renter!$O:$O, Model_Renter!$B:$B, $D$2)</f>
        <v>2756</v>
      </c>
      <c r="G81" s="111"/>
      <c r="H81" s="111"/>
      <c r="I81" s="111"/>
      <c r="J81" s="111"/>
      <c r="K81" s="111"/>
      <c r="L81" s="111"/>
      <c r="M81" s="111"/>
      <c r="N81" s="111"/>
      <c r="O81" s="120"/>
    </row>
    <row r="82" spans="2:15" outlineLevel="1" x14ac:dyDescent="0.25">
      <c r="B82" s="123" t="s">
        <v>90</v>
      </c>
      <c r="C82" s="111"/>
      <c r="D82" s="117">
        <f>SUM(D79:D81)</f>
        <v>3437032.9591042921</v>
      </c>
      <c r="E82" s="117">
        <f t="shared" ref="E82:F82" si="1">SUM(E79:E81)</f>
        <v>3264928.9147540303</v>
      </c>
      <c r="F82" s="117">
        <f t="shared" si="1"/>
        <v>3838783.6370834443</v>
      </c>
      <c r="G82" s="111"/>
      <c r="H82" s="111"/>
      <c r="I82" s="111"/>
      <c r="J82" s="111"/>
      <c r="K82" s="111"/>
      <c r="L82" s="111"/>
      <c r="M82" s="111"/>
      <c r="N82" s="111"/>
      <c r="O82" s="120"/>
    </row>
    <row r="83" spans="2:15" outlineLevel="1" x14ac:dyDescent="0.25">
      <c r="B83" s="123"/>
      <c r="C83" s="111"/>
      <c r="D83" s="111"/>
      <c r="E83" s="111"/>
      <c r="F83" s="111"/>
      <c r="G83" s="111"/>
      <c r="H83" s="111"/>
      <c r="I83" s="111"/>
      <c r="J83" s="111"/>
      <c r="K83" s="111"/>
      <c r="L83" s="111"/>
      <c r="M83" s="111"/>
      <c r="N83" s="111"/>
      <c r="O83" s="120"/>
    </row>
    <row r="84" spans="2:15" outlineLevel="1" x14ac:dyDescent="0.25">
      <c r="B84" s="131" t="s">
        <v>76</v>
      </c>
      <c r="C84" s="111"/>
      <c r="D84" s="111"/>
      <c r="E84" s="111"/>
      <c r="F84" s="111"/>
      <c r="G84" s="111"/>
      <c r="H84" s="111"/>
      <c r="I84" s="111"/>
      <c r="J84" s="111"/>
      <c r="K84" s="111"/>
      <c r="L84" s="111"/>
      <c r="M84" s="111"/>
      <c r="N84" s="111"/>
      <c r="O84" s="120"/>
    </row>
    <row r="85" spans="2:15" outlineLevel="1" x14ac:dyDescent="0.25">
      <c r="B85" s="123" t="s">
        <v>8</v>
      </c>
      <c r="C85" s="111"/>
      <c r="D85" s="117">
        <f>-Assumptions!$D$7</f>
        <v>-85000</v>
      </c>
      <c r="E85" s="117">
        <f>-Assumptions!$D$7</f>
        <v>-85000</v>
      </c>
      <c r="F85" s="117">
        <v>0</v>
      </c>
      <c r="G85" s="111"/>
      <c r="H85" s="111"/>
      <c r="I85" s="111"/>
      <c r="J85" s="111"/>
      <c r="K85" s="111"/>
      <c r="L85" s="111"/>
      <c r="M85" s="111"/>
      <c r="N85" s="111"/>
      <c r="O85" s="120"/>
    </row>
    <row r="86" spans="2:15" outlineLevel="1" x14ac:dyDescent="0.25">
      <c r="B86" s="123" t="s">
        <v>81</v>
      </c>
      <c r="C86" s="111"/>
      <c r="D86" s="117">
        <f>-Assumptions!$D$10</f>
        <v>-14884</v>
      </c>
      <c r="E86" s="117">
        <f>-Assumptions!$D$10</f>
        <v>-14884</v>
      </c>
      <c r="F86" s="117">
        <v>0</v>
      </c>
      <c r="G86" s="111"/>
      <c r="H86" s="111"/>
      <c r="I86" s="111"/>
      <c r="J86" s="111"/>
      <c r="K86" s="111"/>
      <c r="L86" s="111"/>
      <c r="M86" s="111"/>
      <c r="N86" s="111"/>
      <c r="O86" s="120"/>
    </row>
    <row r="87" spans="2:15" outlineLevel="1" x14ac:dyDescent="0.25">
      <c r="B87" s="56" t="s">
        <v>155</v>
      </c>
      <c r="C87" s="111"/>
      <c r="D87" s="117">
        <f>-Assumptions!$D$11</f>
        <v>-11687.5</v>
      </c>
      <c r="E87" s="117">
        <f>-Assumptions!$D$11</f>
        <v>-11687.5</v>
      </c>
      <c r="F87" s="117">
        <v>0</v>
      </c>
      <c r="G87" s="111"/>
      <c r="H87" s="111"/>
      <c r="I87" s="111"/>
      <c r="J87" s="111"/>
      <c r="K87" s="111"/>
      <c r="L87" s="111"/>
      <c r="M87" s="111"/>
      <c r="N87" s="111"/>
      <c r="O87" s="120"/>
    </row>
    <row r="88" spans="2:15" outlineLevel="1" x14ac:dyDescent="0.25">
      <c r="B88" s="123" t="s">
        <v>77</v>
      </c>
      <c r="C88" s="111"/>
      <c r="D88" s="117">
        <f>SUMIFS(Model_30y!$D:$D, Model_30y!$B:$B, "&lt;="&amp;$D$2)</f>
        <v>-339999.99999999994</v>
      </c>
      <c r="E88" s="117">
        <f>SUMIFS(Model_15y!$C:$C, Model_15y!$B:$B, "&lt;="&amp;$D$2)</f>
        <v>-339999.99999999988</v>
      </c>
      <c r="F88" s="117">
        <v>0</v>
      </c>
      <c r="G88" s="111"/>
      <c r="H88" s="111"/>
      <c r="I88" s="111"/>
      <c r="J88" s="111"/>
      <c r="K88" s="111"/>
      <c r="L88" s="111"/>
      <c r="M88" s="111"/>
      <c r="N88" s="111"/>
      <c r="O88" s="120"/>
    </row>
    <row r="89" spans="2:15" outlineLevel="1" x14ac:dyDescent="0.25">
      <c r="B89" s="123" t="s">
        <v>78</v>
      </c>
      <c r="C89" s="111"/>
      <c r="D89" s="117">
        <f>SUMIFS(Model_30y!$C:$C, Model_30y!$B:$B, "&lt;="&amp;$D$2)</f>
        <v>-451444.74785585783</v>
      </c>
      <c r="E89" s="117">
        <f>SUMIFS(Model_15y!$D:$D, Model_15y!$B:$B, "&lt;="&amp;$D$2)</f>
        <v>-171493.94212376536</v>
      </c>
      <c r="F89" s="117">
        <v>0</v>
      </c>
      <c r="G89" s="111"/>
      <c r="H89" s="111"/>
      <c r="I89" s="111"/>
      <c r="J89" s="111"/>
      <c r="K89" s="111"/>
      <c r="L89" s="111"/>
      <c r="M89" s="111"/>
      <c r="N89" s="111"/>
      <c r="O89" s="120"/>
    </row>
    <row r="90" spans="2:15" outlineLevel="1" x14ac:dyDescent="0.25">
      <c r="B90" s="123" t="s">
        <v>55</v>
      </c>
      <c r="C90" s="111"/>
      <c r="D90" s="117">
        <f>SUMIFS(Model_30y!$O:$O, Model_30y!$B:$B, "&lt;="&amp;$D$2)</f>
        <v>0</v>
      </c>
      <c r="E90" s="117">
        <f>SUMIFS(Model_15y!$O:$O, Model_15y!$B:$B, "&lt;="&amp;$D$2)</f>
        <v>0</v>
      </c>
      <c r="F90" s="117">
        <v>0</v>
      </c>
      <c r="G90" s="111"/>
      <c r="H90" s="111"/>
      <c r="I90" s="111"/>
      <c r="J90" s="111"/>
      <c r="K90" s="111"/>
      <c r="L90" s="111"/>
      <c r="M90" s="111"/>
      <c r="N90" s="111"/>
      <c r="O90" s="120"/>
    </row>
    <row r="91" spans="2:15" outlineLevel="1" x14ac:dyDescent="0.25">
      <c r="B91" s="123" t="s">
        <v>51</v>
      </c>
      <c r="C91" s="111"/>
      <c r="D91" s="117">
        <f>SUMIFS(Model_30y!$P:$P, Model_30y!$B:$B, "&lt;="&amp;$D$2)</f>
        <v>-763336.206785577</v>
      </c>
      <c r="E91" s="117">
        <f>SUMIFS(Model_15y!$P:$P, Model_15y!$B:$B, "&lt;="&amp;$D$2)</f>
        <v>-763336.206785577</v>
      </c>
      <c r="F91" s="117">
        <v>0</v>
      </c>
      <c r="G91" s="111"/>
      <c r="H91" s="111"/>
      <c r="I91" s="111"/>
      <c r="J91" s="111"/>
      <c r="K91" s="111"/>
      <c r="L91" s="111"/>
      <c r="M91" s="111"/>
      <c r="N91" s="111"/>
      <c r="O91" s="120"/>
    </row>
    <row r="92" spans="2:15" outlineLevel="1" x14ac:dyDescent="0.25">
      <c r="B92" s="123" t="s">
        <v>48</v>
      </c>
      <c r="C92" s="111"/>
      <c r="D92" s="117">
        <f>SUMIFS(Model_30y!$Q:$Q, Model_30y!$B:$B, "&lt;="&amp;$D$2)</f>
        <v>-307411.07284095098</v>
      </c>
      <c r="E92" s="117">
        <f>SUMIFS(Model_15y!$Q:$Q, Model_15y!$B:$B, "&lt;="&amp;$D$2)</f>
        <v>-307411.07284095098</v>
      </c>
      <c r="F92" s="117">
        <v>0</v>
      </c>
      <c r="G92" s="111"/>
      <c r="H92" s="111"/>
      <c r="I92" s="111"/>
      <c r="J92" s="111"/>
      <c r="K92" s="111"/>
      <c r="L92" s="111"/>
      <c r="M92" s="111"/>
      <c r="N92" s="111"/>
      <c r="O92" s="120"/>
    </row>
    <row r="93" spans="2:15" outlineLevel="1" x14ac:dyDescent="0.25">
      <c r="B93" s="123" t="s">
        <v>80</v>
      </c>
      <c r="C93" s="111"/>
      <c r="D93" s="117">
        <f>SUMIFS(Model_30y!$R:$R, Model_30y!$B:$B, "&lt;="&amp;$D$2)</f>
        <v>-275896.31973496103</v>
      </c>
      <c r="E93" s="117">
        <f>SUMIFS(Model_15y!$R:$R, Model_15y!$B:$B, "&lt;="&amp;$D$2)</f>
        <v>-275896.31973496103</v>
      </c>
      <c r="F93" s="117">
        <v>0</v>
      </c>
      <c r="G93" s="111"/>
      <c r="H93" s="111"/>
      <c r="I93" s="111"/>
      <c r="J93" s="111"/>
      <c r="K93" s="111"/>
      <c r="L93" s="111"/>
      <c r="M93" s="111"/>
      <c r="N93" s="111"/>
      <c r="O93" s="120"/>
    </row>
    <row r="94" spans="2:15" outlineLevel="1" x14ac:dyDescent="0.25">
      <c r="B94" s="123" t="s">
        <v>70</v>
      </c>
      <c r="C94" s="111"/>
      <c r="D94" s="117">
        <f>SUMIFS(Model_30y!$S:$S, Model_30y!$B:$B, "&lt;="&amp;$D$2)</f>
        <v>0</v>
      </c>
      <c r="E94" s="117">
        <f>SUMIFS(Model_15y!$S:$S, Model_15y!$B:$B, "&lt;="&amp;$D$2)</f>
        <v>0</v>
      </c>
      <c r="F94" s="117">
        <v>0</v>
      </c>
      <c r="G94" s="111"/>
      <c r="H94" s="111"/>
      <c r="I94" s="111"/>
      <c r="J94" s="111"/>
      <c r="K94" s="111"/>
      <c r="L94" s="111"/>
      <c r="M94" s="111"/>
      <c r="N94" s="111"/>
      <c r="O94" s="120"/>
    </row>
    <row r="95" spans="2:15" outlineLevel="1" x14ac:dyDescent="0.25">
      <c r="B95" s="123"/>
      <c r="C95" s="111"/>
      <c r="D95" s="111"/>
      <c r="E95" s="111"/>
      <c r="F95" s="111"/>
      <c r="G95" s="111"/>
      <c r="H95" s="111"/>
      <c r="I95" s="111"/>
      <c r="J95" s="111"/>
      <c r="K95" s="111"/>
      <c r="L95" s="111"/>
      <c r="M95" s="111"/>
      <c r="N95" s="111"/>
      <c r="O95" s="120"/>
    </row>
    <row r="96" spans="2:15" outlineLevel="1" x14ac:dyDescent="0.25">
      <c r="B96" s="123" t="s">
        <v>79</v>
      </c>
      <c r="C96" s="111"/>
      <c r="D96" s="117">
        <v>0</v>
      </c>
      <c r="E96" s="117">
        <v>0</v>
      </c>
      <c r="F96" s="117">
        <f>SUMIFS(Model_Renter!$D:$D, Model_Renter!$B:$B, "&lt;="&amp;$D$2)</f>
        <v>-1875806.6302260398</v>
      </c>
      <c r="G96" s="111"/>
      <c r="H96" s="111"/>
      <c r="I96" s="111"/>
      <c r="J96" s="111"/>
      <c r="K96" s="111"/>
      <c r="L96" s="111"/>
      <c r="M96" s="111"/>
      <c r="N96" s="111"/>
      <c r="O96" s="120"/>
    </row>
    <row r="97" spans="1:15" outlineLevel="1" x14ac:dyDescent="0.25">
      <c r="B97" s="123" t="s">
        <v>118</v>
      </c>
      <c r="C97" s="111"/>
      <c r="D97" s="117">
        <v>0</v>
      </c>
      <c r="E97" s="117">
        <v>0</v>
      </c>
      <c r="F97" s="117">
        <f>SUMIFS(Model_Renter!$E:$E, Model_Renter!$B:$B, "&lt;="&amp;$D$2)</f>
        <v>-15654.409468504653</v>
      </c>
      <c r="G97" s="111"/>
      <c r="H97" s="111"/>
      <c r="I97" s="111"/>
      <c r="J97" s="111"/>
      <c r="K97" s="111"/>
      <c r="L97" s="111"/>
      <c r="M97" s="111"/>
      <c r="N97" s="111"/>
      <c r="O97" s="120"/>
    </row>
    <row r="98" spans="1:15" outlineLevel="1" x14ac:dyDescent="0.25">
      <c r="B98" s="123" t="s">
        <v>64</v>
      </c>
      <c r="C98" s="111"/>
      <c r="D98" s="117">
        <v>0</v>
      </c>
      <c r="E98" s="117">
        <v>0</v>
      </c>
      <c r="F98" s="117">
        <f>-Assumptions!$D$30</f>
        <v>-2756</v>
      </c>
      <c r="G98" s="111"/>
      <c r="H98" s="111"/>
      <c r="I98" s="111"/>
      <c r="J98" s="111"/>
      <c r="K98" s="111"/>
      <c r="L98" s="111"/>
      <c r="M98" s="111"/>
      <c r="N98" s="111"/>
      <c r="O98" s="120"/>
    </row>
    <row r="99" spans="1:15" outlineLevel="1" x14ac:dyDescent="0.25">
      <c r="B99" s="123"/>
      <c r="C99" s="111"/>
      <c r="D99" s="111"/>
      <c r="E99" s="111"/>
      <c r="F99" s="111"/>
      <c r="G99" s="111"/>
      <c r="H99" s="111"/>
      <c r="I99" s="111"/>
      <c r="J99" s="111"/>
      <c r="K99" s="111"/>
      <c r="L99" s="111"/>
      <c r="M99" s="111"/>
      <c r="N99" s="111"/>
      <c r="O99" s="120"/>
    </row>
    <row r="100" spans="1:15" outlineLevel="1" x14ac:dyDescent="0.25">
      <c r="B100" s="123" t="s">
        <v>82</v>
      </c>
      <c r="C100" s="111"/>
      <c r="D100" s="117">
        <f>SUMIFS(Model_30y!$Z:$Z, Model_30y!$B:$B, "&lt;="&amp;$D$2)*-1</f>
        <v>-333359.44471163652</v>
      </c>
      <c r="E100" s="117">
        <f>SUMIFS(Model_15y!$Z:$Z, Model_15y!$B:$B, "&lt;="&amp;$D$2)*-1</f>
        <v>-571317.62958391733</v>
      </c>
      <c r="F100" s="117">
        <f>IF($D$2=0, Model_Renter!$J$2, SUMIFS(Model_Renter!$H:$H, Model_Renter!$B:$B, "&lt;="&amp;$D$2) + Model_Renter!$J$2) * -1</f>
        <v>-621085.54005606112</v>
      </c>
      <c r="G100" s="111"/>
      <c r="H100" s="111"/>
      <c r="I100" s="111"/>
      <c r="J100" s="111"/>
      <c r="K100" s="111"/>
      <c r="L100" s="111"/>
      <c r="M100" s="111"/>
      <c r="N100" s="111"/>
      <c r="O100" s="120"/>
    </row>
    <row r="101" spans="1:15" outlineLevel="1" x14ac:dyDescent="0.25">
      <c r="B101" s="123" t="s">
        <v>29</v>
      </c>
      <c r="C101" s="111"/>
      <c r="D101" s="117">
        <f>SUMIFS(Model_30y!$AF:$AF, Model_30y!$B:$B, "&lt;="&amp;$D$2)</f>
        <v>-5792.4983498845131</v>
      </c>
      <c r="E101" s="117">
        <f>SUMIFS(Model_15y!$AF:$AF, Model_15y!$B:$B, "&lt;="&amp;$D$2)</f>
        <v>-3783.0909388113105</v>
      </c>
      <c r="F101" s="117">
        <f>SUMIFS(Model_Renter!$M:$M, Model_Renter!$B:$B, "&lt;="&amp;$D$2)</f>
        <v>-15835.229951383057</v>
      </c>
      <c r="G101" s="111"/>
      <c r="H101" s="111"/>
      <c r="I101" s="111"/>
      <c r="J101" s="111"/>
      <c r="K101" s="111"/>
      <c r="L101" s="111"/>
      <c r="M101" s="111"/>
      <c r="N101" s="111"/>
      <c r="O101" s="120"/>
    </row>
    <row r="102" spans="1:15" outlineLevel="1" x14ac:dyDescent="0.25">
      <c r="B102" s="123" t="s">
        <v>83</v>
      </c>
      <c r="C102" s="111"/>
      <c r="D102" s="118">
        <f>SUMIFS(Model_30y!$AE:$AE, Model_30y!$B:$B, "&lt;="&amp;$D$2)</f>
        <v>-23348.56768967475</v>
      </c>
      <c r="E102" s="118">
        <f>SUMIFS(Model_15y!$AE:$AE, Model_15y!$B:$B, "&lt;="&amp;$D$2)</f>
        <v>-15248.990940634822</v>
      </c>
      <c r="F102" s="118">
        <f>SUMIFS(Model_Renter!$L:$L, Model_Renter!$B:$B, "&lt;="&amp;$D$2)</f>
        <v>-63829.096888530621</v>
      </c>
      <c r="G102" s="111"/>
      <c r="H102" s="111"/>
      <c r="I102" s="111"/>
      <c r="J102" s="111"/>
      <c r="K102" s="111"/>
      <c r="L102" s="111"/>
      <c r="M102" s="111"/>
      <c r="N102" s="111"/>
      <c r="O102" s="120"/>
    </row>
    <row r="103" spans="1:15" ht="17.25" outlineLevel="1" x14ac:dyDescent="0.25">
      <c r="B103" s="123" t="s">
        <v>190</v>
      </c>
      <c r="C103" s="111"/>
      <c r="D103" s="117">
        <f>SUM(D85:D102)</f>
        <v>-2612160.3579685427</v>
      </c>
      <c r="E103" s="117">
        <f t="shared" ref="E103" si="2">SUM(E85:E102)</f>
        <v>-2560058.7529486171</v>
      </c>
      <c r="F103" s="117">
        <f>SUM(F85:F102)</f>
        <v>-2594966.906590519</v>
      </c>
      <c r="G103" s="111"/>
      <c r="H103" s="111"/>
      <c r="I103" s="111"/>
      <c r="J103" s="111"/>
      <c r="K103" s="111"/>
      <c r="L103" s="111"/>
      <c r="M103" s="111"/>
      <c r="N103" s="111"/>
      <c r="O103" s="120"/>
    </row>
    <row r="104" spans="1:15" outlineLevel="1" x14ac:dyDescent="0.25">
      <c r="B104" s="123"/>
      <c r="C104" s="111"/>
      <c r="D104" s="111"/>
      <c r="E104" s="111"/>
      <c r="F104" s="111"/>
      <c r="G104" s="111"/>
      <c r="H104" s="111"/>
      <c r="I104" s="111"/>
      <c r="J104" s="111"/>
      <c r="K104" s="111"/>
      <c r="L104" s="111"/>
      <c r="M104" s="111"/>
      <c r="N104" s="111"/>
      <c r="O104" s="120"/>
    </row>
    <row r="105" spans="1:15" ht="15.75" outlineLevel="1" thickBot="1" x14ac:dyDescent="0.3">
      <c r="B105" s="131" t="s">
        <v>84</v>
      </c>
      <c r="C105" s="111"/>
      <c r="D105" s="132">
        <f>D82+D103</f>
        <v>824872.60113574937</v>
      </c>
      <c r="E105" s="132">
        <f t="shared" ref="E105:F105" si="3">E82+E103</f>
        <v>704870.1618054132</v>
      </c>
      <c r="F105" s="132">
        <f t="shared" si="3"/>
        <v>1243816.7304929253</v>
      </c>
      <c r="G105" s="111"/>
      <c r="H105" s="111"/>
      <c r="I105" s="111"/>
      <c r="J105" s="111"/>
      <c r="K105" s="111"/>
      <c r="L105" s="111"/>
      <c r="M105" s="111"/>
      <c r="N105" s="111"/>
      <c r="O105" s="120"/>
    </row>
    <row r="106" spans="1:15" ht="15.75" outlineLevel="1" thickTop="1" x14ac:dyDescent="0.25">
      <c r="B106" s="56" t="s">
        <v>17</v>
      </c>
      <c r="C106" s="111"/>
      <c r="D106" s="127">
        <f>D105/(D103*-1)</f>
        <v>0.31578176225645144</v>
      </c>
      <c r="E106" s="127">
        <f t="shared" ref="E106:F106" si="4">E105/(E103*-1)</f>
        <v>0.27533358794737028</v>
      </c>
      <c r="F106" s="127">
        <f t="shared" si="4"/>
        <v>0.47931891822356765</v>
      </c>
      <c r="G106" s="111"/>
      <c r="H106" s="111"/>
      <c r="I106" s="111"/>
      <c r="J106" s="111"/>
      <c r="K106" s="111"/>
      <c r="L106" s="111"/>
      <c r="M106" s="111"/>
      <c r="N106" s="111"/>
      <c r="O106" s="120"/>
    </row>
    <row r="107" spans="1:15" outlineLevel="1" x14ac:dyDescent="0.25">
      <c r="B107" s="56"/>
      <c r="C107" s="111"/>
      <c r="D107" s="127"/>
      <c r="E107" s="127"/>
      <c r="F107" s="127"/>
      <c r="G107" s="111"/>
      <c r="H107" s="111"/>
      <c r="I107" s="111"/>
      <c r="J107" s="111"/>
      <c r="K107" s="111"/>
      <c r="L107" s="111"/>
      <c r="M107" s="111"/>
      <c r="N107" s="111"/>
      <c r="O107" s="120"/>
    </row>
    <row r="108" spans="1:15" outlineLevel="1" x14ac:dyDescent="0.25">
      <c r="B108" s="200" t="s">
        <v>191</v>
      </c>
      <c r="C108" s="201"/>
      <c r="D108" s="201"/>
      <c r="E108" s="201"/>
      <c r="F108" s="201"/>
      <c r="G108" s="201"/>
      <c r="H108" s="201"/>
      <c r="I108" s="198"/>
      <c r="J108" s="198"/>
      <c r="K108" s="198"/>
      <c r="L108" s="198"/>
      <c r="M108" s="198"/>
      <c r="N108" s="198"/>
      <c r="O108" s="199"/>
    </row>
    <row r="109" spans="1:15" outlineLevel="1" x14ac:dyDescent="0.25">
      <c r="B109" s="125"/>
      <c r="C109" s="121"/>
      <c r="D109" s="121"/>
      <c r="E109" s="121"/>
      <c r="F109" s="121"/>
      <c r="G109" s="121"/>
      <c r="H109" s="121"/>
      <c r="I109" s="121"/>
      <c r="J109" s="121"/>
      <c r="K109" s="121"/>
      <c r="L109" s="121"/>
      <c r="M109" s="121"/>
      <c r="N109" s="121"/>
      <c r="O109" s="122"/>
    </row>
    <row r="111" spans="1:15" ht="18.75" x14ac:dyDescent="0.3">
      <c r="A111" t="s">
        <v>72</v>
      </c>
      <c r="B111" s="41" t="str">
        <f>"DIVIDENDS TO COVER HOUSING EXPENSES (FOR YEAR "&amp;$D$2&amp;")"</f>
        <v>DIVIDENDS TO COVER HOUSING EXPENSES (FOR YEAR 31)</v>
      </c>
      <c r="C111" s="103"/>
      <c r="D111" s="103"/>
      <c r="E111" s="103"/>
      <c r="F111" s="103"/>
      <c r="G111" s="103"/>
      <c r="H111" s="103"/>
      <c r="I111" s="103"/>
      <c r="J111" s="103"/>
      <c r="K111" s="103"/>
      <c r="L111" s="103"/>
      <c r="M111" s="103"/>
      <c r="N111" s="103"/>
      <c r="O111" s="104"/>
    </row>
    <row r="112" spans="1:15" outlineLevel="1" x14ac:dyDescent="0.25">
      <c r="B112" s="60"/>
      <c r="C112" s="8"/>
      <c r="D112" s="8"/>
      <c r="E112" s="8"/>
      <c r="F112" s="8"/>
      <c r="G112" s="8"/>
      <c r="H112" s="8"/>
      <c r="I112" s="8"/>
      <c r="J112" s="8"/>
      <c r="K112" s="8"/>
      <c r="L112" s="8"/>
      <c r="M112" s="8"/>
      <c r="N112" s="8"/>
      <c r="O112" s="44"/>
    </row>
    <row r="113" spans="2:15" outlineLevel="1" x14ac:dyDescent="0.25">
      <c r="B113" s="60"/>
      <c r="C113" s="8"/>
      <c r="D113" s="68" t="s">
        <v>149</v>
      </c>
      <c r="E113" s="68" t="s">
        <v>148</v>
      </c>
      <c r="F113" s="68" t="s">
        <v>31</v>
      </c>
      <c r="G113" s="8"/>
      <c r="H113" s="8"/>
      <c r="I113" s="8"/>
      <c r="J113" s="8"/>
      <c r="K113" s="8"/>
      <c r="L113" s="8"/>
      <c r="M113" s="8"/>
      <c r="N113" s="8"/>
      <c r="O113" s="44"/>
    </row>
    <row r="114" spans="2:15" outlineLevel="1" x14ac:dyDescent="0.25">
      <c r="B114" s="56" t="s">
        <v>73</v>
      </c>
      <c r="C114" s="8"/>
      <c r="D114" s="9">
        <f>SUMIFS(Model_30y!$AD:$AD, Model_30y!$B:$B,$D$2)</f>
        <v>15459.185610921246</v>
      </c>
      <c r="E114" s="9">
        <f>SUMIFS(Model_15y!$AD:$AD, Model_15y!$B:$B,$D$2)</f>
        <v>13676.686700356749</v>
      </c>
      <c r="F114" s="9">
        <f>SUMIFS(Model_Renter!$K:$K, Model_Renter!$B:$B, $D$2)</f>
        <v>39650.79670534459</v>
      </c>
      <c r="G114" s="8"/>
      <c r="H114" s="8"/>
      <c r="I114" s="8"/>
      <c r="J114" s="8"/>
      <c r="K114" s="8"/>
      <c r="L114" s="8"/>
      <c r="M114" s="8"/>
      <c r="N114" s="8"/>
      <c r="O114" s="44"/>
    </row>
    <row r="115" spans="2:15" outlineLevel="1" x14ac:dyDescent="0.25">
      <c r="B115" s="56" t="s">
        <v>50</v>
      </c>
      <c r="C115" s="8"/>
      <c r="D115" s="9">
        <f>SUMIFS(Model_30y!$AE:$AE, Model_30y!$B:$B, $D$2)</f>
        <v>-2318.877841638187</v>
      </c>
      <c r="E115" s="9">
        <f>SUMIFS(Model_15y!$AE:$AE, Model_15y!$B:$B, $D$2)</f>
        <v>-2051.5030050535124</v>
      </c>
      <c r="F115" s="9">
        <f>SUMIFS(Model_Renter!$L:$L, Model_Renter!$B:$B, $D$2)</f>
        <v>-5947.6195058016892</v>
      </c>
      <c r="G115" s="8"/>
      <c r="H115" s="8"/>
      <c r="I115" s="8"/>
      <c r="J115" s="8"/>
      <c r="K115" s="8"/>
      <c r="L115" s="8"/>
      <c r="M115" s="8"/>
      <c r="N115" s="8"/>
      <c r="O115" s="44"/>
    </row>
    <row r="116" spans="2:15" outlineLevel="1" x14ac:dyDescent="0.25">
      <c r="B116" s="56" t="s">
        <v>27</v>
      </c>
      <c r="C116" s="8"/>
      <c r="D116" s="9">
        <f>SUMIFS(Model_30y!$F:$F, Model_30y!$B:$B, $D$2)</f>
        <v>0</v>
      </c>
      <c r="E116" s="9">
        <f>SUMIFS(Model_15y!$F:$F, Model_15y!$B:$B, $D$2)</f>
        <v>0</v>
      </c>
      <c r="F116" s="9">
        <v>0</v>
      </c>
      <c r="G116" s="8"/>
      <c r="H116" s="8"/>
      <c r="I116" s="8"/>
      <c r="J116" s="8"/>
      <c r="K116" s="8"/>
      <c r="L116" s="8"/>
      <c r="M116" s="8"/>
      <c r="N116" s="8"/>
      <c r="O116" s="44"/>
    </row>
    <row r="117" spans="2:15" outlineLevel="1" x14ac:dyDescent="0.25">
      <c r="B117" s="56" t="s">
        <v>116</v>
      </c>
      <c r="C117" s="8"/>
      <c r="D117" s="9">
        <f>SUMIFS(Model_30y!$U:$U, Model_30y!$B:$B, Results!$D$2)</f>
        <v>-82250.580389604904</v>
      </c>
      <c r="E117" s="9">
        <f>SUMIFS(Model_15y!$U:$U, Model_15y!$B:$B, Results!$D$2)</f>
        <v>-82250.580389604904</v>
      </c>
      <c r="F117" s="9">
        <v>0</v>
      </c>
      <c r="G117" s="8"/>
      <c r="H117" s="8"/>
      <c r="I117" s="8"/>
      <c r="J117" s="8"/>
      <c r="K117" s="8"/>
      <c r="L117" s="8"/>
      <c r="M117" s="8"/>
      <c r="N117" s="8"/>
      <c r="O117" s="44"/>
    </row>
    <row r="118" spans="2:15" outlineLevel="1" x14ac:dyDescent="0.25">
      <c r="B118" s="56" t="s">
        <v>69</v>
      </c>
      <c r="C118" s="8"/>
      <c r="D118" s="134">
        <v>0</v>
      </c>
      <c r="E118" s="134">
        <v>0</v>
      </c>
      <c r="F118" s="134">
        <f>(SUMIFS(Model_Renter!$D:$D, Model_Renter!$B:$B, $D$2) + SUMIFS(Model_Renter!$E:$E, Model_Renter!$B:$B, $D$2))</f>
        <v>-100336.07372717954</v>
      </c>
      <c r="G118" s="8"/>
      <c r="H118" s="8"/>
      <c r="I118" s="8"/>
      <c r="J118" s="8"/>
      <c r="K118" s="8"/>
      <c r="L118" s="8"/>
      <c r="M118" s="8"/>
      <c r="N118" s="8"/>
      <c r="O118" s="44"/>
    </row>
    <row r="119" spans="2:15" ht="15.75" outlineLevel="1" thickBot="1" x14ac:dyDescent="0.3">
      <c r="B119" s="56" t="s">
        <v>147</v>
      </c>
      <c r="C119" s="8"/>
      <c r="D119" s="135">
        <f>SUM(D114:D118)</f>
        <v>-69110.272620321848</v>
      </c>
      <c r="E119" s="135">
        <f t="shared" ref="E119:F119" si="5">SUM(E114:E118)</f>
        <v>-70625.396694301671</v>
      </c>
      <c r="F119" s="135">
        <f t="shared" si="5"/>
        <v>-66632.896527636636</v>
      </c>
      <c r="G119" s="8"/>
      <c r="H119" s="8"/>
      <c r="I119" s="8"/>
      <c r="J119" s="8"/>
      <c r="K119" s="8"/>
      <c r="L119" s="8"/>
      <c r="M119" s="8"/>
      <c r="N119" s="8"/>
      <c r="O119" s="44"/>
    </row>
    <row r="120" spans="2:15" ht="15.75" outlineLevel="1" thickTop="1" x14ac:dyDescent="0.25">
      <c r="B120" s="56" t="s">
        <v>17</v>
      </c>
      <c r="C120" s="8"/>
      <c r="D120" s="30">
        <f>1-(D119/SUM(D115:D118))</f>
        <v>0.18279868328646853</v>
      </c>
      <c r="E120" s="30">
        <f t="shared" ref="E120" si="6">1-(E119/SUM(E115:E118))</f>
        <v>0.16223426693181031</v>
      </c>
      <c r="F120" s="30">
        <f>1-(F119/SUM(F115:F118))</f>
        <v>0.37306566510092276</v>
      </c>
      <c r="G120" s="8"/>
      <c r="H120" s="8"/>
      <c r="I120" s="8"/>
      <c r="J120" s="8"/>
      <c r="K120" s="8"/>
      <c r="L120" s="8"/>
      <c r="M120" s="8"/>
      <c r="N120" s="8"/>
      <c r="O120" s="44"/>
    </row>
    <row r="121" spans="2:15" outlineLevel="1" x14ac:dyDescent="0.25">
      <c r="B121" s="60"/>
      <c r="C121" s="8"/>
      <c r="D121" s="8"/>
      <c r="E121" s="8"/>
      <c r="F121" s="8"/>
      <c r="G121" s="8"/>
      <c r="H121" s="8"/>
      <c r="I121" s="8"/>
      <c r="J121" s="8"/>
      <c r="K121" s="8"/>
      <c r="L121" s="8"/>
      <c r="M121" s="8"/>
      <c r="N121" s="8"/>
      <c r="O121" s="44"/>
    </row>
    <row r="122" spans="2:15" outlineLevel="1" x14ac:dyDescent="0.25">
      <c r="B122" s="56" t="s">
        <v>150</v>
      </c>
      <c r="C122" s="8"/>
      <c r="D122" s="65">
        <f>D114+D115</f>
        <v>13140.307769283059</v>
      </c>
      <c r="E122" s="65">
        <f t="shared" ref="E122:F122" si="7">E114+E115</f>
        <v>11625.183695303236</v>
      </c>
      <c r="F122" s="65">
        <f t="shared" si="7"/>
        <v>33703.177199542901</v>
      </c>
      <c r="G122" s="8"/>
      <c r="H122" s="8"/>
      <c r="I122" s="8"/>
      <c r="J122" s="8"/>
      <c r="K122" s="8"/>
      <c r="L122" s="8"/>
      <c r="M122" s="8"/>
      <c r="N122" s="8"/>
      <c r="O122" s="44"/>
    </row>
    <row r="123" spans="2:15" outlineLevel="1" x14ac:dyDescent="0.25">
      <c r="B123" s="56" t="s">
        <v>188</v>
      </c>
      <c r="C123" s="8"/>
      <c r="D123" s="65">
        <f>-SUM(D116:D118)</f>
        <v>82250.580389604904</v>
      </c>
      <c r="E123" s="65">
        <f t="shared" ref="E123:F123" si="8">-SUM(E116:E118)</f>
        <v>82250.580389604904</v>
      </c>
      <c r="F123" s="65">
        <f t="shared" si="8"/>
        <v>100336.07372717954</v>
      </c>
      <c r="G123" s="8"/>
      <c r="H123" s="8"/>
      <c r="I123" s="8"/>
      <c r="J123" s="8"/>
      <c r="K123" s="8"/>
      <c r="L123" s="8"/>
      <c r="M123" s="8"/>
      <c r="N123" s="8"/>
      <c r="O123" s="44"/>
    </row>
    <row r="124" spans="2:15" outlineLevel="1" x14ac:dyDescent="0.25">
      <c r="B124" s="61"/>
      <c r="C124" s="45"/>
      <c r="D124" s="45"/>
      <c r="E124" s="45"/>
      <c r="F124" s="45"/>
      <c r="G124" s="45"/>
      <c r="H124" s="45"/>
      <c r="I124" s="45"/>
      <c r="J124" s="45"/>
      <c r="K124" s="45"/>
      <c r="L124" s="45"/>
      <c r="M124" s="45"/>
      <c r="N124" s="45"/>
      <c r="O124" s="46"/>
    </row>
  </sheetData>
  <sheetProtection algorithmName="SHA-512" hashValue="K23z97WhLMhe0E4CesukarTNEWzD8iHcdV/sImlz8hAcyKSISaBn7bITcdnevRXmOMUZ9k7VlKFDzsja8opGzg==" saltValue="8t6HZ7hzztNk6D9wUvarrA==" spinCount="100000" sheet="1" objects="1" scenarios="1"/>
  <protectedRanges>
    <protectedRange sqref="D2" name="Year_Selection"/>
  </protectedRanges>
  <mergeCells count="1">
    <mergeCell ref="E6:E7"/>
  </mergeCells>
  <printOptions horizontalCentered="1"/>
  <pageMargins left="0.25" right="0.25" top="0.75" bottom="0.75" header="0.3" footer="0.3"/>
  <pageSetup scale="46" fitToHeight="0" orientation="landscape" r:id="rId1"/>
  <headerFooter>
    <oddHeader>&amp;L&amp;A&amp;CRent vs. Purchase of a Home&amp;R&amp;D, &amp;T</oddHeader>
    <oddFooter>&amp;L© Copyright 2025 Nicholas A. Beaver. All rights reserved.&amp;CPage &amp;P of &amp;N&amp;Rwww.nicholasabeaver.com</oddFooter>
  </headerFooter>
  <rowBreaks count="2" manualBreakCount="2">
    <brk id="42" max="16383" man="1"/>
    <brk id="75"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5D697CD-07F4-428E-9AA0-13346E2AF67B}">
          <x14:formula1>
            <xm:f>Lists!$A$1:$A$46</xm:f>
          </x14:formula1>
          <xm:sqref>D2</xm:sqref>
        </x14:dataValidation>
        <x14:dataValidation type="list" allowBlank="1" showInputMessage="1" showErrorMessage="1" xr:uid="{3041A4D2-6F48-448C-8AC2-950166492477}">
          <x14:formula1>
            <xm:f>Lists!$B$1:$B$2</xm:f>
          </x14:formula1>
          <xm:sqref>K2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CDDA4-440E-46CF-ADFD-9F2030C63B27}">
  <sheetPr>
    <tabColor theme="7" tint="0.59999389629810485"/>
  </sheetPr>
  <dimension ref="A1:AJ546"/>
  <sheetViews>
    <sheetView showGridLines="0" showRowColHeaders="0" workbookViewId="0">
      <pane ySplit="1" topLeftCell="A2" activePane="bottomLeft" state="frozen"/>
      <selection activeCell="C1" sqref="C1"/>
      <selection pane="bottomLeft"/>
    </sheetView>
  </sheetViews>
  <sheetFormatPr defaultRowHeight="15" x14ac:dyDescent="0.25"/>
  <cols>
    <col min="1" max="2" width="14.42578125" style="17" customWidth="1"/>
    <col min="3" max="3" width="18.42578125" style="130" customWidth="1"/>
    <col min="4" max="4" width="19.140625" customWidth="1"/>
    <col min="5" max="5" width="19.85546875" hidden="1" customWidth="1"/>
    <col min="6" max="6" width="20" customWidth="1"/>
    <col min="7" max="7" width="16.7109375" style="17" hidden="1" customWidth="1"/>
    <col min="8" max="8" width="15.28515625" hidden="1" customWidth="1"/>
    <col min="9" max="9" width="22.28515625" customWidth="1"/>
    <col min="10" max="10" width="14.42578125" customWidth="1"/>
    <col min="11" max="11" width="18.140625" customWidth="1"/>
    <col min="12" max="12" width="14.42578125" hidden="1" customWidth="1"/>
    <col min="13" max="13" width="19.42578125" hidden="1" customWidth="1"/>
    <col min="14" max="14" width="17.5703125" hidden="1" customWidth="1"/>
    <col min="15" max="15" width="15" hidden="1" customWidth="1"/>
    <col min="16" max="16" width="23.85546875" customWidth="1"/>
    <col min="17" max="17" width="14.42578125" customWidth="1"/>
    <col min="18" max="18" width="24" customWidth="1"/>
    <col min="19" max="20" width="14.42578125" customWidth="1"/>
    <col min="21" max="21" width="15" customWidth="1"/>
    <col min="22" max="22" width="18.140625" customWidth="1"/>
    <col min="23" max="23" width="24.140625" customWidth="1"/>
    <col min="24" max="24" width="14.42578125" customWidth="1"/>
    <col min="25" max="25" width="34.42578125" customWidth="1"/>
    <col min="26" max="26" width="21.28515625" customWidth="1"/>
    <col min="27" max="27" width="31" customWidth="1"/>
    <col min="28" max="28" width="17.42578125" hidden="1" customWidth="1"/>
    <col min="29" max="29" width="31.42578125" customWidth="1"/>
    <col min="30" max="31" width="14.42578125" customWidth="1"/>
    <col min="32" max="32" width="17.85546875" customWidth="1"/>
    <col min="33" max="33" width="33" customWidth="1"/>
    <col min="34" max="34" width="11.28515625" hidden="1" customWidth="1"/>
    <col min="35" max="35" width="22.28515625" hidden="1" customWidth="1"/>
    <col min="36" max="36" width="12.28515625" hidden="1" customWidth="1"/>
  </cols>
  <sheetData>
    <row r="1" spans="1:36" x14ac:dyDescent="0.25">
      <c r="A1" s="18" t="s">
        <v>15</v>
      </c>
      <c r="B1" s="18" t="s">
        <v>0</v>
      </c>
      <c r="C1" s="19" t="s">
        <v>2</v>
      </c>
      <c r="D1" s="18" t="s">
        <v>3</v>
      </c>
      <c r="E1" s="18" t="s">
        <v>22</v>
      </c>
      <c r="F1" s="18" t="s">
        <v>115</v>
      </c>
      <c r="G1" s="18" t="s">
        <v>10</v>
      </c>
      <c r="H1" s="19" t="s">
        <v>4</v>
      </c>
      <c r="I1" s="18" t="s">
        <v>7</v>
      </c>
      <c r="J1" s="18" t="s">
        <v>5</v>
      </c>
      <c r="K1" s="21" t="s">
        <v>60</v>
      </c>
      <c r="L1" s="18" t="s">
        <v>59</v>
      </c>
      <c r="M1" s="18" t="s">
        <v>56</v>
      </c>
      <c r="N1" s="18" t="s">
        <v>57</v>
      </c>
      <c r="O1" s="18" t="s">
        <v>58</v>
      </c>
      <c r="P1" s="19" t="s">
        <v>51</v>
      </c>
      <c r="Q1" s="18" t="s">
        <v>48</v>
      </c>
      <c r="R1" s="18" t="s">
        <v>52</v>
      </c>
      <c r="S1" s="18" t="s">
        <v>70</v>
      </c>
      <c r="T1" s="18" t="s">
        <v>55</v>
      </c>
      <c r="U1" s="21" t="s">
        <v>110</v>
      </c>
      <c r="V1" s="18" t="s">
        <v>112</v>
      </c>
      <c r="W1" s="18" t="s">
        <v>33</v>
      </c>
      <c r="X1" s="18" t="s">
        <v>111</v>
      </c>
      <c r="Y1" s="18" t="s">
        <v>34</v>
      </c>
      <c r="Z1" s="18" t="s">
        <v>11</v>
      </c>
      <c r="AA1" s="18" t="s">
        <v>74</v>
      </c>
      <c r="AB1" s="18" t="s">
        <v>158</v>
      </c>
      <c r="AC1" s="18" t="s">
        <v>36</v>
      </c>
      <c r="AD1" s="18" t="s">
        <v>73</v>
      </c>
      <c r="AE1" s="18" t="s">
        <v>50</v>
      </c>
      <c r="AF1" s="18" t="s">
        <v>29</v>
      </c>
      <c r="AG1" s="18" t="s">
        <v>35</v>
      </c>
      <c r="AH1" s="19" t="s">
        <v>25</v>
      </c>
      <c r="AI1" s="18" t="s">
        <v>26</v>
      </c>
      <c r="AJ1" s="18" t="s">
        <v>24</v>
      </c>
    </row>
    <row r="2" spans="1:36" x14ac:dyDescent="0.25">
      <c r="A2" s="17">
        <v>0</v>
      </c>
      <c r="B2" s="17">
        <f>ROUNDUP(A2/12,0)</f>
        <v>0</v>
      </c>
      <c r="C2" s="23">
        <f>IFERROR(IPMT(Assumptions!$D$16/12,Model_30y!A2, 360,Assumptions!$D$8), 0)</f>
        <v>0</v>
      </c>
      <c r="D2" s="2">
        <f>IFERROR(PPMT(Assumptions!$D$16/12, Model_30y!A2, 360, Assumptions!$D$8), 0)</f>
        <v>0</v>
      </c>
      <c r="E2" s="2">
        <f t="shared" ref="E2:E65" si="0">SUM(C2:D2)</f>
        <v>0</v>
      </c>
      <c r="F2" s="2">
        <v>0</v>
      </c>
      <c r="G2" s="24">
        <f t="shared" ref="G2:G65" si="1">IF(E2+F2&lt;1, 1, 0)</f>
        <v>1</v>
      </c>
      <c r="H2" s="20">
        <f>D2</f>
        <v>0</v>
      </c>
      <c r="I2" s="2">
        <f>MAX(Assumptions!$D$8-SUM(Model_30y!H2), 0)</f>
        <v>340000</v>
      </c>
      <c r="J2" s="2">
        <f>Assumptions!D6</f>
        <v>425000</v>
      </c>
      <c r="K2" s="22">
        <f>(J2-I2)</f>
        <v>85000</v>
      </c>
      <c r="L2" s="5">
        <f>Assumptions!$D$7</f>
        <v>85000</v>
      </c>
      <c r="M2" s="63">
        <v>0</v>
      </c>
      <c r="N2" s="24">
        <v>0</v>
      </c>
      <c r="O2" s="5">
        <v>0</v>
      </c>
      <c r="P2" s="20">
        <v>0</v>
      </c>
      <c r="Q2" s="5">
        <v>0</v>
      </c>
      <c r="R2" s="5">
        <v>0</v>
      </c>
      <c r="S2" s="5">
        <v>0</v>
      </c>
      <c r="T2" s="5">
        <f>O2</f>
        <v>0</v>
      </c>
      <c r="U2" s="22">
        <f t="shared" ref="U2:U65" si="2">SUM(P2:T2)</f>
        <v>0</v>
      </c>
      <c r="V2" s="5">
        <f>(F2+U2)*-1</f>
        <v>0</v>
      </c>
      <c r="W2" s="5">
        <f t="shared" ref="W2:W65" si="3">F2</f>
        <v>0</v>
      </c>
      <c r="X2" s="5">
        <f>U2</f>
        <v>0</v>
      </c>
      <c r="Y2" s="5">
        <f>C2*Assumptions!$D$44</f>
        <v>0</v>
      </c>
      <c r="Z2" s="5">
        <f t="shared" ref="Z2:Z65" si="4">SUM(V2:Y2)</f>
        <v>0</v>
      </c>
      <c r="AA2" s="5">
        <v>0</v>
      </c>
      <c r="AB2" s="3">
        <v>0</v>
      </c>
      <c r="AC2" s="4">
        <f>Z2*AB2</f>
        <v>0</v>
      </c>
      <c r="AD2" s="4">
        <v>0</v>
      </c>
      <c r="AE2" s="2">
        <f>AD2*Assumptions!$D$44*-1</f>
        <v>0</v>
      </c>
      <c r="AF2" s="2">
        <f>AC2*Assumptions!$E$46*-1</f>
        <v>0</v>
      </c>
      <c r="AG2" s="22">
        <f>SUM(AC2:AF2)</f>
        <v>0</v>
      </c>
      <c r="AH2" s="5">
        <f>(Assumptions!$D$7+Assumptions!$D$10)*-1</f>
        <v>-99884</v>
      </c>
      <c r="AI2" s="5">
        <f>Model_Renter!D2</f>
        <v>0</v>
      </c>
      <c r="AJ2" s="5">
        <f>SUM(AH2:AI2)</f>
        <v>-99884</v>
      </c>
    </row>
    <row r="3" spans="1:36" x14ac:dyDescent="0.25">
      <c r="A3" s="17">
        <f>A2+1</f>
        <v>1</v>
      </c>
      <c r="B3" s="17">
        <f t="shared" ref="B3:B66" si="5">ROUNDUP(A3/12,0)</f>
        <v>1</v>
      </c>
      <c r="C3" s="23">
        <f>IFERROR(IPMT(Assumptions!$D$16/12,Model_30y!A3, 360,Assumptions!$D$8), 0)</f>
        <v>-1904</v>
      </c>
      <c r="D3" s="2">
        <f>IFERROR(PPMT(Assumptions!$D$16/12, Model_30y!A3, 360, Assumptions!$D$8), 0)</f>
        <v>-294.45763293293783</v>
      </c>
      <c r="E3" s="2">
        <f t="shared" si="0"/>
        <v>-2198.4576329329379</v>
      </c>
      <c r="F3" s="2">
        <f>IF(I2&gt;1, Assumptions!$E$18, 0)*-1</f>
        <v>-2198.4576329329379</v>
      </c>
      <c r="G3" s="24">
        <f t="shared" si="1"/>
        <v>1</v>
      </c>
      <c r="H3" s="20">
        <f t="shared" ref="H3:H66" si="6">H2+D3*-1</f>
        <v>294.45763293293783</v>
      </c>
      <c r="I3" s="2">
        <f>MAX(Assumptions!$D$8-SUM(Model_30y!H3), 0)</f>
        <v>339705.54236706707</v>
      </c>
      <c r="J3" s="2">
        <f>J2*(1+(Assumptions!$E$51))</f>
        <v>426731.50260805053</v>
      </c>
      <c r="K3" s="22">
        <f t="shared" ref="K3:K65" si="7">(J3-I3)</f>
        <v>87025.960240983462</v>
      </c>
      <c r="L3" s="5">
        <f t="shared" ref="L3:L66" si="8">L2+D3*-1</f>
        <v>85294.457632932943</v>
      </c>
      <c r="M3" s="63">
        <f>L3/Assumptions!$D$6</f>
        <v>0.20069284148925398</v>
      </c>
      <c r="N3" s="24">
        <f>IF(M3&lt;0.2, 1, 0)</f>
        <v>0</v>
      </c>
      <c r="O3" s="5">
        <f>N3*Assumptions!$E$25*-1</f>
        <v>0</v>
      </c>
      <c r="P3" s="20">
        <f>Assumptions!$E$35*J3*-1</f>
        <v>-878.9970265565546</v>
      </c>
      <c r="Q3" s="5">
        <f>J3*Assumptions!$E$36*-1</f>
        <v>-353.99004600558663</v>
      </c>
      <c r="R3" s="5">
        <f>Assumptions!$E$37*-1</f>
        <v>-324.91666666666669</v>
      </c>
      <c r="S3" s="5">
        <f>Assumptions!$E$38*-1</f>
        <v>0</v>
      </c>
      <c r="T3" s="5">
        <f>O3</f>
        <v>0</v>
      </c>
      <c r="U3" s="22">
        <f t="shared" si="2"/>
        <v>-1557.903739228808</v>
      </c>
      <c r="V3" s="5">
        <f>MAX(Assumptions!$E$18:$E$19)-U3</f>
        <v>4399.5367510275046</v>
      </c>
      <c r="W3" s="5">
        <f>F3</f>
        <v>-2198.4576329329379</v>
      </c>
      <c r="X3" s="5">
        <f t="shared" ref="X3:X66" si="9">U3</f>
        <v>-1557.903739228808</v>
      </c>
      <c r="Y3" s="5">
        <f>C3*Assumptions!$D$44*-1</f>
        <v>285.59999999999997</v>
      </c>
      <c r="Z3" s="5">
        <f t="shared" si="4"/>
        <v>928.77537886575851</v>
      </c>
      <c r="AA3" s="5">
        <f>AG2</f>
        <v>0</v>
      </c>
      <c r="AB3" s="3">
        <f>Assumptions!$E$45</f>
        <v>6.9899151946608562E-3</v>
      </c>
      <c r="AC3" s="5">
        <f>(AA3+Z3)+(AA3*AB3)</f>
        <v>928.77537886575851</v>
      </c>
      <c r="AD3" s="5">
        <f>AC3*Assumptions!$E$43</f>
        <v>0.83178847381051113</v>
      </c>
      <c r="AE3" s="2">
        <f>AD3*Assumptions!$D$44*-1</f>
        <v>-0.12476827107157666</v>
      </c>
      <c r="AF3" s="2">
        <f>AC3*Assumptions!$E$46*-1</f>
        <v>-3.095350489613348E-2</v>
      </c>
      <c r="AG3" s="22">
        <f>AC3+SUM(AE3:AF3)</f>
        <v>928.61965708979085</v>
      </c>
      <c r="AH3" s="5">
        <f>Model_30y[[#This Row],[Mortgage Payment]]+Model_30y[[#This Row],[Total Upkeep]]+Model_30y[[#This Row],[Monthly Investment]]</f>
        <v>-2827.5859932959875</v>
      </c>
      <c r="AI3" s="5">
        <f>Model_Renter!D3*-1</f>
        <v>2756</v>
      </c>
      <c r="AJ3" s="5">
        <f>SUM(AH3:AI3)</f>
        <v>-71.585993295987464</v>
      </c>
    </row>
    <row r="4" spans="1:36" x14ac:dyDescent="0.25">
      <c r="A4" s="17">
        <f t="shared" ref="A4:A67" si="10">A3+1</f>
        <v>2</v>
      </c>
      <c r="B4" s="17">
        <f t="shared" si="5"/>
        <v>1</v>
      </c>
      <c r="C4" s="23">
        <f>IFERROR(IPMT(Assumptions!$D$16/12,Model_30y!A4, 360,Assumptions!$D$8), 0)</f>
        <v>-1902.3510372555759</v>
      </c>
      <c r="D4" s="2">
        <f>IFERROR(PPMT(Assumptions!$D$16/12, Model_30y!A4, 360, Assumptions!$D$8), 0)</f>
        <v>-296.10659567736224</v>
      </c>
      <c r="E4" s="2">
        <f t="shared" si="0"/>
        <v>-2198.4576329329379</v>
      </c>
      <c r="F4" s="2">
        <f>IF(I3&gt;1, Assumptions!$E$18, 0)*-1</f>
        <v>-2198.4576329329379</v>
      </c>
      <c r="G4" s="24">
        <f t="shared" si="1"/>
        <v>1</v>
      </c>
      <c r="H4" s="20">
        <f t="shared" si="6"/>
        <v>590.56422861030001</v>
      </c>
      <c r="I4" s="2">
        <f>MAX(Assumptions!$D$8-SUM(Model_30y!H4), 0)</f>
        <v>339409.43577138969</v>
      </c>
      <c r="J4" s="2">
        <f>J3*(1+(Assumptions!$E$51))</f>
        <v>428470.05957205797</v>
      </c>
      <c r="K4" s="22">
        <f t="shared" si="7"/>
        <v>89060.623800668283</v>
      </c>
      <c r="L4" s="5">
        <f t="shared" si="8"/>
        <v>85590.56422861031</v>
      </c>
      <c r="M4" s="63">
        <f>L4/Assumptions!$D$6</f>
        <v>0.20138956289084778</v>
      </c>
      <c r="N4" s="24">
        <f t="shared" ref="N4:N15" si="11">IF(M4&lt;0.2, 1, 0)</f>
        <v>0</v>
      </c>
      <c r="O4" s="5">
        <f>N4*Assumptions!$E$25*-1</f>
        <v>0</v>
      </c>
      <c r="P4" s="20">
        <f>Assumptions!$E$35*J4*-1</f>
        <v>-882.57816924820486</v>
      </c>
      <c r="Q4" s="5">
        <f>J4*Assumptions!$E$36*-1</f>
        <v>-355.43224527119276</v>
      </c>
      <c r="R4" s="5">
        <f>Assumptions!$E$37*-1</f>
        <v>-324.91666666666669</v>
      </c>
      <c r="S4" s="5">
        <f>Assumptions!$E$38*-1</f>
        <v>0</v>
      </c>
      <c r="T4" s="5">
        <f t="shared" ref="T4:T67" si="12">O4</f>
        <v>0</v>
      </c>
      <c r="U4" s="22">
        <f t="shared" si="2"/>
        <v>-1562.9270811860645</v>
      </c>
      <c r="V4" s="5">
        <f>MAX(Assumptions!$E$18:$E$19)-U4</f>
        <v>4404.5600929847615</v>
      </c>
      <c r="W4" s="5">
        <f t="shared" si="3"/>
        <v>-2198.4576329329379</v>
      </c>
      <c r="X4" s="5">
        <f t="shared" si="9"/>
        <v>-1562.9270811860645</v>
      </c>
      <c r="Y4" s="5">
        <f>C4*Assumptions!$D$44*-1</f>
        <v>285.35265558833635</v>
      </c>
      <c r="Z4" s="5">
        <f t="shared" si="4"/>
        <v>928.5280344540954</v>
      </c>
      <c r="AA4" s="5">
        <f t="shared" ref="AA4:AA67" si="13">AG3</f>
        <v>928.61965708979085</v>
      </c>
      <c r="AB4" s="3">
        <f>Assumptions!$E$45</f>
        <v>6.9899151946608562E-3</v>
      </c>
      <c r="AC4" s="5">
        <f t="shared" ref="AC4:AC67" si="14">(AA4+Z4)+(AA4*AB4)</f>
        <v>1863.6386641950389</v>
      </c>
      <c r="AD4" s="5">
        <f>AC4*Assumptions!$E$43</f>
        <v>1.6690291274927347</v>
      </c>
      <c r="AE4" s="2">
        <f>AD4*Assumptions!$D$44*-1</f>
        <v>-0.25035436912391018</v>
      </c>
      <c r="AF4" s="2">
        <f>AC4*Assumptions!$E$46*-1</f>
        <v>-6.2109902813350222E-2</v>
      </c>
      <c r="AG4" s="22">
        <f t="shared" ref="AG4:AG67" si="15">AC4+SUM(AE4:AF4)</f>
        <v>1863.3261999231017</v>
      </c>
      <c r="AH4" s="5">
        <f>Model_30y[[#This Row],[Mortgage Payment]]+Model_30y[[#This Row],[Total Upkeep]]+Model_30y[[#This Row],[Monthly Investment]]</f>
        <v>-2832.8566796649075</v>
      </c>
      <c r="AI4" s="5">
        <f>Model_Renter!D4*-1</f>
        <v>2756</v>
      </c>
      <c r="AJ4" s="5">
        <f t="shared" ref="AJ4:AJ67" si="16">SUM(AH4:AI4)</f>
        <v>-76.85667966490746</v>
      </c>
    </row>
    <row r="5" spans="1:36" x14ac:dyDescent="0.25">
      <c r="A5" s="17">
        <f t="shared" si="10"/>
        <v>3</v>
      </c>
      <c r="B5" s="17">
        <f t="shared" si="5"/>
        <v>1</v>
      </c>
      <c r="C5" s="23">
        <f>IFERROR(IPMT(Assumptions!$D$16/12,Model_30y!A5, 360,Assumptions!$D$8), 0)</f>
        <v>-1900.6928403197821</v>
      </c>
      <c r="D5" s="2">
        <f>IFERROR(PPMT(Assumptions!$D$16/12, Model_30y!A5, 360, Assumptions!$D$8), 0)</f>
        <v>-297.76479261315552</v>
      </c>
      <c r="E5" s="2">
        <f t="shared" si="0"/>
        <v>-2198.4576329329375</v>
      </c>
      <c r="F5" s="2">
        <f>IF(I4&gt;1, Assumptions!$E$18, 0)*-1</f>
        <v>-2198.4576329329379</v>
      </c>
      <c r="G5" s="24">
        <f t="shared" si="1"/>
        <v>1</v>
      </c>
      <c r="H5" s="20">
        <f t="shared" si="6"/>
        <v>888.32902122345558</v>
      </c>
      <c r="I5" s="2">
        <f>MAX(Assumptions!$D$8-SUM(Model_30y!H5), 0)</f>
        <v>339111.67097877653</v>
      </c>
      <c r="J5" s="2">
        <f>J4*(1+(Assumptions!$E$51))</f>
        <v>430215.69963234174</v>
      </c>
      <c r="K5" s="22">
        <f t="shared" si="7"/>
        <v>91104.028653565212</v>
      </c>
      <c r="L5" s="5">
        <f t="shared" si="8"/>
        <v>85888.329021223471</v>
      </c>
      <c r="M5" s="63">
        <f>L5/Assumptions!$D$6</f>
        <v>0.20209018593229053</v>
      </c>
      <c r="N5" s="24">
        <f t="shared" si="11"/>
        <v>0</v>
      </c>
      <c r="O5" s="5">
        <f>N5*Assumptions!$E$25*-1</f>
        <v>0</v>
      </c>
      <c r="P5" s="20">
        <f>Assumptions!$E$35*J5*-1</f>
        <v>-886.17390195846781</v>
      </c>
      <c r="Q5" s="5">
        <f>J5*Assumptions!$E$36*-1</f>
        <v>-356.88032023512767</v>
      </c>
      <c r="R5" s="5">
        <f>Assumptions!$E$37*-1</f>
        <v>-324.91666666666669</v>
      </c>
      <c r="S5" s="5">
        <f>Assumptions!$E$38*-1</f>
        <v>0</v>
      </c>
      <c r="T5" s="5">
        <f t="shared" si="12"/>
        <v>0</v>
      </c>
      <c r="U5" s="22">
        <f t="shared" si="2"/>
        <v>-1567.9708888602622</v>
      </c>
      <c r="V5" s="5">
        <f>MAX(Assumptions!$E$18:$E$19)-U5</f>
        <v>4409.603900658959</v>
      </c>
      <c r="W5" s="5">
        <f t="shared" si="3"/>
        <v>-2198.4576329329379</v>
      </c>
      <c r="X5" s="5">
        <f t="shared" si="9"/>
        <v>-1567.9708888602622</v>
      </c>
      <c r="Y5" s="5">
        <f>C5*Assumptions!$D$44*-1</f>
        <v>285.10392604796732</v>
      </c>
      <c r="Z5" s="5">
        <f t="shared" si="4"/>
        <v>928.27930491372615</v>
      </c>
      <c r="AA5" s="5">
        <f t="shared" si="13"/>
        <v>1863.3261999231017</v>
      </c>
      <c r="AB5" s="3">
        <f>Assumptions!$E$45</f>
        <v>6.9899151946608562E-3</v>
      </c>
      <c r="AC5" s="5">
        <f t="shared" si="14"/>
        <v>2804.6299969542802</v>
      </c>
      <c r="AD5" s="5">
        <f>AC5*Assumptions!$E$43</f>
        <v>2.5117579103127379</v>
      </c>
      <c r="AE5" s="2">
        <f>AD5*Assumptions!$D$44*-1</f>
        <v>-0.37676368654691067</v>
      </c>
      <c r="AF5" s="2">
        <f>AC5*Assumptions!$E$46*-1</f>
        <v>-9.3470531538621629E-2</v>
      </c>
      <c r="AG5" s="22">
        <f t="shared" si="15"/>
        <v>2804.1597627361948</v>
      </c>
      <c r="AH5" s="5">
        <f>Model_30y[[#This Row],[Mortgage Payment]]+Model_30y[[#This Row],[Total Upkeep]]+Model_30y[[#This Row],[Monthly Investment]]</f>
        <v>-2838.1492168794739</v>
      </c>
      <c r="AI5" s="5">
        <f>Model_Renter!D5*-1</f>
        <v>2756</v>
      </c>
      <c r="AJ5" s="5">
        <f t="shared" si="16"/>
        <v>-82.149216879473897</v>
      </c>
    </row>
    <row r="6" spans="1:36" x14ac:dyDescent="0.25">
      <c r="A6" s="17">
        <f t="shared" si="10"/>
        <v>4</v>
      </c>
      <c r="B6" s="17">
        <f t="shared" si="5"/>
        <v>1</v>
      </c>
      <c r="C6" s="23">
        <f>IFERROR(IPMT(Assumptions!$D$16/12,Model_30y!A6, 360,Assumptions!$D$8), 0)</f>
        <v>-1899.0253574811488</v>
      </c>
      <c r="D6" s="2">
        <f>IFERROR(PPMT(Assumptions!$D$16/12, Model_30y!A6, 360, Assumptions!$D$8), 0)</f>
        <v>-299.43227545178922</v>
      </c>
      <c r="E6" s="2">
        <f t="shared" si="0"/>
        <v>-2198.4576329329379</v>
      </c>
      <c r="F6" s="2">
        <f>IF(I5&gt;1, Assumptions!$E$18, 0)*-1</f>
        <v>-2198.4576329329379</v>
      </c>
      <c r="G6" s="24">
        <f t="shared" si="1"/>
        <v>1</v>
      </c>
      <c r="H6" s="20">
        <f t="shared" si="6"/>
        <v>1187.7612966752449</v>
      </c>
      <c r="I6" s="2">
        <f>MAX(Assumptions!$D$8-SUM(Model_30y!H6), 0)</f>
        <v>338812.23870332475</v>
      </c>
      <c r="J6" s="2">
        <f>J5*(1+(Assumptions!$E$51))</f>
        <v>431968.45164631278</v>
      </c>
      <c r="K6" s="22">
        <f t="shared" si="7"/>
        <v>93156.21294298803</v>
      </c>
      <c r="L6" s="5">
        <f t="shared" si="8"/>
        <v>86187.761296675264</v>
      </c>
      <c r="M6" s="63">
        <f>L6/Assumptions!$D$6</f>
        <v>0.20279473246276533</v>
      </c>
      <c r="N6" s="24">
        <f t="shared" si="11"/>
        <v>0</v>
      </c>
      <c r="O6" s="5">
        <f>N6*Assumptions!$E$25*-1</f>
        <v>0</v>
      </c>
      <c r="P6" s="20">
        <f>Assumptions!$E$35*J6*-1</f>
        <v>-889.78428412888525</v>
      </c>
      <c r="Q6" s="5">
        <f>J6*Assumptions!$E$36*-1</f>
        <v>-358.33429483571365</v>
      </c>
      <c r="R6" s="5">
        <f>Assumptions!$E$37*-1</f>
        <v>-324.91666666666669</v>
      </c>
      <c r="S6" s="5">
        <f>Assumptions!$E$38*-1</f>
        <v>0</v>
      </c>
      <c r="T6" s="5">
        <f t="shared" si="12"/>
        <v>0</v>
      </c>
      <c r="U6" s="22">
        <f t="shared" si="2"/>
        <v>-1573.0352456312655</v>
      </c>
      <c r="V6" s="5">
        <f>MAX(Assumptions!$E$18:$E$19)-U6</f>
        <v>4414.6682574299621</v>
      </c>
      <c r="W6" s="5">
        <f t="shared" si="3"/>
        <v>-2198.4576329329379</v>
      </c>
      <c r="X6" s="5">
        <f t="shared" si="9"/>
        <v>-1573.0352456312655</v>
      </c>
      <c r="Y6" s="5">
        <f>C6*Assumptions!$D$44*-1</f>
        <v>284.85380362217234</v>
      </c>
      <c r="Z6" s="5">
        <f t="shared" si="4"/>
        <v>928.02918248793094</v>
      </c>
      <c r="AA6" s="5">
        <f t="shared" si="13"/>
        <v>2804.1597627361948</v>
      </c>
      <c r="AB6" s="3">
        <f>Assumptions!$E$45</f>
        <v>6.9899151946608562E-3</v>
      </c>
      <c r="AC6" s="5">
        <f t="shared" si="14"/>
        <v>3751.789784157932</v>
      </c>
      <c r="AD6" s="5">
        <f>AC6*Assumptions!$E$43</f>
        <v>3.3600110098026685</v>
      </c>
      <c r="AE6" s="2">
        <f>AD6*Assumptions!$D$44*-1</f>
        <v>-0.50400165147040021</v>
      </c>
      <c r="AF6" s="2">
        <f>AC6*Assumptions!$E$46*-1</f>
        <v>-0.1250367377255607</v>
      </c>
      <c r="AG6" s="22">
        <f t="shared" si="15"/>
        <v>3751.160745768736</v>
      </c>
      <c r="AH6" s="5">
        <f>Model_30y[[#This Row],[Mortgage Payment]]+Model_30y[[#This Row],[Total Upkeep]]+Model_30y[[#This Row],[Monthly Investment]]</f>
        <v>-2843.4636960762723</v>
      </c>
      <c r="AI6" s="5">
        <f>Model_Renter!D6*-1</f>
        <v>2756</v>
      </c>
      <c r="AJ6" s="5">
        <f t="shared" si="16"/>
        <v>-87.463696076272299</v>
      </c>
    </row>
    <row r="7" spans="1:36" x14ac:dyDescent="0.25">
      <c r="A7" s="17">
        <f t="shared" si="10"/>
        <v>5</v>
      </c>
      <c r="B7" s="17">
        <f t="shared" si="5"/>
        <v>1</v>
      </c>
      <c r="C7" s="23">
        <f>IFERROR(IPMT(Assumptions!$D$16/12,Model_30y!A7, 360,Assumptions!$D$8), 0)</f>
        <v>-1897.3485367386186</v>
      </c>
      <c r="D7" s="2">
        <f>IFERROR(PPMT(Assumptions!$D$16/12, Model_30y!A7, 360, Assumptions!$D$8), 0)</f>
        <v>-301.10909619431919</v>
      </c>
      <c r="E7" s="2">
        <f t="shared" si="0"/>
        <v>-2198.4576329329379</v>
      </c>
      <c r="F7" s="2">
        <f>IF(I6&gt;1, Assumptions!$E$18, 0)*-1</f>
        <v>-2198.4576329329379</v>
      </c>
      <c r="G7" s="24">
        <f t="shared" si="1"/>
        <v>1</v>
      </c>
      <c r="H7" s="20">
        <f t="shared" si="6"/>
        <v>1488.8703928695641</v>
      </c>
      <c r="I7" s="2">
        <f>MAX(Assumptions!$D$8-SUM(Model_30y!H7), 0)</f>
        <v>338511.12960713042</v>
      </c>
      <c r="J7" s="2">
        <f>J6*(1+(Assumptions!$E$51))</f>
        <v>433728.3445889508</v>
      </c>
      <c r="K7" s="22">
        <f t="shared" si="7"/>
        <v>95217.214981820376</v>
      </c>
      <c r="L7" s="5">
        <f t="shared" si="8"/>
        <v>86488.87039286959</v>
      </c>
      <c r="M7" s="63">
        <f>L7/Assumptions!$D$6</f>
        <v>0.2035032244538108</v>
      </c>
      <c r="N7" s="24">
        <f t="shared" si="11"/>
        <v>0</v>
      </c>
      <c r="O7" s="5">
        <f>N7*Assumptions!$E$25*-1</f>
        <v>0</v>
      </c>
      <c r="P7" s="20">
        <f>Assumptions!$E$35*J7*-1</f>
        <v>-893.40937544317137</v>
      </c>
      <c r="Q7" s="5">
        <f>J7*Assumptions!$E$36*-1</f>
        <v>-359.7941931088007</v>
      </c>
      <c r="R7" s="5">
        <f>Assumptions!$E$37*-1</f>
        <v>-324.91666666666669</v>
      </c>
      <c r="S7" s="5">
        <f>Assumptions!$E$38*-1</f>
        <v>0</v>
      </c>
      <c r="T7" s="5">
        <f t="shared" si="12"/>
        <v>0</v>
      </c>
      <c r="U7" s="22">
        <f t="shared" si="2"/>
        <v>-1578.1202352186388</v>
      </c>
      <c r="V7" s="5">
        <f>MAX(Assumptions!$E$18:$E$19)-U7</f>
        <v>4419.7532470173355</v>
      </c>
      <c r="W7" s="5">
        <f t="shared" si="3"/>
        <v>-2198.4576329329379</v>
      </c>
      <c r="X7" s="5">
        <f t="shared" si="9"/>
        <v>-1578.1202352186388</v>
      </c>
      <c r="Y7" s="5">
        <f>C7*Assumptions!$D$44*-1</f>
        <v>284.60228051079275</v>
      </c>
      <c r="Z7" s="5">
        <f t="shared" si="4"/>
        <v>927.77765937655158</v>
      </c>
      <c r="AA7" s="5">
        <f t="shared" si="13"/>
        <v>3751.160745768736</v>
      </c>
      <c r="AB7" s="3">
        <f>Assumptions!$E$45</f>
        <v>6.9899151946608562E-3</v>
      </c>
      <c r="AC7" s="5">
        <f t="shared" si="14"/>
        <v>4705.1587006397513</v>
      </c>
      <c r="AD7" s="5">
        <f>AC7*Assumptions!$E$43</f>
        <v>4.2138248533470826</v>
      </c>
      <c r="AE7" s="2">
        <f>AD7*Assumptions!$D$44*-1</f>
        <v>-0.63207372800206241</v>
      </c>
      <c r="AF7" s="2">
        <f>AC7*Assumptions!$E$46*-1</f>
        <v>-0.15680987695345439</v>
      </c>
      <c r="AG7" s="22">
        <f t="shared" si="15"/>
        <v>4704.3698170347961</v>
      </c>
      <c r="AH7" s="5">
        <f>Model_30y[[#This Row],[Mortgage Payment]]+Model_30y[[#This Row],[Total Upkeep]]+Model_30y[[#This Row],[Monthly Investment]]</f>
        <v>-2848.8002087750251</v>
      </c>
      <c r="AI7" s="5">
        <f>Model_Renter!D7*-1</f>
        <v>2756</v>
      </c>
      <c r="AJ7" s="5">
        <f t="shared" si="16"/>
        <v>-92.800208775025112</v>
      </c>
    </row>
    <row r="8" spans="1:36" x14ac:dyDescent="0.25">
      <c r="A8" s="17">
        <f t="shared" si="10"/>
        <v>6</v>
      </c>
      <c r="B8" s="17">
        <f t="shared" si="5"/>
        <v>1</v>
      </c>
      <c r="C8" s="23">
        <f>IFERROR(IPMT(Assumptions!$D$16/12,Model_30y!A8, 360,Assumptions!$D$8), 0)</f>
        <v>-1895.6623257999304</v>
      </c>
      <c r="D8" s="2">
        <f>IFERROR(PPMT(Assumptions!$D$16/12, Model_30y!A8, 360, Assumptions!$D$8), 0)</f>
        <v>-302.79530713300738</v>
      </c>
      <c r="E8" s="2">
        <f t="shared" si="0"/>
        <v>-2198.4576329329379</v>
      </c>
      <c r="F8" s="2">
        <f>IF(I7&gt;1, Assumptions!$E$18, 0)*-1</f>
        <v>-2198.4576329329379</v>
      </c>
      <c r="G8" s="24">
        <f t="shared" si="1"/>
        <v>1</v>
      </c>
      <c r="H8" s="20">
        <f t="shared" si="6"/>
        <v>1791.6657000025714</v>
      </c>
      <c r="I8" s="2">
        <f>MAX(Assumptions!$D$8-SUM(Model_30y!H8), 0)</f>
        <v>338208.33429999743</v>
      </c>
      <c r="J8" s="2">
        <f>J7*(1+(Assumptions!$E$51))</f>
        <v>435495.40755328309</v>
      </c>
      <c r="K8" s="22">
        <f t="shared" si="7"/>
        <v>97287.073253285664</v>
      </c>
      <c r="L8" s="5">
        <f t="shared" si="8"/>
        <v>86791.665700002603</v>
      </c>
      <c r="M8" s="63">
        <f>L8/Assumptions!$D$6</f>
        <v>0.20421568400000611</v>
      </c>
      <c r="N8" s="24">
        <f t="shared" si="11"/>
        <v>0</v>
      </c>
      <c r="O8" s="5">
        <f>N8*Assumptions!$E$25*-1</f>
        <v>0</v>
      </c>
      <c r="P8" s="20">
        <f>Assumptions!$E$35*J8*-1</f>
        <v>-897.04923582819879</v>
      </c>
      <c r="Q8" s="5">
        <f>J8*Assumptions!$E$36*-1</f>
        <v>-361.26003918816389</v>
      </c>
      <c r="R8" s="5">
        <f>Assumptions!$E$37*-1</f>
        <v>-324.91666666666669</v>
      </c>
      <c r="S8" s="5">
        <f>Assumptions!$E$38*-1</f>
        <v>0</v>
      </c>
      <c r="T8" s="5">
        <f t="shared" si="12"/>
        <v>0</v>
      </c>
      <c r="U8" s="22">
        <f t="shared" si="2"/>
        <v>-1583.2259416830295</v>
      </c>
      <c r="V8" s="5">
        <f>MAX(Assumptions!$E$18:$E$19)-U8</f>
        <v>4424.8589534817265</v>
      </c>
      <c r="W8" s="5">
        <f t="shared" si="3"/>
        <v>-2198.4576329329379</v>
      </c>
      <c r="X8" s="5">
        <f t="shared" si="9"/>
        <v>-1583.2259416830295</v>
      </c>
      <c r="Y8" s="5">
        <f>C8*Assumptions!$D$44*-1</f>
        <v>284.34934886998957</v>
      </c>
      <c r="Z8" s="5">
        <f t="shared" si="4"/>
        <v>927.52472773574868</v>
      </c>
      <c r="AA8" s="5">
        <f t="shared" si="13"/>
        <v>4704.3698170347961</v>
      </c>
      <c r="AB8" s="3">
        <f>Assumptions!$E$45</f>
        <v>6.9899151946608562E-3</v>
      </c>
      <c r="AC8" s="5">
        <f t="shared" si="14"/>
        <v>5664.7776908359401</v>
      </c>
      <c r="AD8" s="5">
        <f>AC8*Assumptions!$E$43</f>
        <v>5.0732361097798835</v>
      </c>
      <c r="AE8" s="2">
        <f>AD8*Assumptions!$D$44*-1</f>
        <v>-0.76098541646698248</v>
      </c>
      <c r="AF8" s="2">
        <f>AC8*Assumptions!$E$46*-1</f>
        <v>-0.18879131378669073</v>
      </c>
      <c r="AG8" s="22">
        <f t="shared" si="15"/>
        <v>5663.8279141056864</v>
      </c>
      <c r="AH8" s="5">
        <f>Model_30y[[#This Row],[Mortgage Payment]]+Model_30y[[#This Row],[Total Upkeep]]+Model_30y[[#This Row],[Monthly Investment]]</f>
        <v>-2854.1588468802192</v>
      </c>
      <c r="AI8" s="5">
        <f>Model_Renter!D8*-1</f>
        <v>2756</v>
      </c>
      <c r="AJ8" s="5">
        <f t="shared" si="16"/>
        <v>-98.158846880219244</v>
      </c>
    </row>
    <row r="9" spans="1:36" x14ac:dyDescent="0.25">
      <c r="A9" s="17">
        <f t="shared" si="10"/>
        <v>7</v>
      </c>
      <c r="B9" s="17">
        <f t="shared" si="5"/>
        <v>1</v>
      </c>
      <c r="C9" s="23">
        <f>IFERROR(IPMT(Assumptions!$D$16/12,Model_30y!A9, 360,Assumptions!$D$8), 0)</f>
        <v>-1893.9666720799855</v>
      </c>
      <c r="D9" s="2">
        <f>IFERROR(PPMT(Assumptions!$D$16/12, Model_30y!A9, 360, Assumptions!$D$8), 0)</f>
        <v>-304.49096085295224</v>
      </c>
      <c r="E9" s="2">
        <f t="shared" si="0"/>
        <v>-2198.4576329329379</v>
      </c>
      <c r="F9" s="2">
        <f>IF(I8&gt;1, Assumptions!$E$18, 0)*-1</f>
        <v>-2198.4576329329379</v>
      </c>
      <c r="G9" s="24">
        <f t="shared" si="1"/>
        <v>1</v>
      </c>
      <c r="H9" s="20">
        <f t="shared" si="6"/>
        <v>2096.1566608555236</v>
      </c>
      <c r="I9" s="2">
        <f>MAX(Assumptions!$D$8-SUM(Model_30y!H9), 0)</f>
        <v>337903.84333914449</v>
      </c>
      <c r="J9" s="2">
        <f>J8*(1+(Assumptions!$E$51))</f>
        <v>437269.66975086555</v>
      </c>
      <c r="K9" s="22">
        <f t="shared" si="7"/>
        <v>99365.826411721064</v>
      </c>
      <c r="L9" s="5">
        <f t="shared" si="8"/>
        <v>87096.156660855559</v>
      </c>
      <c r="M9" s="63">
        <f>L9/Assumptions!$D$6</f>
        <v>0.20493213331966015</v>
      </c>
      <c r="N9" s="24">
        <f t="shared" si="11"/>
        <v>0</v>
      </c>
      <c r="O9" s="5">
        <f>N9*Assumptions!$E$25*-1</f>
        <v>0</v>
      </c>
      <c r="P9" s="20">
        <f>Assumptions!$E$35*J9*-1</f>
        <v>-900.7039254549901</v>
      </c>
      <c r="Q9" s="5">
        <f>J9*Assumptions!$E$36*-1</f>
        <v>-362.73185730590211</v>
      </c>
      <c r="R9" s="5">
        <f>Assumptions!$E$37*-1</f>
        <v>-324.91666666666669</v>
      </c>
      <c r="S9" s="5">
        <f>Assumptions!$E$38*-1</f>
        <v>0</v>
      </c>
      <c r="T9" s="5">
        <f t="shared" si="12"/>
        <v>0</v>
      </c>
      <c r="U9" s="22">
        <f t="shared" si="2"/>
        <v>-1588.3524494275589</v>
      </c>
      <c r="V9" s="5">
        <f>MAX(Assumptions!$E$18:$E$19)-U9</f>
        <v>4429.9854612262552</v>
      </c>
      <c r="W9" s="5">
        <f t="shared" si="3"/>
        <v>-2198.4576329329379</v>
      </c>
      <c r="X9" s="5">
        <f t="shared" si="9"/>
        <v>-1588.3524494275589</v>
      </c>
      <c r="Y9" s="5">
        <f>C9*Assumptions!$D$44*-1</f>
        <v>284.09500081199781</v>
      </c>
      <c r="Z9" s="5">
        <f t="shared" si="4"/>
        <v>927.27037967775618</v>
      </c>
      <c r="AA9" s="5">
        <f t="shared" si="13"/>
        <v>5663.8279141056864</v>
      </c>
      <c r="AB9" s="3">
        <f>Assumptions!$E$45</f>
        <v>6.9899151946608562E-3</v>
      </c>
      <c r="AC9" s="5">
        <f t="shared" si="14"/>
        <v>6630.6879705801939</v>
      </c>
      <c r="AD9" s="5">
        <f>AC9*Assumptions!$E$43</f>
        <v>5.9382816909919169</v>
      </c>
      <c r="AE9" s="2">
        <f>AD9*Assumptions!$D$44*-1</f>
        <v>-0.89074225364878756</v>
      </c>
      <c r="AF9" s="2">
        <f>AC9*Assumptions!$E$46*-1</f>
        <v>-0.22098242183458267</v>
      </c>
      <c r="AG9" s="22">
        <f t="shared" si="15"/>
        <v>6629.576245904711</v>
      </c>
      <c r="AH9" s="5">
        <f>Model_30y[[#This Row],[Mortgage Payment]]+Model_30y[[#This Row],[Total Upkeep]]+Model_30y[[#This Row],[Monthly Investment]]</f>
        <v>-2859.5397026827404</v>
      </c>
      <c r="AI9" s="5">
        <f>Model_Renter!D9*-1</f>
        <v>2756</v>
      </c>
      <c r="AJ9" s="5">
        <f t="shared" si="16"/>
        <v>-103.53970268274043</v>
      </c>
    </row>
    <row r="10" spans="1:36" x14ac:dyDescent="0.25">
      <c r="A10" s="17">
        <f t="shared" si="10"/>
        <v>8</v>
      </c>
      <c r="B10" s="17">
        <f t="shared" si="5"/>
        <v>1</v>
      </c>
      <c r="C10" s="23">
        <f>IFERROR(IPMT(Assumptions!$D$16/12,Model_30y!A10, 360,Assumptions!$D$8), 0)</f>
        <v>-1892.2615226992091</v>
      </c>
      <c r="D10" s="2">
        <f>IFERROR(PPMT(Assumptions!$D$16/12, Model_30y!A10, 360, Assumptions!$D$8), 0)</f>
        <v>-306.1961102337288</v>
      </c>
      <c r="E10" s="2">
        <f t="shared" si="0"/>
        <v>-2198.4576329329379</v>
      </c>
      <c r="F10" s="2">
        <f>IF(I9&gt;1, Assumptions!$E$18, 0)*-1</f>
        <v>-2198.4576329329379</v>
      </c>
      <c r="G10" s="24">
        <f t="shared" si="1"/>
        <v>1</v>
      </c>
      <c r="H10" s="20">
        <f t="shared" si="6"/>
        <v>2402.3527710892522</v>
      </c>
      <c r="I10" s="2">
        <f>MAX(Assumptions!$D$8-SUM(Model_30y!H10), 0)</f>
        <v>337597.64722891076</v>
      </c>
      <c r="J10" s="2">
        <f>J9*(1+(Assumptions!$E$51))</f>
        <v>439051.16051226563</v>
      </c>
      <c r="K10" s="22">
        <f t="shared" si="7"/>
        <v>101453.51328335487</v>
      </c>
      <c r="L10" s="5">
        <f t="shared" si="8"/>
        <v>87402.352771089281</v>
      </c>
      <c r="M10" s="63">
        <f>L10/Assumptions!$D$6</f>
        <v>0.20565259475550418</v>
      </c>
      <c r="N10" s="24">
        <f t="shared" si="11"/>
        <v>0</v>
      </c>
      <c r="O10" s="5">
        <f>N10*Assumptions!$E$25*-1</f>
        <v>0</v>
      </c>
      <c r="P10" s="20">
        <f>Assumptions!$E$35*J10*-1</f>
        <v>-904.37350473971173</v>
      </c>
      <c r="Q10" s="5">
        <f>J10*Assumptions!$E$36*-1</f>
        <v>-364.209671792839</v>
      </c>
      <c r="R10" s="5">
        <f>Assumptions!$E$37*-1</f>
        <v>-324.91666666666669</v>
      </c>
      <c r="S10" s="5">
        <f>Assumptions!$E$38*-1</f>
        <v>0</v>
      </c>
      <c r="T10" s="5">
        <f t="shared" si="12"/>
        <v>0</v>
      </c>
      <c r="U10" s="22">
        <f t="shared" si="2"/>
        <v>-1593.4998431992174</v>
      </c>
      <c r="V10" s="5">
        <f>MAX(Assumptions!$E$18:$E$19)-U10</f>
        <v>4435.1328549979144</v>
      </c>
      <c r="W10" s="5">
        <f t="shared" si="3"/>
        <v>-2198.4576329329379</v>
      </c>
      <c r="X10" s="5">
        <f t="shared" si="9"/>
        <v>-1593.4998431992174</v>
      </c>
      <c r="Y10" s="5">
        <f>C10*Assumptions!$D$44*-1</f>
        <v>283.83922840488134</v>
      </c>
      <c r="Z10" s="5">
        <f t="shared" si="4"/>
        <v>927.01460727064045</v>
      </c>
      <c r="AA10" s="5">
        <f t="shared" si="13"/>
        <v>6629.576245904711</v>
      </c>
      <c r="AB10" s="3">
        <f>Assumptions!$E$45</f>
        <v>6.9899151946608562E-3</v>
      </c>
      <c r="AC10" s="5">
        <f t="shared" si="14"/>
        <v>7602.9310289107634</v>
      </c>
      <c r="AD10" s="5">
        <f>AC10*Assumptions!$E$43</f>
        <v>6.8089987535493366</v>
      </c>
      <c r="AE10" s="2">
        <f>AD10*Assumptions!$D$44*-1</f>
        <v>-1.0213498130324004</v>
      </c>
      <c r="AF10" s="2">
        <f>AC10*Assumptions!$E$46*-1</f>
        <v>-0.25338458381159262</v>
      </c>
      <c r="AG10" s="22">
        <f t="shared" si="15"/>
        <v>7601.6562945139194</v>
      </c>
      <c r="AH10" s="5">
        <f>Model_30y[[#This Row],[Mortgage Payment]]+Model_30y[[#This Row],[Total Upkeep]]+Model_30y[[#This Row],[Monthly Investment]]</f>
        <v>-2864.9428688615153</v>
      </c>
      <c r="AI10" s="5">
        <f>Model_Renter!D10*-1</f>
        <v>2756</v>
      </c>
      <c r="AJ10" s="5">
        <f t="shared" si="16"/>
        <v>-108.94286886151531</v>
      </c>
    </row>
    <row r="11" spans="1:36" x14ac:dyDescent="0.25">
      <c r="A11" s="17">
        <f t="shared" si="10"/>
        <v>9</v>
      </c>
      <c r="B11" s="17">
        <f t="shared" si="5"/>
        <v>1</v>
      </c>
      <c r="C11" s="23">
        <f>IFERROR(IPMT(Assumptions!$D$16/12,Model_30y!A11, 360,Assumptions!$D$8), 0)</f>
        <v>-1890.5468244819003</v>
      </c>
      <c r="D11" s="2">
        <f>IFERROR(PPMT(Assumptions!$D$16/12, Model_30y!A11, 360, Assumptions!$D$8), 0)</f>
        <v>-307.91080845103767</v>
      </c>
      <c r="E11" s="2">
        <f t="shared" si="0"/>
        <v>-2198.4576329329379</v>
      </c>
      <c r="F11" s="2">
        <f>IF(I10&gt;1, Assumptions!$E$18, 0)*-1</f>
        <v>-2198.4576329329379</v>
      </c>
      <c r="G11" s="24">
        <f t="shared" si="1"/>
        <v>1</v>
      </c>
      <c r="H11" s="20">
        <f t="shared" si="6"/>
        <v>2710.2635795402898</v>
      </c>
      <c r="I11" s="2">
        <f>MAX(Assumptions!$D$8-SUM(Model_30y!H11), 0)</f>
        <v>337289.7364204597</v>
      </c>
      <c r="J11" s="2">
        <f>J10*(1+(Assumptions!$E$51))</f>
        <v>440839.90928754705</v>
      </c>
      <c r="K11" s="22">
        <f t="shared" si="7"/>
        <v>103550.17286708736</v>
      </c>
      <c r="L11" s="5">
        <f t="shared" si="8"/>
        <v>87710.263579540318</v>
      </c>
      <c r="M11" s="63">
        <f>L11/Assumptions!$D$6</f>
        <v>0.20637709077538899</v>
      </c>
      <c r="N11" s="24">
        <f t="shared" si="11"/>
        <v>0</v>
      </c>
      <c r="O11" s="5">
        <f>N11*Assumptions!$E$25*-1</f>
        <v>0</v>
      </c>
      <c r="P11" s="20">
        <f>Assumptions!$E$35*J11*-1</f>
        <v>-908.05803434467316</v>
      </c>
      <c r="Q11" s="5">
        <f>J11*Assumptions!$E$36*-1</f>
        <v>-365.69350707892499</v>
      </c>
      <c r="R11" s="5">
        <f>Assumptions!$E$37*-1</f>
        <v>-324.91666666666669</v>
      </c>
      <c r="S11" s="5">
        <f>Assumptions!$E$38*-1</f>
        <v>0</v>
      </c>
      <c r="T11" s="5">
        <f t="shared" si="12"/>
        <v>0</v>
      </c>
      <c r="U11" s="22">
        <f t="shared" si="2"/>
        <v>-1598.6682080902649</v>
      </c>
      <c r="V11" s="5">
        <f>MAX(Assumptions!$E$18:$E$19)-U11</f>
        <v>4440.3012198889619</v>
      </c>
      <c r="W11" s="5">
        <f t="shared" si="3"/>
        <v>-2198.4576329329379</v>
      </c>
      <c r="X11" s="5">
        <f t="shared" si="9"/>
        <v>-1598.6682080902649</v>
      </c>
      <c r="Y11" s="5">
        <f>C11*Assumptions!$D$44*-1</f>
        <v>283.58202367228506</v>
      </c>
      <c r="Z11" s="5">
        <f t="shared" si="4"/>
        <v>926.75740253804406</v>
      </c>
      <c r="AA11" s="5">
        <f t="shared" si="13"/>
        <v>7601.6562945139194</v>
      </c>
      <c r="AB11" s="3">
        <f>Assumptions!$E$45</f>
        <v>6.9899151946608562E-3</v>
      </c>
      <c r="AC11" s="5">
        <f t="shared" si="14"/>
        <v>8581.5486298895757</v>
      </c>
      <c r="AD11" s="5">
        <f>AC11*Assumptions!$E$43</f>
        <v>7.6854247003227627</v>
      </c>
      <c r="AE11" s="2">
        <f>AD11*Assumptions!$D$44*-1</f>
        <v>-1.1528137050484144</v>
      </c>
      <c r="AF11" s="2">
        <f>AC11*Assumptions!$E$46*-1</f>
        <v>-0.28599919159795845</v>
      </c>
      <c r="AG11" s="22">
        <f t="shared" si="15"/>
        <v>8580.1098169929301</v>
      </c>
      <c r="AH11" s="5">
        <f>Model_30y[[#This Row],[Mortgage Payment]]+Model_30y[[#This Row],[Total Upkeep]]+Model_30y[[#This Row],[Monthly Investment]]</f>
        <v>-2870.368438485159</v>
      </c>
      <c r="AI11" s="5">
        <f>Model_Renter!D11*-1</f>
        <v>2756</v>
      </c>
      <c r="AJ11" s="5">
        <f t="shared" si="16"/>
        <v>-114.368438485159</v>
      </c>
    </row>
    <row r="12" spans="1:36" x14ac:dyDescent="0.25">
      <c r="A12" s="17">
        <f t="shared" si="10"/>
        <v>10</v>
      </c>
      <c r="B12" s="17">
        <f t="shared" si="5"/>
        <v>1</v>
      </c>
      <c r="C12" s="23">
        <f>IFERROR(IPMT(Assumptions!$D$16/12,Model_30y!A12, 360,Assumptions!$D$8), 0)</f>
        <v>-1888.8225239545743</v>
      </c>
      <c r="D12" s="2">
        <f>IFERROR(PPMT(Assumptions!$D$16/12, Model_30y!A12, 360, Assumptions!$D$8), 0)</f>
        <v>-309.63510897836346</v>
      </c>
      <c r="E12" s="2">
        <f t="shared" si="0"/>
        <v>-2198.4576329329379</v>
      </c>
      <c r="F12" s="2">
        <f>IF(I11&gt;1, Assumptions!$E$18, 0)*-1</f>
        <v>-2198.4576329329379</v>
      </c>
      <c r="G12" s="24">
        <f t="shared" si="1"/>
        <v>1</v>
      </c>
      <c r="H12" s="20">
        <f t="shared" si="6"/>
        <v>3019.8986885186532</v>
      </c>
      <c r="I12" s="2">
        <f>MAX(Assumptions!$D$8-SUM(Model_30y!H12), 0)</f>
        <v>336980.10131148132</v>
      </c>
      <c r="J12" s="2">
        <f>J11*(1+(Assumptions!$E$51))</f>
        <v>442635.94564675685</v>
      </c>
      <c r="K12" s="22">
        <f t="shared" si="7"/>
        <v>105655.84433527553</v>
      </c>
      <c r="L12" s="5">
        <f t="shared" si="8"/>
        <v>88019.898688518675</v>
      </c>
      <c r="M12" s="63">
        <f>L12/Assumptions!$D$6</f>
        <v>0.20710564397298512</v>
      </c>
      <c r="N12" s="24">
        <f t="shared" si="11"/>
        <v>0</v>
      </c>
      <c r="O12" s="5">
        <f>N12*Assumptions!$E$25*-1</f>
        <v>0</v>
      </c>
      <c r="P12" s="20">
        <f>Assumptions!$E$35*J12*-1</f>
        <v>-911.75757517932982</v>
      </c>
      <c r="Q12" s="5">
        <f>J12*Assumptions!$E$36*-1</f>
        <v>-367.18338769364101</v>
      </c>
      <c r="R12" s="5">
        <f>Assumptions!$E$37*-1</f>
        <v>-324.91666666666669</v>
      </c>
      <c r="S12" s="5">
        <f>Assumptions!$E$38*-1</f>
        <v>0</v>
      </c>
      <c r="T12" s="5">
        <f t="shared" si="12"/>
        <v>0</v>
      </c>
      <c r="U12" s="22">
        <f t="shared" si="2"/>
        <v>-1603.8576295396376</v>
      </c>
      <c r="V12" s="5">
        <f>MAX(Assumptions!$E$18:$E$19)-U12</f>
        <v>4445.4906413383342</v>
      </c>
      <c r="W12" s="5">
        <f t="shared" si="3"/>
        <v>-2198.4576329329379</v>
      </c>
      <c r="X12" s="5">
        <f t="shared" si="9"/>
        <v>-1603.8576295396376</v>
      </c>
      <c r="Y12" s="5">
        <f>C12*Assumptions!$D$44*-1</f>
        <v>283.32337859318613</v>
      </c>
      <c r="Z12" s="5">
        <f t="shared" si="4"/>
        <v>926.49875745894474</v>
      </c>
      <c r="AA12" s="5">
        <f t="shared" si="13"/>
        <v>8580.1098169929301</v>
      </c>
      <c r="AB12" s="3">
        <f>Assumptions!$E$45</f>
        <v>6.9899151946608562E-3</v>
      </c>
      <c r="AC12" s="5">
        <f t="shared" si="14"/>
        <v>9566.5828144335319</v>
      </c>
      <c r="AD12" s="5">
        <f>AC12*Assumptions!$E$43</f>
        <v>8.5675971821273471</v>
      </c>
      <c r="AE12" s="2">
        <f>AD12*Assumptions!$D$44*-1</f>
        <v>-1.2851395773191021</v>
      </c>
      <c r="AF12" s="2">
        <f>AC12*Assumptions!$E$46*-1</f>
        <v>-0.31882764630072585</v>
      </c>
      <c r="AG12" s="22">
        <f t="shared" si="15"/>
        <v>9564.9788472099117</v>
      </c>
      <c r="AH12" s="5">
        <f>Model_30y[[#This Row],[Mortgage Payment]]+Model_30y[[#This Row],[Total Upkeep]]+Model_30y[[#This Row],[Monthly Investment]]</f>
        <v>-2875.8165050136304</v>
      </c>
      <c r="AI12" s="5">
        <f>Model_Renter!D12*-1</f>
        <v>2756</v>
      </c>
      <c r="AJ12" s="5">
        <f t="shared" si="16"/>
        <v>-119.81650501363038</v>
      </c>
    </row>
    <row r="13" spans="1:36" x14ac:dyDescent="0.25">
      <c r="A13" s="17">
        <f t="shared" si="10"/>
        <v>11</v>
      </c>
      <c r="B13" s="17">
        <f t="shared" si="5"/>
        <v>1</v>
      </c>
      <c r="C13" s="23">
        <f>IFERROR(IPMT(Assumptions!$D$16/12,Model_30y!A13, 360,Assumptions!$D$8), 0)</f>
        <v>-1887.0885673442958</v>
      </c>
      <c r="D13" s="2">
        <f>IFERROR(PPMT(Assumptions!$D$16/12, Model_30y!A13, 360, Assumptions!$D$8), 0)</f>
        <v>-311.36906558864234</v>
      </c>
      <c r="E13" s="2">
        <f t="shared" si="0"/>
        <v>-2198.4576329329384</v>
      </c>
      <c r="F13" s="2">
        <f>IF(I12&gt;1, Assumptions!$E$18, 0)*-1</f>
        <v>-2198.4576329329379</v>
      </c>
      <c r="G13" s="24">
        <f t="shared" si="1"/>
        <v>1</v>
      </c>
      <c r="H13" s="20">
        <f t="shared" si="6"/>
        <v>3331.2677541072953</v>
      </c>
      <c r="I13" s="2">
        <f>MAX(Assumptions!$D$8-SUM(Model_30y!H13), 0)</f>
        <v>336668.73224589269</v>
      </c>
      <c r="J13" s="2">
        <f>J12*(1+(Assumptions!$E$51))</f>
        <v>444439.29928041401</v>
      </c>
      <c r="K13" s="22">
        <f t="shared" si="7"/>
        <v>107770.56703452131</v>
      </c>
      <c r="L13" s="5">
        <f t="shared" si="8"/>
        <v>88331.267754107321</v>
      </c>
      <c r="M13" s="63">
        <f>L13/Assumptions!$D$6</f>
        <v>0.20783827706848781</v>
      </c>
      <c r="N13" s="24">
        <f t="shared" si="11"/>
        <v>0</v>
      </c>
      <c r="O13" s="5">
        <f>N13*Assumptions!$E$25*-1</f>
        <v>0</v>
      </c>
      <c r="P13" s="20">
        <f>Assumptions!$E$35*J13*-1</f>
        <v>-915.47218840128949</v>
      </c>
      <c r="Q13" s="5">
        <f>J13*Assumptions!$E$36*-1</f>
        <v>-368.67933826640427</v>
      </c>
      <c r="R13" s="5">
        <f>Assumptions!$E$37*-1</f>
        <v>-324.91666666666669</v>
      </c>
      <c r="S13" s="5">
        <f>Assumptions!$E$38*-1</f>
        <v>0</v>
      </c>
      <c r="T13" s="5">
        <f t="shared" si="12"/>
        <v>0</v>
      </c>
      <c r="U13" s="22">
        <f t="shared" si="2"/>
        <v>-1609.0681933343606</v>
      </c>
      <c r="V13" s="5">
        <f>MAX(Assumptions!$E$18:$E$19)-U13</f>
        <v>4450.7012051330576</v>
      </c>
      <c r="W13" s="5">
        <f t="shared" si="3"/>
        <v>-2198.4576329329379</v>
      </c>
      <c r="X13" s="5">
        <f t="shared" si="9"/>
        <v>-1609.0681933343606</v>
      </c>
      <c r="Y13" s="5">
        <f>C13*Assumptions!$D$44*-1</f>
        <v>283.06328510164434</v>
      </c>
      <c r="Z13" s="5">
        <f t="shared" si="4"/>
        <v>926.23866396740345</v>
      </c>
      <c r="AA13" s="5">
        <f t="shared" si="13"/>
        <v>9564.9788472099117</v>
      </c>
      <c r="AB13" s="3">
        <f>Assumptions!$E$45</f>
        <v>6.9899151946608562E-3</v>
      </c>
      <c r="AC13" s="5">
        <f t="shared" si="14"/>
        <v>10558.075902158038</v>
      </c>
      <c r="AD13" s="5">
        <f>AC13*Assumptions!$E$43</f>
        <v>9.4555540993737921</v>
      </c>
      <c r="AE13" s="2">
        <f>AD13*Assumptions!$D$44*-1</f>
        <v>-1.4183331149060687</v>
      </c>
      <c r="AF13" s="2">
        <f>AC13*Assumptions!$E$46*-1</f>
        <v>-0.3518713583151879</v>
      </c>
      <c r="AG13" s="22">
        <f t="shared" si="15"/>
        <v>10556.305697684817</v>
      </c>
      <c r="AH13" s="5">
        <f>Model_30y[[#This Row],[Mortgage Payment]]+Model_30y[[#This Row],[Total Upkeep]]+Model_30y[[#This Row],[Monthly Investment]]</f>
        <v>-2881.2871622998955</v>
      </c>
      <c r="AI13" s="5">
        <f>Model_Renter!D13*-1</f>
        <v>2756</v>
      </c>
      <c r="AJ13" s="5">
        <f t="shared" si="16"/>
        <v>-125.2871622998955</v>
      </c>
    </row>
    <row r="14" spans="1:36" x14ac:dyDescent="0.25">
      <c r="A14" s="17">
        <f t="shared" si="10"/>
        <v>12</v>
      </c>
      <c r="B14" s="17">
        <f t="shared" si="5"/>
        <v>1</v>
      </c>
      <c r="C14" s="23">
        <f>IFERROR(IPMT(Assumptions!$D$16/12,Model_30y!A14, 360,Assumptions!$D$8), 0)</f>
        <v>-1885.3449005769994</v>
      </c>
      <c r="D14" s="2">
        <f>IFERROR(PPMT(Assumptions!$D$16/12, Model_30y!A14, 360, Assumptions!$D$8), 0)</f>
        <v>-313.11273235593865</v>
      </c>
      <c r="E14" s="2">
        <f t="shared" si="0"/>
        <v>-2198.4576329329379</v>
      </c>
      <c r="F14" s="2">
        <f>IF(I13&gt;1, Assumptions!$E$18, 0)*-1</f>
        <v>-2198.4576329329379</v>
      </c>
      <c r="G14" s="24">
        <f t="shared" si="1"/>
        <v>1</v>
      </c>
      <c r="H14" s="20">
        <f t="shared" si="6"/>
        <v>3644.3804864632339</v>
      </c>
      <c r="I14" s="2">
        <f>MAX(Assumptions!$D$8-SUM(Model_30y!H14), 0)</f>
        <v>336355.61951353675</v>
      </c>
      <c r="J14" s="2">
        <f>J13*(1+(Assumptions!$E$51))</f>
        <v>446250.00000000035</v>
      </c>
      <c r="K14" s="22">
        <f t="shared" si="7"/>
        <v>109894.3804864636</v>
      </c>
      <c r="L14" s="5">
        <f t="shared" si="8"/>
        <v>88644.380486463255</v>
      </c>
      <c r="M14" s="63">
        <f>L14/Assumptions!$D$6</f>
        <v>0.20857501290932531</v>
      </c>
      <c r="N14" s="24">
        <f t="shared" si="11"/>
        <v>0</v>
      </c>
      <c r="O14" s="5">
        <f>N14*Assumptions!$E$25*-1</f>
        <v>0</v>
      </c>
      <c r="P14" s="20">
        <f>Assumptions!$E$35*J14*-1</f>
        <v>-919.20193541732385</v>
      </c>
      <c r="Q14" s="5">
        <f>J14*Assumptions!$E$36*-1</f>
        <v>-370.1813835269752</v>
      </c>
      <c r="R14" s="5">
        <f>Assumptions!$E$37*-1</f>
        <v>-324.91666666666669</v>
      </c>
      <c r="S14" s="5">
        <f>Assumptions!$E$38*-1</f>
        <v>0</v>
      </c>
      <c r="T14" s="5">
        <f t="shared" si="12"/>
        <v>0</v>
      </c>
      <c r="U14" s="22">
        <f t="shared" si="2"/>
        <v>-1614.2999856109657</v>
      </c>
      <c r="V14" s="5">
        <f>MAX(Assumptions!$E$18:$E$19)-U14</f>
        <v>4455.9329974096627</v>
      </c>
      <c r="W14" s="5">
        <f t="shared" si="3"/>
        <v>-2198.4576329329379</v>
      </c>
      <c r="X14" s="5">
        <f t="shared" si="9"/>
        <v>-1614.2999856109657</v>
      </c>
      <c r="Y14" s="5">
        <f>C14*Assumptions!$D$44*-1</f>
        <v>282.80173508654991</v>
      </c>
      <c r="Z14" s="5">
        <f t="shared" si="4"/>
        <v>925.97711395230897</v>
      </c>
      <c r="AA14" s="5">
        <f t="shared" si="13"/>
        <v>10556.305697684817</v>
      </c>
      <c r="AB14" s="3">
        <f>Assumptions!$E$45</f>
        <v>6.9899151946608562E-3</v>
      </c>
      <c r="AC14" s="5">
        <f t="shared" si="14"/>
        <v>11556.070493232857</v>
      </c>
      <c r="AD14" s="5">
        <f>AC14*Assumptions!$E$43</f>
        <v>10.349333603730411</v>
      </c>
      <c r="AE14" s="2">
        <f>AD14*Assumptions!$D$44*-1</f>
        <v>-1.5524000405595617</v>
      </c>
      <c r="AF14" s="2">
        <f>AC14*Assumptions!$E$46*-1</f>
        <v>-0.3851317473867355</v>
      </c>
      <c r="AG14" s="22">
        <f t="shared" si="15"/>
        <v>11554.132961444911</v>
      </c>
      <c r="AH14" s="5">
        <f>Model_30y[[#This Row],[Mortgage Payment]]+Model_30y[[#This Row],[Total Upkeep]]+Model_30y[[#This Row],[Monthly Investment]]</f>
        <v>-2886.7805045915948</v>
      </c>
      <c r="AI14" s="5">
        <f>Model_Renter!D14*-1</f>
        <v>2756</v>
      </c>
      <c r="AJ14" s="5">
        <f t="shared" si="16"/>
        <v>-130.78050459159476</v>
      </c>
    </row>
    <row r="15" spans="1:36" x14ac:dyDescent="0.25">
      <c r="A15" s="17">
        <f t="shared" si="10"/>
        <v>13</v>
      </c>
      <c r="B15" s="17">
        <f t="shared" si="5"/>
        <v>2</v>
      </c>
      <c r="C15" s="23">
        <f>IFERROR(IPMT(Assumptions!$D$16/12,Model_30y!A15, 360,Assumptions!$D$8), 0)</f>
        <v>-1883.591469275806</v>
      </c>
      <c r="D15" s="2">
        <f>IFERROR(PPMT(Assumptions!$D$16/12, Model_30y!A15, 360, Assumptions!$D$8), 0)</f>
        <v>-314.86616365713189</v>
      </c>
      <c r="E15" s="2">
        <f t="shared" si="0"/>
        <v>-2198.4576329329379</v>
      </c>
      <c r="F15" s="2">
        <f>IF(I14&gt;1, Assumptions!$E$18, 0)*-1</f>
        <v>-2198.4576329329379</v>
      </c>
      <c r="G15" s="24">
        <f t="shared" si="1"/>
        <v>1</v>
      </c>
      <c r="H15" s="20">
        <f t="shared" si="6"/>
        <v>3959.2466501203658</v>
      </c>
      <c r="I15" s="2">
        <f>MAX(Assumptions!$D$8-SUM(Model_30y!H15), 0)</f>
        <v>336040.75334987964</v>
      </c>
      <c r="J15" s="2">
        <f>J14*(1+(Assumptions!$E$51))</f>
        <v>448068.0777384534</v>
      </c>
      <c r="K15" s="22">
        <f t="shared" si="7"/>
        <v>112027.32438857376</v>
      </c>
      <c r="L15" s="5">
        <f t="shared" si="8"/>
        <v>88959.246650120389</v>
      </c>
      <c r="M15" s="63">
        <f>L15/Assumptions!$D$6</f>
        <v>0.20931587447087149</v>
      </c>
      <c r="N15" s="24">
        <f t="shared" si="11"/>
        <v>0</v>
      </c>
      <c r="O15" s="5">
        <f>N15*Assumptions!$E$25*-1</f>
        <v>0</v>
      </c>
      <c r="P15" s="20">
        <f>Assumptions!$E$35*J15*-1</f>
        <v>-922.94687788438307</v>
      </c>
      <c r="Q15" s="5">
        <f>J15*Assumptions!$E$36*-1</f>
        <v>-371.68954830586625</v>
      </c>
      <c r="R15" s="5">
        <f>(R3+(Model_30y!R3*Assumptions!$D$51))</f>
        <v>-341.16250000000002</v>
      </c>
      <c r="S15" s="5">
        <f>S3+(S3*Assumptions!$D$51)</f>
        <v>0</v>
      </c>
      <c r="T15" s="5">
        <f t="shared" si="12"/>
        <v>0</v>
      </c>
      <c r="U15" s="22">
        <f t="shared" si="2"/>
        <v>-1635.7989261902494</v>
      </c>
      <c r="V15" s="5">
        <f>MAX(Assumptions!$E$18:$E$19)-U15</f>
        <v>4477.4319379889457</v>
      </c>
      <c r="W15" s="5">
        <f t="shared" si="3"/>
        <v>-2198.4576329329379</v>
      </c>
      <c r="X15" s="5">
        <f t="shared" si="9"/>
        <v>-1635.7989261902494</v>
      </c>
      <c r="Y15" s="5">
        <f>C15*Assumptions!$D$44*-1</f>
        <v>282.53872039137087</v>
      </c>
      <c r="Z15" s="5">
        <f t="shared" si="4"/>
        <v>925.71409925712919</v>
      </c>
      <c r="AA15" s="5">
        <f t="shared" si="13"/>
        <v>11554.132961444911</v>
      </c>
      <c r="AB15" s="3">
        <f>Assumptions!$E$45</f>
        <v>6.9899151946608562E-3</v>
      </c>
      <c r="AC15" s="5">
        <f t="shared" si="14"/>
        <v>12560.609470250376</v>
      </c>
      <c r="AD15" s="5">
        <f>AC15*Assumptions!$E$43</f>
        <v>11.2489740997963</v>
      </c>
      <c r="AE15" s="2">
        <f>AD15*Assumptions!$D$44*-1</f>
        <v>-1.6873461149694449</v>
      </c>
      <c r="AF15" s="2">
        <f>AC15*Assumptions!$E$46*-1</f>
        <v>-0.41861024267312152</v>
      </c>
      <c r="AG15" s="22">
        <f t="shared" si="15"/>
        <v>12558.503513892734</v>
      </c>
      <c r="AH15" s="5">
        <f>Model_30y[[#This Row],[Mortgage Payment]]+Model_30y[[#This Row],[Total Upkeep]]+Model_30y[[#This Row],[Monthly Investment]]</f>
        <v>-2908.5424598660584</v>
      </c>
      <c r="AI15" s="5">
        <f>Model_Renter!D15*-1</f>
        <v>2859.0744000000004</v>
      </c>
      <c r="AJ15" s="5">
        <f t="shared" si="16"/>
        <v>-49.468059866057956</v>
      </c>
    </row>
    <row r="16" spans="1:36" x14ac:dyDescent="0.25">
      <c r="A16" s="17">
        <f t="shared" si="10"/>
        <v>14</v>
      </c>
      <c r="B16" s="17">
        <f t="shared" si="5"/>
        <v>2</v>
      </c>
      <c r="C16" s="23">
        <f>IFERROR(IPMT(Assumptions!$D$16/12,Model_30y!A16, 360,Assumptions!$D$8), 0)</f>
        <v>-1881.8282187593259</v>
      </c>
      <c r="D16" s="2">
        <f>IFERROR(PPMT(Assumptions!$D$16/12, Model_30y!A16, 360, Assumptions!$D$8), 0)</f>
        <v>-316.62941417361191</v>
      </c>
      <c r="E16" s="2">
        <f t="shared" si="0"/>
        <v>-2198.4576329329379</v>
      </c>
      <c r="F16" s="2">
        <f>IF(I15&gt;1, Assumptions!$E$18, 0)*-1</f>
        <v>-2198.4576329329379</v>
      </c>
      <c r="G16" s="24">
        <f t="shared" si="1"/>
        <v>1</v>
      </c>
      <c r="H16" s="20">
        <f t="shared" si="6"/>
        <v>4275.8760642939778</v>
      </c>
      <c r="I16" s="2">
        <f>MAX(Assumptions!$D$8-SUM(Model_30y!H16), 0)</f>
        <v>335724.12393570604</v>
      </c>
      <c r="J16" s="2">
        <f>J15*(1+(Assumptions!$E$51))</f>
        <v>449893.56255066121</v>
      </c>
      <c r="K16" s="22">
        <f t="shared" si="7"/>
        <v>114169.43861495517</v>
      </c>
      <c r="L16" s="5">
        <f t="shared" si="8"/>
        <v>89275.876064294003</v>
      </c>
      <c r="M16" s="63">
        <f>L16/Assumptions!$D$6</f>
        <v>0.21006088485716237</v>
      </c>
      <c r="N16" s="24">
        <f>IF(M16&lt;0.2, 1, 0)</f>
        <v>0</v>
      </c>
      <c r="O16" s="5">
        <f>N16*Assumptions!$E$25*-1</f>
        <v>0</v>
      </c>
      <c r="P16" s="20">
        <f>Assumptions!$E$35*J16*-1</f>
        <v>-926.70707771061575</v>
      </c>
      <c r="Q16" s="5">
        <f>J16*Assumptions!$E$36*-1</f>
        <v>-373.20385753475267</v>
      </c>
      <c r="R16" s="5">
        <f>(R4+(Model_30y!R4*Assumptions!$D$51))</f>
        <v>-341.16250000000002</v>
      </c>
      <c r="S16" s="5">
        <f>S4+(S4*Assumptions!$D$51)</f>
        <v>0</v>
      </c>
      <c r="T16" s="5">
        <f t="shared" si="12"/>
        <v>0</v>
      </c>
      <c r="U16" s="22">
        <f t="shared" si="2"/>
        <v>-1641.0734352453683</v>
      </c>
      <c r="V16" s="5">
        <f>MAX(Assumptions!$E$18:$E$19)-U16</f>
        <v>4482.7064470440655</v>
      </c>
      <c r="W16" s="5">
        <f t="shared" si="3"/>
        <v>-2198.4576329329379</v>
      </c>
      <c r="X16" s="5">
        <f t="shared" si="9"/>
        <v>-1641.0734352453683</v>
      </c>
      <c r="Y16" s="5">
        <f>C16*Assumptions!$D$44*-1</f>
        <v>282.27423281389889</v>
      </c>
      <c r="Z16" s="5">
        <f t="shared" si="4"/>
        <v>925.44961167965812</v>
      </c>
      <c r="AA16" s="5">
        <f t="shared" si="13"/>
        <v>12558.503513892734</v>
      </c>
      <c r="AB16" s="3">
        <f>Assumptions!$E$45</f>
        <v>6.9899151946608562E-3</v>
      </c>
      <c r="AC16" s="5">
        <f t="shared" si="14"/>
        <v>13571.736000106353</v>
      </c>
      <c r="AD16" s="5">
        <f>AC16*Assumptions!$E$43</f>
        <v>12.154514246785686</v>
      </c>
      <c r="AE16" s="2">
        <f>AD16*Assumptions!$D$44*-1</f>
        <v>-1.8231771370178529</v>
      </c>
      <c r="AF16" s="2">
        <f>AC16*Assumptions!$E$46*-1</f>
        <v>-0.45230828280714097</v>
      </c>
      <c r="AG16" s="22">
        <f t="shared" si="15"/>
        <v>13569.460514686529</v>
      </c>
      <c r="AH16" s="5">
        <f>Model_30y[[#This Row],[Mortgage Payment]]+Model_30y[[#This Row],[Total Upkeep]]+Model_30y[[#This Row],[Monthly Investment]]</f>
        <v>-2914.0814564986481</v>
      </c>
      <c r="AI16" s="5">
        <f>Model_Renter!D16*-1</f>
        <v>2859.0744000000004</v>
      </c>
      <c r="AJ16" s="5">
        <f t="shared" si="16"/>
        <v>-55.007056498647671</v>
      </c>
    </row>
    <row r="17" spans="1:36" x14ac:dyDescent="0.25">
      <c r="A17" s="17">
        <f t="shared" si="10"/>
        <v>15</v>
      </c>
      <c r="B17" s="17">
        <f t="shared" si="5"/>
        <v>2</v>
      </c>
      <c r="C17" s="23">
        <f>IFERROR(IPMT(Assumptions!$D$16/12,Model_30y!A17, 360,Assumptions!$D$8), 0)</f>
        <v>-1880.0550940399537</v>
      </c>
      <c r="D17" s="2">
        <f>IFERROR(PPMT(Assumptions!$D$16/12, Model_30y!A17, 360, Assumptions!$D$8), 0)</f>
        <v>-318.40253889298407</v>
      </c>
      <c r="E17" s="2">
        <f t="shared" si="0"/>
        <v>-2198.4576329329379</v>
      </c>
      <c r="F17" s="2">
        <f>IF(I16&gt;1, Assumptions!$E$18, 0)*-1</f>
        <v>-2198.4576329329379</v>
      </c>
      <c r="G17" s="24">
        <f t="shared" si="1"/>
        <v>1</v>
      </c>
      <c r="H17" s="20">
        <f t="shared" si="6"/>
        <v>4594.2786031869618</v>
      </c>
      <c r="I17" s="2">
        <f>MAX(Assumptions!$D$8-SUM(Model_30y!H17), 0)</f>
        <v>335405.72139681305</v>
      </c>
      <c r="J17" s="2">
        <f>J16*(1+(Assumptions!$E$51))</f>
        <v>451726.48461395915</v>
      </c>
      <c r="K17" s="22">
        <f t="shared" si="7"/>
        <v>116320.7632171461</v>
      </c>
      <c r="L17" s="5">
        <f t="shared" si="8"/>
        <v>89594.278603186991</v>
      </c>
      <c r="M17" s="63">
        <f>L17/Assumptions!$D$6</f>
        <v>0.21081006730161644</v>
      </c>
      <c r="N17" s="24">
        <f>IF(M17&lt;0.2, 1, 0)</f>
        <v>0</v>
      </c>
      <c r="O17" s="5">
        <f>N17*Assumptions!$E$25*-1</f>
        <v>0</v>
      </c>
      <c r="P17" s="20">
        <f>Assumptions!$E$35*J17*-1</f>
        <v>-930.48259705639191</v>
      </c>
      <c r="Q17" s="5">
        <f>J17*Assumptions!$E$36*-1</f>
        <v>-374.72433624688432</v>
      </c>
      <c r="R17" s="5">
        <f>(R5+(Model_30y!R5*Assumptions!$D$51))</f>
        <v>-341.16250000000002</v>
      </c>
      <c r="S17" s="5">
        <f>S5+(S5*Assumptions!$D$51)</f>
        <v>0</v>
      </c>
      <c r="T17" s="5">
        <f t="shared" si="12"/>
        <v>0</v>
      </c>
      <c r="U17" s="22">
        <f t="shared" si="2"/>
        <v>-1646.3694333032763</v>
      </c>
      <c r="V17" s="5">
        <f>MAX(Assumptions!$E$18:$E$19)-U17</f>
        <v>4488.0024451019726</v>
      </c>
      <c r="W17" s="5">
        <f t="shared" si="3"/>
        <v>-2198.4576329329379</v>
      </c>
      <c r="X17" s="5">
        <f t="shared" si="9"/>
        <v>-1646.3694333032763</v>
      </c>
      <c r="Y17" s="5">
        <f>C17*Assumptions!$D$44*-1</f>
        <v>282.00826410599302</v>
      </c>
      <c r="Z17" s="5">
        <f t="shared" si="4"/>
        <v>925.1836429717514</v>
      </c>
      <c r="AA17" s="5">
        <f t="shared" si="13"/>
        <v>13569.460514686529</v>
      </c>
      <c r="AB17" s="3">
        <f>Assumptions!$E$45</f>
        <v>6.9899151946608562E-3</v>
      </c>
      <c r="AC17" s="5">
        <f t="shared" si="14"/>
        <v>14589.493535893238</v>
      </c>
      <c r="AD17" s="5">
        <f>AC17*Assumptions!$E$43</f>
        <v>13.065992960223541</v>
      </c>
      <c r="AE17" s="2">
        <f>AD17*Assumptions!$D$44*-1</f>
        <v>-1.959898944033531</v>
      </c>
      <c r="AF17" s="2">
        <f>AC17*Assumptions!$E$46*-1</f>
        <v>-0.48622731595972996</v>
      </c>
      <c r="AG17" s="22">
        <f t="shared" si="15"/>
        <v>14587.047409633245</v>
      </c>
      <c r="AH17" s="5">
        <f>Model_30y[[#This Row],[Mortgage Payment]]+Model_30y[[#This Row],[Total Upkeep]]+Model_30y[[#This Row],[Monthly Investment]]</f>
        <v>-2919.6434232644629</v>
      </c>
      <c r="AI17" s="5">
        <f>Model_Renter!D17*-1</f>
        <v>2859.0744000000004</v>
      </c>
      <c r="AJ17" s="5">
        <f t="shared" si="16"/>
        <v>-60.56902326446243</v>
      </c>
    </row>
    <row r="18" spans="1:36" x14ac:dyDescent="0.25">
      <c r="A18" s="17">
        <f t="shared" si="10"/>
        <v>16</v>
      </c>
      <c r="B18" s="17">
        <f t="shared" si="5"/>
        <v>2</v>
      </c>
      <c r="C18" s="23">
        <f>IFERROR(IPMT(Assumptions!$D$16/12,Model_30y!A18, 360,Assumptions!$D$8), 0)</f>
        <v>-1878.2720398221531</v>
      </c>
      <c r="D18" s="2">
        <f>IFERROR(PPMT(Assumptions!$D$16/12, Model_30y!A18, 360, Assumptions!$D$8), 0)</f>
        <v>-320.18559311078479</v>
      </c>
      <c r="E18" s="2">
        <f t="shared" si="0"/>
        <v>-2198.4576329329379</v>
      </c>
      <c r="F18" s="2">
        <f>IF(I17&gt;1, Assumptions!$E$18, 0)*-1</f>
        <v>-2198.4576329329379</v>
      </c>
      <c r="G18" s="24">
        <f t="shared" si="1"/>
        <v>1</v>
      </c>
      <c r="H18" s="20">
        <f t="shared" si="6"/>
        <v>4914.4641962977466</v>
      </c>
      <c r="I18" s="2">
        <f>MAX(Assumptions!$D$8-SUM(Model_30y!H18), 0)</f>
        <v>335085.53580370225</v>
      </c>
      <c r="J18" s="2">
        <f>J17*(1+(Assumptions!$E$51))</f>
        <v>453566.87422862876</v>
      </c>
      <c r="K18" s="22">
        <f t="shared" si="7"/>
        <v>118481.33842492651</v>
      </c>
      <c r="L18" s="5">
        <f t="shared" si="8"/>
        <v>89914.464196297777</v>
      </c>
      <c r="M18" s="63">
        <f>L18/Assumptions!$D$6</f>
        <v>0.21156344516775946</v>
      </c>
      <c r="N18" s="24">
        <f t="shared" ref="N18:N81" si="17">IF(M18&lt;0.2, 1, 0)</f>
        <v>0</v>
      </c>
      <c r="O18" s="5">
        <f>N18*Assumptions!$E$25*-1</f>
        <v>0</v>
      </c>
      <c r="P18" s="20">
        <f>Assumptions!$E$35*J18*-1</f>
        <v>-934.27349833533026</v>
      </c>
      <c r="Q18" s="5">
        <f>J18*Assumptions!$E$36*-1</f>
        <v>-376.25100957749959</v>
      </c>
      <c r="R18" s="5">
        <f>(R6+(Model_30y!R6*Assumptions!$D$51))</f>
        <v>-341.16250000000002</v>
      </c>
      <c r="S18" s="5">
        <f>S6+(S6*Assumptions!$D$51)</f>
        <v>0</v>
      </c>
      <c r="T18" s="5">
        <f t="shared" si="12"/>
        <v>0</v>
      </c>
      <c r="U18" s="22">
        <f t="shared" si="2"/>
        <v>-1651.6870079128298</v>
      </c>
      <c r="V18" s="5">
        <f>MAX(Assumptions!$E$18:$E$19)-U18</f>
        <v>4493.3200197115266</v>
      </c>
      <c r="W18" s="5">
        <f t="shared" si="3"/>
        <v>-2198.4576329329379</v>
      </c>
      <c r="X18" s="5">
        <f t="shared" si="9"/>
        <v>-1651.6870079128298</v>
      </c>
      <c r="Y18" s="5">
        <f>C18*Assumptions!$D$44*-1</f>
        <v>281.74080597332295</v>
      </c>
      <c r="Z18" s="5">
        <f t="shared" si="4"/>
        <v>924.91618483908178</v>
      </c>
      <c r="AA18" s="5">
        <f t="shared" si="13"/>
        <v>14587.047409633245</v>
      </c>
      <c r="AB18" s="3">
        <f>Assumptions!$E$45</f>
        <v>6.9899151946608562E-3</v>
      </c>
      <c r="AC18" s="5">
        <f t="shared" si="14"/>
        <v>15613.925818806161</v>
      </c>
      <c r="AD18" s="5">
        <f>AC18*Assumptions!$E$43</f>
        <v>13.983449413652545</v>
      </c>
      <c r="AE18" s="2">
        <f>AD18*Assumptions!$D$44*-1</f>
        <v>-2.0975174120478819</v>
      </c>
      <c r="AF18" s="2">
        <f>AC18*Assumptions!$E$46*-1</f>
        <v>-0.52036879990348728</v>
      </c>
      <c r="AG18" s="22">
        <f t="shared" si="15"/>
        <v>15611.307932594211</v>
      </c>
      <c r="AH18" s="5">
        <f>Model_30y[[#This Row],[Mortgage Payment]]+Model_30y[[#This Row],[Total Upkeep]]+Model_30y[[#This Row],[Monthly Investment]]</f>
        <v>-2925.228456006686</v>
      </c>
      <c r="AI18" s="5">
        <f>Model_Renter!D18*-1</f>
        <v>2859.0744000000004</v>
      </c>
      <c r="AJ18" s="5">
        <f t="shared" si="16"/>
        <v>-66.154056006685551</v>
      </c>
    </row>
    <row r="19" spans="1:36" x14ac:dyDescent="0.25">
      <c r="A19" s="17">
        <f t="shared" si="10"/>
        <v>17</v>
      </c>
      <c r="B19" s="17">
        <f t="shared" si="5"/>
        <v>2</v>
      </c>
      <c r="C19" s="23">
        <f>IFERROR(IPMT(Assumptions!$D$16/12,Model_30y!A19, 360,Assumptions!$D$8), 0)</f>
        <v>-1876.4790005007326</v>
      </c>
      <c r="D19" s="2">
        <f>IFERROR(PPMT(Assumptions!$D$16/12, Model_30y!A19, 360, Assumptions!$D$8), 0)</f>
        <v>-321.97863243220525</v>
      </c>
      <c r="E19" s="2">
        <f t="shared" si="0"/>
        <v>-2198.4576329329379</v>
      </c>
      <c r="F19" s="2">
        <f>IF(I18&gt;1, Assumptions!$E$18, 0)*-1</f>
        <v>-2198.4576329329379</v>
      </c>
      <c r="G19" s="24">
        <f t="shared" si="1"/>
        <v>1</v>
      </c>
      <c r="H19" s="20">
        <f t="shared" si="6"/>
        <v>5236.4428287299515</v>
      </c>
      <c r="I19" s="2">
        <f>MAX(Assumptions!$D$8-SUM(Model_30y!H19), 0)</f>
        <v>334763.55717127008</v>
      </c>
      <c r="J19" s="2">
        <f>J18*(1+(Assumptions!$E$51))</f>
        <v>455414.76181839866</v>
      </c>
      <c r="K19" s="22">
        <f t="shared" si="7"/>
        <v>120651.20464712859</v>
      </c>
      <c r="L19" s="5">
        <f t="shared" si="8"/>
        <v>90236.442828729982</v>
      </c>
      <c r="M19" s="63">
        <f>L19/Assumptions!$D$6</f>
        <v>0.21232104194995291</v>
      </c>
      <c r="N19" s="24">
        <f t="shared" si="17"/>
        <v>0</v>
      </c>
      <c r="O19" s="5">
        <f>N19*Assumptions!$E$25*-1</f>
        <v>0</v>
      </c>
      <c r="P19" s="20">
        <f>Assumptions!$E$35*J19*-1</f>
        <v>-938.07984421533058</v>
      </c>
      <c r="Q19" s="5">
        <f>J19*Assumptions!$E$36*-1</f>
        <v>-377.78390276424102</v>
      </c>
      <c r="R19" s="5">
        <f>(R7+(Model_30y!R7*Assumptions!$D$51))</f>
        <v>-341.16250000000002</v>
      </c>
      <c r="S19" s="5">
        <f>S7+(S7*Assumptions!$D$51)</f>
        <v>0</v>
      </c>
      <c r="T19" s="5">
        <f t="shared" si="12"/>
        <v>0</v>
      </c>
      <c r="U19" s="22">
        <f t="shared" si="2"/>
        <v>-1657.0262469795716</v>
      </c>
      <c r="V19" s="5">
        <f>MAX(Assumptions!$E$18:$E$19)-U19</f>
        <v>4498.6592587782688</v>
      </c>
      <c r="W19" s="5">
        <f t="shared" si="3"/>
        <v>-2198.4576329329379</v>
      </c>
      <c r="X19" s="5">
        <f t="shared" si="9"/>
        <v>-1657.0262469795716</v>
      </c>
      <c r="Y19" s="5">
        <f>C19*Assumptions!$D$44*-1</f>
        <v>281.4718500751099</v>
      </c>
      <c r="Z19" s="5">
        <f t="shared" si="4"/>
        <v>924.64722894086913</v>
      </c>
      <c r="AA19" s="5">
        <f t="shared" si="13"/>
        <v>15611.307932594211</v>
      </c>
      <c r="AB19" s="3">
        <f>Assumptions!$E$45</f>
        <v>6.9899151946608562E-3</v>
      </c>
      <c r="AC19" s="5">
        <f t="shared" si="14"/>
        <v>16645.07688006165</v>
      </c>
      <c r="AD19" s="5">
        <f>AC19*Assumptions!$E$43</f>
        <v>14.90692304035143</v>
      </c>
      <c r="AE19" s="2">
        <f>AD19*Assumptions!$D$44*-1</f>
        <v>-2.2360384560527145</v>
      </c>
      <c r="AF19" s="2">
        <f>AC19*Assumptions!$E$46*-1</f>
        <v>-0.55473420207661939</v>
      </c>
      <c r="AG19" s="22">
        <f t="shared" si="15"/>
        <v>16642.286107403521</v>
      </c>
      <c r="AH19" s="5">
        <f>Model_30y[[#This Row],[Mortgage Payment]]+Model_30y[[#This Row],[Total Upkeep]]+Model_30y[[#This Row],[Monthly Investment]]</f>
        <v>-2930.8366509716407</v>
      </c>
      <c r="AI19" s="5">
        <f>Model_Renter!D19*-1</f>
        <v>2859.0744000000004</v>
      </c>
      <c r="AJ19" s="5">
        <f t="shared" si="16"/>
        <v>-71.762250971640242</v>
      </c>
    </row>
    <row r="20" spans="1:36" x14ac:dyDescent="0.25">
      <c r="A20" s="17">
        <f t="shared" si="10"/>
        <v>18</v>
      </c>
      <c r="B20" s="17">
        <f t="shared" si="5"/>
        <v>2</v>
      </c>
      <c r="C20" s="23">
        <f>IFERROR(IPMT(Assumptions!$D$16/12,Model_30y!A20, 360,Assumptions!$D$8), 0)</f>
        <v>-1874.6759201591124</v>
      </c>
      <c r="D20" s="2">
        <f>IFERROR(PPMT(Assumptions!$D$16/12, Model_30y!A20, 360, Assumptions!$D$8), 0)</f>
        <v>-323.78171277382557</v>
      </c>
      <c r="E20" s="2">
        <f t="shared" si="0"/>
        <v>-2198.4576329329379</v>
      </c>
      <c r="F20" s="2">
        <f>IF(I19&gt;1, Assumptions!$E$18, 0)*-1</f>
        <v>-2198.4576329329379</v>
      </c>
      <c r="G20" s="24">
        <f t="shared" si="1"/>
        <v>1</v>
      </c>
      <c r="H20" s="20">
        <f t="shared" si="6"/>
        <v>5560.2245415037769</v>
      </c>
      <c r="I20" s="2">
        <f>MAX(Assumptions!$D$8-SUM(Model_30y!H20), 0)</f>
        <v>334439.77545849624</v>
      </c>
      <c r="J20" s="2">
        <f>J19*(1+(Assumptions!$E$51))</f>
        <v>457270.17793094757</v>
      </c>
      <c r="K20" s="22">
        <f t="shared" si="7"/>
        <v>122830.40247245133</v>
      </c>
      <c r="L20" s="5">
        <f t="shared" si="8"/>
        <v>90560.224541503805</v>
      </c>
      <c r="M20" s="63">
        <f>L20/Assumptions!$D$6</f>
        <v>0.21308288127412661</v>
      </c>
      <c r="N20" s="24">
        <f t="shared" si="17"/>
        <v>0</v>
      </c>
      <c r="O20" s="5">
        <f>N20*Assumptions!$E$25*-1</f>
        <v>0</v>
      </c>
      <c r="P20" s="20">
        <f>Assumptions!$E$35*J20*-1</f>
        <v>-941.90169761960942</v>
      </c>
      <c r="Q20" s="5">
        <f>J20*Assumptions!$E$36*-1</f>
        <v>-379.32304114757233</v>
      </c>
      <c r="R20" s="5">
        <f>(R8+(Model_30y!R8*Assumptions!$D$51))</f>
        <v>-341.16250000000002</v>
      </c>
      <c r="S20" s="5">
        <f>S8+(S8*Assumptions!$D$51)</f>
        <v>0</v>
      </c>
      <c r="T20" s="5">
        <f t="shared" si="12"/>
        <v>0</v>
      </c>
      <c r="U20" s="22">
        <f t="shared" si="2"/>
        <v>-1662.3872387671818</v>
      </c>
      <c r="V20" s="5">
        <f>MAX(Assumptions!$E$18:$E$19)-U20</f>
        <v>4504.0202505658781</v>
      </c>
      <c r="W20" s="5">
        <f t="shared" si="3"/>
        <v>-2198.4576329329379</v>
      </c>
      <c r="X20" s="5">
        <f t="shared" si="9"/>
        <v>-1662.3872387671818</v>
      </c>
      <c r="Y20" s="5">
        <f>C20*Assumptions!$D$44*-1</f>
        <v>281.20138802386685</v>
      </c>
      <c r="Z20" s="5">
        <f t="shared" si="4"/>
        <v>924.37676688962529</v>
      </c>
      <c r="AA20" s="5">
        <f t="shared" si="13"/>
        <v>16642.286107403521</v>
      </c>
      <c r="AB20" s="3">
        <f>Assumptions!$E$45</f>
        <v>6.9899151946608562E-3</v>
      </c>
      <c r="AC20" s="5">
        <f t="shared" si="14"/>
        <v>17682.991042829181</v>
      </c>
      <c r="AD20" s="5">
        <f>AC20*Assumptions!$E$43</f>
        <v>15.836453535064834</v>
      </c>
      <c r="AE20" s="2">
        <f>AD20*Assumptions!$D$44*-1</f>
        <v>-2.3754680302597251</v>
      </c>
      <c r="AF20" s="2">
        <f>AC20*Assumptions!$E$46*-1</f>
        <v>-0.58932499964731444</v>
      </c>
      <c r="AG20" s="22">
        <f t="shared" si="15"/>
        <v>17680.026249799274</v>
      </c>
      <c r="AH20" s="5">
        <f>Model_30y[[#This Row],[Mortgage Payment]]+Model_30y[[#This Row],[Total Upkeep]]+Model_30y[[#This Row],[Monthly Investment]]</f>
        <v>-2936.4681048104944</v>
      </c>
      <c r="AI20" s="5">
        <f>Model_Renter!D20*-1</f>
        <v>2859.0744000000004</v>
      </c>
      <c r="AJ20" s="5">
        <f t="shared" si="16"/>
        <v>-77.393704810494</v>
      </c>
    </row>
    <row r="21" spans="1:36" x14ac:dyDescent="0.25">
      <c r="A21" s="17">
        <f t="shared" si="10"/>
        <v>19</v>
      </c>
      <c r="B21" s="17">
        <f t="shared" si="5"/>
        <v>2</v>
      </c>
      <c r="C21" s="23">
        <f>IFERROR(IPMT(Assumptions!$D$16/12,Model_30y!A21, 360,Assumptions!$D$8), 0)</f>
        <v>-1872.8627425675788</v>
      </c>
      <c r="D21" s="2">
        <f>IFERROR(PPMT(Assumptions!$D$16/12, Model_30y!A21, 360, Assumptions!$D$8), 0)</f>
        <v>-325.59489036535899</v>
      </c>
      <c r="E21" s="2">
        <f t="shared" si="0"/>
        <v>-2198.4576329329379</v>
      </c>
      <c r="F21" s="2">
        <f>IF(I20&gt;1, Assumptions!$E$18, 0)*-1</f>
        <v>-2198.4576329329379</v>
      </c>
      <c r="G21" s="24">
        <f t="shared" si="1"/>
        <v>1</v>
      </c>
      <c r="H21" s="20">
        <f t="shared" si="6"/>
        <v>5885.8194318691358</v>
      </c>
      <c r="I21" s="2">
        <f>MAX(Assumptions!$D$8-SUM(Model_30y!H21), 0)</f>
        <v>334114.18056813086</v>
      </c>
      <c r="J21" s="2">
        <f>J20*(1+(Assumptions!$E$51))</f>
        <v>459133.15323840914</v>
      </c>
      <c r="K21" s="22">
        <f t="shared" si="7"/>
        <v>125018.97267027828</v>
      </c>
      <c r="L21" s="5">
        <f t="shared" si="8"/>
        <v>90885.819431869168</v>
      </c>
      <c r="M21" s="63">
        <f>L21/Assumptions!$D$6</f>
        <v>0.2138489868985157</v>
      </c>
      <c r="N21" s="24">
        <f t="shared" si="17"/>
        <v>0</v>
      </c>
      <c r="O21" s="5">
        <f>N21*Assumptions!$E$25*-1</f>
        <v>0</v>
      </c>
      <c r="P21" s="20">
        <f>Assumptions!$E$35*J21*-1</f>
        <v>-945.73912172774021</v>
      </c>
      <c r="Q21" s="5">
        <f>J21*Assumptions!$E$36*-1</f>
        <v>-380.86845017119748</v>
      </c>
      <c r="R21" s="5">
        <f>(R9+(Model_30y!R9*Assumptions!$D$51))</f>
        <v>-341.16250000000002</v>
      </c>
      <c r="S21" s="5">
        <f>S9+(S9*Assumptions!$D$51)</f>
        <v>0</v>
      </c>
      <c r="T21" s="5">
        <f t="shared" si="12"/>
        <v>0</v>
      </c>
      <c r="U21" s="22">
        <f t="shared" si="2"/>
        <v>-1667.7700718989377</v>
      </c>
      <c r="V21" s="5">
        <f>MAX(Assumptions!$E$18:$E$19)-U21</f>
        <v>4509.4030836976344</v>
      </c>
      <c r="W21" s="5">
        <f t="shared" si="3"/>
        <v>-2198.4576329329379</v>
      </c>
      <c r="X21" s="5">
        <f t="shared" si="9"/>
        <v>-1667.7700718989377</v>
      </c>
      <c r="Y21" s="5">
        <f>C21*Assumptions!$D$44*-1</f>
        <v>280.9294113851368</v>
      </c>
      <c r="Z21" s="5">
        <f t="shared" si="4"/>
        <v>924.10479025089558</v>
      </c>
      <c r="AA21" s="5">
        <f t="shared" si="13"/>
        <v>17680.026249799274</v>
      </c>
      <c r="AB21" s="3">
        <f>Assumptions!$E$45</f>
        <v>6.9899151946608562E-3</v>
      </c>
      <c r="AC21" s="5">
        <f t="shared" si="14"/>
        <v>18727.712924175641</v>
      </c>
      <c r="AD21" s="5">
        <f>AC21*Assumptions!$E$43</f>
        <v>16.772080855744722</v>
      </c>
      <c r="AE21" s="2">
        <f>AD21*Assumptions!$D$44*-1</f>
        <v>-2.5158121283617083</v>
      </c>
      <c r="AF21" s="2">
        <f>AC21*Assumptions!$E$46*-1</f>
        <v>-0.62414267957854508</v>
      </c>
      <c r="AG21" s="22">
        <f t="shared" si="15"/>
        <v>18724.572969367702</v>
      </c>
      <c r="AH21" s="5">
        <f>Model_30y[[#This Row],[Mortgage Payment]]+Model_30y[[#This Row],[Total Upkeep]]+Model_30y[[#This Row],[Monthly Investment]]</f>
        <v>-2942.1229145809803</v>
      </c>
      <c r="AI21" s="5">
        <f>Model_Renter!D21*-1</f>
        <v>2859.0744000000004</v>
      </c>
      <c r="AJ21" s="5">
        <f t="shared" si="16"/>
        <v>-83.048514580979827</v>
      </c>
    </row>
    <row r="22" spans="1:36" x14ac:dyDescent="0.25">
      <c r="A22" s="17">
        <f t="shared" si="10"/>
        <v>20</v>
      </c>
      <c r="B22" s="17">
        <f t="shared" si="5"/>
        <v>2</v>
      </c>
      <c r="C22" s="23">
        <f>IFERROR(IPMT(Assumptions!$D$16/12,Model_30y!A22, 360,Assumptions!$D$8), 0)</f>
        <v>-1871.0394111815328</v>
      </c>
      <c r="D22" s="2">
        <f>IFERROR(PPMT(Assumptions!$D$16/12, Model_30y!A22, 360, Assumptions!$D$8), 0)</f>
        <v>-327.41822175140504</v>
      </c>
      <c r="E22" s="2">
        <f t="shared" si="0"/>
        <v>-2198.4576329329379</v>
      </c>
      <c r="F22" s="2">
        <f>IF(I21&gt;1, Assumptions!$E$18, 0)*-1</f>
        <v>-2198.4576329329379</v>
      </c>
      <c r="G22" s="24">
        <f t="shared" si="1"/>
        <v>1</v>
      </c>
      <c r="H22" s="20">
        <f t="shared" si="6"/>
        <v>6213.2376536205411</v>
      </c>
      <c r="I22" s="2">
        <f>MAX(Assumptions!$D$8-SUM(Model_30y!H22), 0)</f>
        <v>333786.76234637946</v>
      </c>
      <c r="J22" s="2">
        <f>J21*(1+(Assumptions!$E$51))</f>
        <v>461003.71853787923</v>
      </c>
      <c r="K22" s="22">
        <f t="shared" si="7"/>
        <v>127216.95619149978</v>
      </c>
      <c r="L22" s="5">
        <f t="shared" si="8"/>
        <v>91213.23765362057</v>
      </c>
      <c r="M22" s="63">
        <f>L22/Assumptions!$D$6</f>
        <v>0.21461938271440134</v>
      </c>
      <c r="N22" s="24">
        <f t="shared" si="17"/>
        <v>0</v>
      </c>
      <c r="O22" s="5">
        <f>N22*Assumptions!$E$25*-1</f>
        <v>0</v>
      </c>
      <c r="P22" s="20">
        <f>Assumptions!$E$35*J22*-1</f>
        <v>-949.59217997669793</v>
      </c>
      <c r="Q22" s="5">
        <f>J22*Assumptions!$E$36*-1</f>
        <v>-382.42015538248125</v>
      </c>
      <c r="R22" s="5">
        <f>(R10+(Model_30y!R10*Assumptions!$D$51))</f>
        <v>-341.16250000000002</v>
      </c>
      <c r="S22" s="5">
        <f>S10+(S10*Assumptions!$D$51)</f>
        <v>0</v>
      </c>
      <c r="T22" s="5">
        <f t="shared" si="12"/>
        <v>0</v>
      </c>
      <c r="U22" s="22">
        <f t="shared" si="2"/>
        <v>-1673.1748353591793</v>
      </c>
      <c r="V22" s="5">
        <f>MAX(Assumptions!$E$18:$E$19)-U22</f>
        <v>4514.8078471578756</v>
      </c>
      <c r="W22" s="5">
        <f t="shared" si="3"/>
        <v>-2198.4576329329379</v>
      </c>
      <c r="X22" s="5">
        <f t="shared" si="9"/>
        <v>-1673.1748353591793</v>
      </c>
      <c r="Y22" s="5">
        <f>C22*Assumptions!$D$44*-1</f>
        <v>280.65591167722994</v>
      </c>
      <c r="Z22" s="5">
        <f t="shared" si="4"/>
        <v>923.83129054298831</v>
      </c>
      <c r="AA22" s="5">
        <f t="shared" si="13"/>
        <v>18724.572969367702</v>
      </c>
      <c r="AB22" s="3">
        <f>Assumptions!$E$45</f>
        <v>6.9899151946608562E-3</v>
      </c>
      <c r="AC22" s="5">
        <f t="shared" si="14"/>
        <v>19779.287437022809</v>
      </c>
      <c r="AD22" s="5">
        <f>AC22*Assumptions!$E$43</f>
        <v>17.713845225303448</v>
      </c>
      <c r="AE22" s="2">
        <f>AD22*Assumptions!$D$44*-1</f>
        <v>-2.6570767837955169</v>
      </c>
      <c r="AF22" s="2">
        <f>AC22*Assumptions!$E$46*-1</f>
        <v>-0.65918873869330619</v>
      </c>
      <c r="AG22" s="22">
        <f t="shared" si="15"/>
        <v>19775.971171500321</v>
      </c>
      <c r="AH22" s="5">
        <f>Model_30y[[#This Row],[Mortgage Payment]]+Model_30y[[#This Row],[Total Upkeep]]+Model_30y[[#This Row],[Monthly Investment]]</f>
        <v>-2947.8011777491288</v>
      </c>
      <c r="AI22" s="5">
        <f>Model_Renter!D22*-1</f>
        <v>2859.0744000000004</v>
      </c>
      <c r="AJ22" s="5">
        <f t="shared" si="16"/>
        <v>-88.72677774912836</v>
      </c>
    </row>
    <row r="23" spans="1:36" x14ac:dyDescent="0.25">
      <c r="A23" s="17">
        <f t="shared" si="10"/>
        <v>21</v>
      </c>
      <c r="B23" s="17">
        <f t="shared" si="5"/>
        <v>2</v>
      </c>
      <c r="C23" s="23">
        <f>IFERROR(IPMT(Assumptions!$D$16/12,Model_30y!A23, 360,Assumptions!$D$8), 0)</f>
        <v>-1869.2058691397253</v>
      </c>
      <c r="D23" s="2">
        <f>IFERROR(PPMT(Assumptions!$D$16/12, Model_30y!A23, 360, Assumptions!$D$8), 0)</f>
        <v>-329.25176379321289</v>
      </c>
      <c r="E23" s="2">
        <f t="shared" si="0"/>
        <v>-2198.4576329329384</v>
      </c>
      <c r="F23" s="2">
        <f>IF(I22&gt;1, Assumptions!$E$18, 0)*-1</f>
        <v>-2198.4576329329379</v>
      </c>
      <c r="G23" s="24">
        <f t="shared" si="1"/>
        <v>1</v>
      </c>
      <c r="H23" s="20">
        <f t="shared" si="6"/>
        <v>6542.4894174137544</v>
      </c>
      <c r="I23" s="2">
        <f>MAX(Assumptions!$D$8-SUM(Model_30y!H23), 0)</f>
        <v>333457.51058258623</v>
      </c>
      <c r="J23" s="2">
        <f>J22*(1+(Assumptions!$E$51))</f>
        <v>462881.90475192474</v>
      </c>
      <c r="K23" s="22">
        <f t="shared" si="7"/>
        <v>129424.39416933851</v>
      </c>
      <c r="L23" s="5">
        <f t="shared" si="8"/>
        <v>91542.489417413788</v>
      </c>
      <c r="M23" s="63">
        <f>L23/Assumptions!$D$6</f>
        <v>0.21539409274685598</v>
      </c>
      <c r="N23" s="24">
        <f t="shared" si="17"/>
        <v>0</v>
      </c>
      <c r="O23" s="5">
        <f>N23*Assumptions!$E$25*-1</f>
        <v>0</v>
      </c>
      <c r="P23" s="20">
        <f>Assumptions!$E$35*J23*-1</f>
        <v>-953.46093606190755</v>
      </c>
      <c r="Q23" s="5">
        <f>J23*Assumptions!$E$36*-1</f>
        <v>-383.97818243287151</v>
      </c>
      <c r="R23" s="5">
        <f>(R11+(Model_30y!R11*Assumptions!$D$51))</f>
        <v>-341.16250000000002</v>
      </c>
      <c r="S23" s="5">
        <f>S11+(S11*Assumptions!$D$51)</f>
        <v>0</v>
      </c>
      <c r="T23" s="5">
        <f t="shared" si="12"/>
        <v>0</v>
      </c>
      <c r="U23" s="22">
        <f t="shared" si="2"/>
        <v>-1678.6016184947789</v>
      </c>
      <c r="V23" s="5">
        <f>MAX(Assumptions!$E$18:$E$19)-U23</f>
        <v>4520.2346302934757</v>
      </c>
      <c r="W23" s="5">
        <f t="shared" si="3"/>
        <v>-2198.4576329329379</v>
      </c>
      <c r="X23" s="5">
        <f t="shared" si="9"/>
        <v>-1678.6016184947789</v>
      </c>
      <c r="Y23" s="5">
        <f>C23*Assumptions!$D$44*-1</f>
        <v>280.38088037095878</v>
      </c>
      <c r="Z23" s="5">
        <f t="shared" si="4"/>
        <v>923.55625923671755</v>
      </c>
      <c r="AA23" s="5">
        <f t="shared" si="13"/>
        <v>19775.971171500321</v>
      </c>
      <c r="AB23" s="3">
        <f>Assumptions!$E$45</f>
        <v>6.9899151946608562E-3</v>
      </c>
      <c r="AC23" s="5">
        <f t="shared" si="14"/>
        <v>20837.759792117882</v>
      </c>
      <c r="AD23" s="5">
        <f>AC23*Assumptions!$E$43</f>
        <v>18.661787133378514</v>
      </c>
      <c r="AE23" s="2">
        <f>AD23*Assumptions!$D$44*-1</f>
        <v>-2.7992680700067769</v>
      </c>
      <c r="AF23" s="2">
        <f>AC23*Assumptions!$E$46*-1</f>
        <v>-0.69446468374028703</v>
      </c>
      <c r="AG23" s="22">
        <f t="shared" si="15"/>
        <v>20834.266059364134</v>
      </c>
      <c r="AH23" s="5">
        <f>Model_30y[[#This Row],[Mortgage Payment]]+Model_30y[[#This Row],[Total Upkeep]]+Model_30y[[#This Row],[Monthly Investment]]</f>
        <v>-2953.5029921909991</v>
      </c>
      <c r="AI23" s="5">
        <f>Model_Renter!D23*-1</f>
        <v>2859.0744000000004</v>
      </c>
      <c r="AJ23" s="5">
        <f t="shared" si="16"/>
        <v>-94.428592190998643</v>
      </c>
    </row>
    <row r="24" spans="1:36" x14ac:dyDescent="0.25">
      <c r="A24" s="17">
        <f t="shared" si="10"/>
        <v>22</v>
      </c>
      <c r="B24" s="17">
        <f t="shared" si="5"/>
        <v>2</v>
      </c>
      <c r="C24" s="23">
        <f>IFERROR(IPMT(Assumptions!$D$16/12,Model_30y!A24, 360,Assumptions!$D$8), 0)</f>
        <v>-1867.3620592624832</v>
      </c>
      <c r="D24" s="2">
        <f>IFERROR(PPMT(Assumptions!$D$16/12, Model_30y!A24, 360, Assumptions!$D$8), 0)</f>
        <v>-331.09557367045483</v>
      </c>
      <c r="E24" s="2">
        <f t="shared" si="0"/>
        <v>-2198.4576329329379</v>
      </c>
      <c r="F24" s="2">
        <f>IF(I23&gt;1, Assumptions!$E$18, 0)*-1</f>
        <v>-2198.4576329329379</v>
      </c>
      <c r="G24" s="24">
        <f t="shared" si="1"/>
        <v>1</v>
      </c>
      <c r="H24" s="20">
        <f t="shared" si="6"/>
        <v>6873.5849910842089</v>
      </c>
      <c r="I24" s="2">
        <f>MAX(Assumptions!$D$8-SUM(Model_30y!H24), 0)</f>
        <v>333126.41500891576</v>
      </c>
      <c r="J24" s="2">
        <f>J23*(1+(Assumptions!$E$51))</f>
        <v>464767.74292909499</v>
      </c>
      <c r="K24" s="22">
        <f t="shared" si="7"/>
        <v>131641.32792017923</v>
      </c>
      <c r="L24" s="5">
        <f t="shared" si="8"/>
        <v>91873.584991084237</v>
      </c>
      <c r="M24" s="63">
        <f>L24/Assumptions!$D$6</f>
        <v>0.21617314115549233</v>
      </c>
      <c r="N24" s="24">
        <f t="shared" si="17"/>
        <v>0</v>
      </c>
      <c r="O24" s="5">
        <f>N24*Assumptions!$E$25*-1</f>
        <v>0</v>
      </c>
      <c r="P24" s="20">
        <f>Assumptions!$E$35*J24*-1</f>
        <v>-957.34545393829694</v>
      </c>
      <c r="Q24" s="5">
        <f>J24*Assumptions!$E$36*-1</f>
        <v>-385.54255707832334</v>
      </c>
      <c r="R24" s="5">
        <f>(R12+(Model_30y!R12*Assumptions!$D$51))</f>
        <v>-341.16250000000002</v>
      </c>
      <c r="S24" s="5">
        <f>S12+(S12*Assumptions!$D$51)</f>
        <v>0</v>
      </c>
      <c r="T24" s="5">
        <f t="shared" si="12"/>
        <v>0</v>
      </c>
      <c r="U24" s="22">
        <f t="shared" si="2"/>
        <v>-1684.0505110166205</v>
      </c>
      <c r="V24" s="5">
        <f>MAX(Assumptions!$E$18:$E$19)-U24</f>
        <v>4525.6835228153177</v>
      </c>
      <c r="W24" s="5">
        <f t="shared" si="3"/>
        <v>-2198.4576329329379</v>
      </c>
      <c r="X24" s="5">
        <f t="shared" si="9"/>
        <v>-1684.0505110166205</v>
      </c>
      <c r="Y24" s="5">
        <f>C24*Assumptions!$D$44*-1</f>
        <v>280.10430888937248</v>
      </c>
      <c r="Z24" s="5">
        <f t="shared" si="4"/>
        <v>923.27968775513182</v>
      </c>
      <c r="AA24" s="5">
        <f t="shared" si="13"/>
        <v>20834.266059364134</v>
      </c>
      <c r="AB24" s="3">
        <f>Assumptions!$E$45</f>
        <v>6.9899151946608562E-3</v>
      </c>
      <c r="AC24" s="5">
        <f t="shared" si="14"/>
        <v>21903.17550001722</v>
      </c>
      <c r="AD24" s="5">
        <f>AC24*Assumptions!$E$43</f>
        <v>19.615947338109159</v>
      </c>
      <c r="AE24" s="2">
        <f>AD24*Assumptions!$D$44*-1</f>
        <v>-2.9423921007163738</v>
      </c>
      <c r="AF24" s="2">
        <f>AC24*Assumptions!$E$46*-1</f>
        <v>-0.72997203145998379</v>
      </c>
      <c r="AG24" s="22">
        <f t="shared" si="15"/>
        <v>21899.503135885043</v>
      </c>
      <c r="AH24" s="5">
        <f>Model_30y[[#This Row],[Mortgage Payment]]+Model_30y[[#This Row],[Total Upkeep]]+Model_30y[[#This Row],[Monthly Investment]]</f>
        <v>-2959.2284561944266</v>
      </c>
      <c r="AI24" s="5">
        <f>Model_Renter!D24*-1</f>
        <v>2859.0744000000004</v>
      </c>
      <c r="AJ24" s="5">
        <f t="shared" si="16"/>
        <v>-100.15405619442618</v>
      </c>
    </row>
    <row r="25" spans="1:36" x14ac:dyDescent="0.25">
      <c r="A25" s="17">
        <f t="shared" si="10"/>
        <v>23</v>
      </c>
      <c r="B25" s="17">
        <f t="shared" si="5"/>
        <v>2</v>
      </c>
      <c r="C25" s="23">
        <f>IFERROR(IPMT(Assumptions!$D$16/12,Model_30y!A25, 360,Assumptions!$D$8), 0)</f>
        <v>-1865.5079240499283</v>
      </c>
      <c r="D25" s="2">
        <f>IFERROR(PPMT(Assumptions!$D$16/12, Model_30y!A25, 360, Assumptions!$D$8), 0)</f>
        <v>-332.94970888300941</v>
      </c>
      <c r="E25" s="2">
        <f t="shared" si="0"/>
        <v>-2198.4576329329375</v>
      </c>
      <c r="F25" s="2">
        <f>IF(I24&gt;1, Assumptions!$E$18, 0)*-1</f>
        <v>-2198.4576329329379</v>
      </c>
      <c r="G25" s="24">
        <f t="shared" si="1"/>
        <v>1</v>
      </c>
      <c r="H25" s="20">
        <f t="shared" si="6"/>
        <v>7206.5346999672183</v>
      </c>
      <c r="I25" s="2">
        <f>MAX(Assumptions!$D$8-SUM(Model_30y!H25), 0)</f>
        <v>332793.46530003275</v>
      </c>
      <c r="J25" s="2">
        <f>J24*(1+(Assumptions!$E$51))</f>
        <v>466661.26424443501</v>
      </c>
      <c r="K25" s="22">
        <f t="shared" si="7"/>
        <v>133867.79894440225</v>
      </c>
      <c r="L25" s="5">
        <f t="shared" si="8"/>
        <v>92206.534699967247</v>
      </c>
      <c r="M25" s="63">
        <f>L25/Assumptions!$D$6</f>
        <v>0.21695655223521707</v>
      </c>
      <c r="N25" s="24">
        <f t="shared" si="17"/>
        <v>0</v>
      </c>
      <c r="O25" s="5">
        <f>N25*Assumptions!$E$25*-1</f>
        <v>0</v>
      </c>
      <c r="P25" s="20">
        <f>Assumptions!$E$35*J25*-1</f>
        <v>-961.24579782135459</v>
      </c>
      <c r="Q25" s="5">
        <f>J25*Assumptions!$E$36*-1</f>
        <v>-387.11330517972476</v>
      </c>
      <c r="R25" s="5">
        <f>(R13+(Model_30y!R13*Assumptions!$D$51))</f>
        <v>-341.16250000000002</v>
      </c>
      <c r="S25" s="5">
        <f>S13+(S13*Assumptions!$D$51)</f>
        <v>0</v>
      </c>
      <c r="T25" s="5">
        <f t="shared" si="12"/>
        <v>0</v>
      </c>
      <c r="U25" s="22">
        <f t="shared" si="2"/>
        <v>-1689.5216030010793</v>
      </c>
      <c r="V25" s="5">
        <f>MAX(Assumptions!$E$18:$E$19)-U25</f>
        <v>4531.154614799776</v>
      </c>
      <c r="W25" s="5">
        <f t="shared" si="3"/>
        <v>-2198.4576329329379</v>
      </c>
      <c r="X25" s="5">
        <f t="shared" si="9"/>
        <v>-1689.5216030010793</v>
      </c>
      <c r="Y25" s="5">
        <f>C25*Assumptions!$D$44*-1</f>
        <v>279.82618860748926</v>
      </c>
      <c r="Z25" s="5">
        <f t="shared" si="4"/>
        <v>923.00156747324809</v>
      </c>
      <c r="AA25" s="5">
        <f t="shared" si="13"/>
        <v>21899.503135885043</v>
      </c>
      <c r="AB25" s="3">
        <f>Assumptions!$E$45</f>
        <v>6.9899151946608562E-3</v>
      </c>
      <c r="AC25" s="5">
        <f t="shared" si="14"/>
        <v>22975.58037308334</v>
      </c>
      <c r="AD25" s="5">
        <f>AC25*Assumptions!$E$43</f>
        <v>20.576366867924829</v>
      </c>
      <c r="AE25" s="2">
        <f>AD25*Assumptions!$D$44*-1</f>
        <v>-3.0864550301887244</v>
      </c>
      <c r="AF25" s="2">
        <f>AC25*Assumptions!$E$46*-1</f>
        <v>-0.76571230865125439</v>
      </c>
      <c r="AG25" s="22">
        <f t="shared" si="15"/>
        <v>22971.728205744501</v>
      </c>
      <c r="AH25" s="5">
        <f>Model_30y[[#This Row],[Mortgage Payment]]+Model_30y[[#This Row],[Total Upkeep]]+Model_30y[[#This Row],[Monthly Investment]]</f>
        <v>-2964.9776684607691</v>
      </c>
      <c r="AI25" s="5">
        <f>Model_Renter!D25*-1</f>
        <v>2859.0744000000004</v>
      </c>
      <c r="AJ25" s="5">
        <f t="shared" si="16"/>
        <v>-105.90326846076869</v>
      </c>
    </row>
    <row r="26" spans="1:36" x14ac:dyDescent="0.25">
      <c r="A26" s="17">
        <f t="shared" si="10"/>
        <v>24</v>
      </c>
      <c r="B26" s="17">
        <f t="shared" si="5"/>
        <v>2</v>
      </c>
      <c r="C26" s="23">
        <f>IFERROR(IPMT(Assumptions!$D$16/12,Model_30y!A26, 360,Assumptions!$D$8), 0)</f>
        <v>-1863.6434056801838</v>
      </c>
      <c r="D26" s="2">
        <f>IFERROR(PPMT(Assumptions!$D$16/12, Model_30y!A26, 360, Assumptions!$D$8), 0)</f>
        <v>-334.81422725275428</v>
      </c>
      <c r="E26" s="2">
        <f t="shared" si="0"/>
        <v>-2198.4576329329379</v>
      </c>
      <c r="F26" s="2">
        <f>IF(I25&gt;1, Assumptions!$E$18, 0)*-1</f>
        <v>-2198.4576329329379</v>
      </c>
      <c r="G26" s="24">
        <f t="shared" si="1"/>
        <v>1</v>
      </c>
      <c r="H26" s="20">
        <f t="shared" si="6"/>
        <v>7541.3489272199722</v>
      </c>
      <c r="I26" s="2">
        <f>MAX(Assumptions!$D$8-SUM(Model_30y!H26), 0)</f>
        <v>332458.65107278002</v>
      </c>
      <c r="J26" s="2">
        <f>J25*(1+(Assumptions!$E$51))</f>
        <v>468562.50000000064</v>
      </c>
      <c r="K26" s="22">
        <f t="shared" si="7"/>
        <v>136103.84892722062</v>
      </c>
      <c r="L26" s="5">
        <f t="shared" si="8"/>
        <v>92541.348927219995</v>
      </c>
      <c r="M26" s="63">
        <f>L26/Assumptions!$D$6</f>
        <v>0.21774435041698822</v>
      </c>
      <c r="N26" s="24">
        <f t="shared" si="17"/>
        <v>0</v>
      </c>
      <c r="O26" s="5">
        <f>N26*Assumptions!$E$25*-1</f>
        <v>0</v>
      </c>
      <c r="P26" s="20">
        <f>Assumptions!$E$35*J26*-1</f>
        <v>-965.16203218819055</v>
      </c>
      <c r="Q26" s="5">
        <f>J26*Assumptions!$E$36*-1</f>
        <v>-388.69045270332418</v>
      </c>
      <c r="R26" s="5">
        <f>(R14+(Model_30y!R14*Assumptions!$D$51))</f>
        <v>-341.16250000000002</v>
      </c>
      <c r="S26" s="5">
        <f>S14+(S14*Assumptions!$D$51)</f>
        <v>0</v>
      </c>
      <c r="T26" s="5">
        <f t="shared" si="12"/>
        <v>0</v>
      </c>
      <c r="U26" s="22">
        <f t="shared" si="2"/>
        <v>-1695.0149848915148</v>
      </c>
      <c r="V26" s="5">
        <f>MAX(Assumptions!$E$18:$E$19)-U26</f>
        <v>4536.6479966902116</v>
      </c>
      <c r="W26" s="5">
        <f t="shared" si="3"/>
        <v>-2198.4576329329379</v>
      </c>
      <c r="X26" s="5">
        <f t="shared" si="9"/>
        <v>-1695.0149848915148</v>
      </c>
      <c r="Y26" s="5">
        <f>C26*Assumptions!$D$44*-1</f>
        <v>279.54651085202755</v>
      </c>
      <c r="Z26" s="5">
        <f t="shared" si="4"/>
        <v>922.72188971778633</v>
      </c>
      <c r="AA26" s="5">
        <f t="shared" si="13"/>
        <v>22971.728205744501</v>
      </c>
      <c r="AB26" s="3">
        <f>Assumptions!$E$45</f>
        <v>6.9899151946608562E-3</v>
      </c>
      <c r="AC26" s="5">
        <f t="shared" si="14"/>
        <v>24055.020527495239</v>
      </c>
      <c r="AD26" s="5">
        <f>AC26*Assumptions!$E$43</f>
        <v>21.543087023345564</v>
      </c>
      <c r="AE26" s="2">
        <f>AD26*Assumptions!$D$44*-1</f>
        <v>-3.2314630535018343</v>
      </c>
      <c r="AF26" s="2">
        <f>AC26*Assumptions!$E$46*-1</f>
        <v>-0.80168705223831616</v>
      </c>
      <c r="AG26" s="22">
        <f t="shared" si="15"/>
        <v>24050.987377389498</v>
      </c>
      <c r="AH26" s="5">
        <f>Model_30y[[#This Row],[Mortgage Payment]]+Model_30y[[#This Row],[Total Upkeep]]+Model_30y[[#This Row],[Monthly Investment]]</f>
        <v>-2970.7507281066664</v>
      </c>
      <c r="AI26" s="5">
        <f>Model_Renter!D26*-1</f>
        <v>2859.0744000000004</v>
      </c>
      <c r="AJ26" s="5">
        <f t="shared" si="16"/>
        <v>-111.67632810666601</v>
      </c>
    </row>
    <row r="27" spans="1:36" x14ac:dyDescent="0.25">
      <c r="A27" s="17">
        <f t="shared" si="10"/>
        <v>25</v>
      </c>
      <c r="B27" s="17">
        <f t="shared" si="5"/>
        <v>3</v>
      </c>
      <c r="C27" s="23">
        <f>IFERROR(IPMT(Assumptions!$D$16/12,Model_30y!A27, 360,Assumptions!$D$8), 0)</f>
        <v>-1861.7684460075684</v>
      </c>
      <c r="D27" s="2">
        <f>IFERROR(PPMT(Assumptions!$D$16/12, Model_30y!A27, 360, Assumptions!$D$8), 0)</f>
        <v>-336.68918692536965</v>
      </c>
      <c r="E27" s="2">
        <f t="shared" si="0"/>
        <v>-2198.4576329329379</v>
      </c>
      <c r="F27" s="2">
        <f>IF(I26&gt;1, Assumptions!$E$18, 0)*-1</f>
        <v>-2198.4576329329379</v>
      </c>
      <c r="G27" s="24">
        <f t="shared" si="1"/>
        <v>1</v>
      </c>
      <c r="H27" s="20">
        <f t="shared" si="6"/>
        <v>7878.0381141453418</v>
      </c>
      <c r="I27" s="2">
        <f>MAX(Assumptions!$D$8-SUM(Model_30y!H27), 0)</f>
        <v>332121.96188585466</v>
      </c>
      <c r="J27" s="2">
        <f>J26*(1+(Assumptions!$E$51))</f>
        <v>470471.48162537639</v>
      </c>
      <c r="K27" s="22">
        <f t="shared" si="7"/>
        <v>138349.51973952173</v>
      </c>
      <c r="L27" s="5">
        <f t="shared" si="8"/>
        <v>92878.038114145369</v>
      </c>
      <c r="M27" s="63">
        <f>L27/Assumptions!$D$6</f>
        <v>0.21853656026857735</v>
      </c>
      <c r="N27" s="24">
        <f t="shared" si="17"/>
        <v>0</v>
      </c>
      <c r="O27" s="5">
        <f>N27*Assumptions!$E$25*-1</f>
        <v>0</v>
      </c>
      <c r="P27" s="20">
        <f>Assumptions!$E$35*J27*-1</f>
        <v>-969.0942217786029</v>
      </c>
      <c r="Q27" s="5">
        <f>J27*Assumptions!$E$36*-1</f>
        <v>-390.27402572115983</v>
      </c>
      <c r="R27" s="5">
        <f>(R15+(Model_30y!R15*Assumptions!$D$51))</f>
        <v>-358.22062500000004</v>
      </c>
      <c r="S27" s="5">
        <f>S15+(S15*Assumptions!$D$51)</f>
        <v>0</v>
      </c>
      <c r="T27" s="5">
        <f t="shared" si="12"/>
        <v>0</v>
      </c>
      <c r="U27" s="22">
        <f t="shared" si="2"/>
        <v>-1717.5888724997626</v>
      </c>
      <c r="V27" s="5">
        <f>MAX(Assumptions!$E$18:$E$19)-U27</f>
        <v>4559.2218842984594</v>
      </c>
      <c r="W27" s="5">
        <f t="shared" si="3"/>
        <v>-2198.4576329329379</v>
      </c>
      <c r="X27" s="5">
        <f t="shared" si="9"/>
        <v>-1717.5888724997626</v>
      </c>
      <c r="Y27" s="5">
        <f>C27*Assumptions!$D$44*-1</f>
        <v>279.26526690113525</v>
      </c>
      <c r="Z27" s="5">
        <f t="shared" si="4"/>
        <v>922.44064576689402</v>
      </c>
      <c r="AA27" s="5">
        <f t="shared" si="13"/>
        <v>24050.987377389498</v>
      </c>
      <c r="AB27" s="3">
        <f>Assumptions!$E$45</f>
        <v>6.9899151946608562E-3</v>
      </c>
      <c r="AC27" s="5">
        <f t="shared" si="14"/>
        <v>25141.542385272205</v>
      </c>
      <c r="AD27" s="5">
        <f>AC27*Assumptions!$E$43</f>
        <v>22.516149378794466</v>
      </c>
      <c r="AE27" s="2">
        <f>AD27*Assumptions!$D$44*-1</f>
        <v>-3.3774224068191701</v>
      </c>
      <c r="AF27" s="2">
        <f>AC27*Assumptions!$E$46*-1</f>
        <v>-0.83789780933819435</v>
      </c>
      <c r="AG27" s="22">
        <f t="shared" si="15"/>
        <v>25137.327065056048</v>
      </c>
      <c r="AH27" s="5">
        <f>Model_30y[[#This Row],[Mortgage Payment]]+Model_30y[[#This Row],[Total Upkeep]]+Model_30y[[#This Row],[Monthly Investment]]</f>
        <v>-2993.6058596658067</v>
      </c>
      <c r="AI27" s="5">
        <f>Model_Renter!D27*-1</f>
        <v>2966.0037825600007</v>
      </c>
      <c r="AJ27" s="5">
        <f t="shared" si="16"/>
        <v>-27.602077105806075</v>
      </c>
    </row>
    <row r="28" spans="1:36" x14ac:dyDescent="0.25">
      <c r="A28" s="17">
        <f t="shared" si="10"/>
        <v>26</v>
      </c>
      <c r="B28" s="17">
        <f t="shared" si="5"/>
        <v>3</v>
      </c>
      <c r="C28" s="23">
        <f>IFERROR(IPMT(Assumptions!$D$16/12,Model_30y!A28, 360,Assumptions!$D$8), 0)</f>
        <v>-1859.8829865607861</v>
      </c>
      <c r="D28" s="2">
        <f>IFERROR(PPMT(Assumptions!$D$16/12, Model_30y!A28, 360, Assumptions!$D$8), 0)</f>
        <v>-338.57464637215173</v>
      </c>
      <c r="E28" s="2">
        <f t="shared" si="0"/>
        <v>-2198.4576329329379</v>
      </c>
      <c r="F28" s="2">
        <f>IF(I27&gt;1, Assumptions!$E$18, 0)*-1</f>
        <v>-2198.4576329329379</v>
      </c>
      <c r="G28" s="24">
        <f t="shared" si="1"/>
        <v>1</v>
      </c>
      <c r="H28" s="20">
        <f t="shared" si="6"/>
        <v>8216.6127605174934</v>
      </c>
      <c r="I28" s="2">
        <f>MAX(Assumptions!$D$8-SUM(Model_30y!H28), 0)</f>
        <v>331783.38723948249</v>
      </c>
      <c r="J28" s="2">
        <f>J27*(1+(Assumptions!$E$51))</f>
        <v>472388.24067819462</v>
      </c>
      <c r="K28" s="22">
        <f t="shared" si="7"/>
        <v>140604.85343871213</v>
      </c>
      <c r="L28" s="5">
        <f t="shared" si="8"/>
        <v>93216.612760517528</v>
      </c>
      <c r="M28" s="63">
        <f>L28/Assumptions!$D$6</f>
        <v>0.21933320649533536</v>
      </c>
      <c r="N28" s="24">
        <f t="shared" si="17"/>
        <v>0</v>
      </c>
      <c r="O28" s="5">
        <f>N28*Assumptions!$E$25*-1</f>
        <v>0</v>
      </c>
      <c r="P28" s="20">
        <f>Assumptions!$E$35*J28*-1</f>
        <v>-973.04243159614725</v>
      </c>
      <c r="Q28" s="5">
        <f>J28*Assumptions!$E$36*-1</f>
        <v>-391.86405041149061</v>
      </c>
      <c r="R28" s="5">
        <f>(R16+(Model_30y!R16*Assumptions!$D$51))</f>
        <v>-358.22062500000004</v>
      </c>
      <c r="S28" s="5">
        <f>S16+(S16*Assumptions!$D$51)</f>
        <v>0</v>
      </c>
      <c r="T28" s="5">
        <f t="shared" si="12"/>
        <v>0</v>
      </c>
      <c r="U28" s="22">
        <f t="shared" si="2"/>
        <v>-1723.1271070076377</v>
      </c>
      <c r="V28" s="5">
        <f>MAX(Assumptions!$E$18:$E$19)-U28</f>
        <v>4564.7601188063345</v>
      </c>
      <c r="W28" s="5">
        <f t="shared" si="3"/>
        <v>-2198.4576329329379</v>
      </c>
      <c r="X28" s="5">
        <f t="shared" si="9"/>
        <v>-1723.1271070076377</v>
      </c>
      <c r="Y28" s="5">
        <f>C28*Assumptions!$D$44*-1</f>
        <v>278.98244798411793</v>
      </c>
      <c r="Z28" s="5">
        <f t="shared" si="4"/>
        <v>922.15782684987676</v>
      </c>
      <c r="AA28" s="5">
        <f t="shared" si="13"/>
        <v>25137.327065056048</v>
      </c>
      <c r="AB28" s="3">
        <f>Assumptions!$E$45</f>
        <v>6.9899151946608562E-3</v>
      </c>
      <c r="AC28" s="5">
        <f t="shared" si="14"/>
        <v>26235.192676311122</v>
      </c>
      <c r="AD28" s="5">
        <f>AC28*Assumptions!$E$43</f>
        <v>23.495595784422285</v>
      </c>
      <c r="AE28" s="2">
        <f>AD28*Assumptions!$D$44*-1</f>
        <v>-3.5243393676633428</v>
      </c>
      <c r="AF28" s="2">
        <f>AC28*Assumptions!$E$46*-1</f>
        <v>-0.87434613732861999</v>
      </c>
      <c r="AG28" s="22">
        <f t="shared" si="15"/>
        <v>26230.793990806131</v>
      </c>
      <c r="AH28" s="5">
        <f>Model_30y[[#This Row],[Mortgage Payment]]+Model_30y[[#This Row],[Total Upkeep]]+Model_30y[[#This Row],[Monthly Investment]]</f>
        <v>-2999.4269130906987</v>
      </c>
      <c r="AI28" s="5">
        <f>Model_Renter!D28*-1</f>
        <v>2966.0037825600007</v>
      </c>
      <c r="AJ28" s="5">
        <f t="shared" si="16"/>
        <v>-33.423130530698018</v>
      </c>
    </row>
    <row r="29" spans="1:36" x14ac:dyDescent="0.25">
      <c r="A29" s="17">
        <f t="shared" si="10"/>
        <v>27</v>
      </c>
      <c r="B29" s="17">
        <f t="shared" si="5"/>
        <v>3</v>
      </c>
      <c r="C29" s="23">
        <f>IFERROR(IPMT(Assumptions!$D$16/12,Model_30y!A29, 360,Assumptions!$D$8), 0)</f>
        <v>-1857.986968541102</v>
      </c>
      <c r="D29" s="2">
        <f>IFERROR(PPMT(Assumptions!$D$16/12, Model_30y!A29, 360, Assumptions!$D$8), 0)</f>
        <v>-340.47066439183584</v>
      </c>
      <c r="E29" s="2">
        <f t="shared" si="0"/>
        <v>-2198.4576329329379</v>
      </c>
      <c r="F29" s="2">
        <f>IF(I28&gt;1, Assumptions!$E$18, 0)*-1</f>
        <v>-2198.4576329329379</v>
      </c>
      <c r="G29" s="24">
        <f t="shared" si="1"/>
        <v>1</v>
      </c>
      <c r="H29" s="20">
        <f t="shared" si="6"/>
        <v>8557.0834249093296</v>
      </c>
      <c r="I29" s="2">
        <f>MAX(Assumptions!$D$8-SUM(Model_30y!H29), 0)</f>
        <v>331442.91657509067</v>
      </c>
      <c r="J29" s="2">
        <f>J28*(1+(Assumptions!$E$51))</f>
        <v>474312.80884465744</v>
      </c>
      <c r="K29" s="22">
        <f t="shared" si="7"/>
        <v>142869.89226956677</v>
      </c>
      <c r="L29" s="5">
        <f t="shared" si="8"/>
        <v>93557.08342490936</v>
      </c>
      <c r="M29" s="63">
        <f>L29/Assumptions!$D$6</f>
        <v>0.22013431394096319</v>
      </c>
      <c r="N29" s="24">
        <f t="shared" si="17"/>
        <v>0</v>
      </c>
      <c r="O29" s="5">
        <f>N29*Assumptions!$E$25*-1</f>
        <v>0</v>
      </c>
      <c r="P29" s="20">
        <f>Assumptions!$E$35*J29*-1</f>
        <v>-977.00672690921215</v>
      </c>
      <c r="Q29" s="5">
        <f>J29*Assumptions!$E$36*-1</f>
        <v>-393.4605530592288</v>
      </c>
      <c r="R29" s="5">
        <f>(R17+(Model_30y!R17*Assumptions!$D$51))</f>
        <v>-358.22062500000004</v>
      </c>
      <c r="S29" s="5">
        <f>S17+(S17*Assumptions!$D$51)</f>
        <v>0</v>
      </c>
      <c r="T29" s="5">
        <f t="shared" si="12"/>
        <v>0</v>
      </c>
      <c r="U29" s="22">
        <f t="shared" si="2"/>
        <v>-1728.6879049684408</v>
      </c>
      <c r="V29" s="5">
        <f>MAX(Assumptions!$E$18:$E$19)-U29</f>
        <v>4570.3209167671375</v>
      </c>
      <c r="W29" s="5">
        <f t="shared" si="3"/>
        <v>-2198.4576329329379</v>
      </c>
      <c r="X29" s="5">
        <f t="shared" si="9"/>
        <v>-1728.6879049684408</v>
      </c>
      <c r="Y29" s="5">
        <f>C29*Assumptions!$D$44*-1</f>
        <v>278.69804528116526</v>
      </c>
      <c r="Z29" s="5">
        <f t="shared" si="4"/>
        <v>921.87342414692409</v>
      </c>
      <c r="AA29" s="5">
        <f t="shared" si="13"/>
        <v>26230.793990806131</v>
      </c>
      <c r="AB29" s="3">
        <f>Assumptions!$E$45</f>
        <v>6.9899151946608562E-3</v>
      </c>
      <c r="AC29" s="5">
        <f t="shared" si="14"/>
        <v>27336.018440437409</v>
      </c>
      <c r="AD29" s="5">
        <f>AC29*Assumptions!$E$43</f>
        <v>24.48146836794416</v>
      </c>
      <c r="AE29" s="2">
        <f>AD29*Assumptions!$D$44*-1</f>
        <v>-3.6722202551916237</v>
      </c>
      <c r="AF29" s="2">
        <f>AC29*Assumptions!$E$46*-1</f>
        <v>-0.91103360391638122</v>
      </c>
      <c r="AG29" s="22">
        <f t="shared" si="15"/>
        <v>27331.435186578299</v>
      </c>
      <c r="AH29" s="5">
        <f>Model_30y[[#This Row],[Mortgage Payment]]+Model_30y[[#This Row],[Total Upkeep]]+Model_30y[[#This Row],[Monthly Investment]]</f>
        <v>-3005.2721137544545</v>
      </c>
      <c r="AI29" s="5">
        <f>Model_Renter!D29*-1</f>
        <v>2966.0037825600007</v>
      </c>
      <c r="AJ29" s="5">
        <f t="shared" si="16"/>
        <v>-39.268331194453822</v>
      </c>
    </row>
    <row r="30" spans="1:36" x14ac:dyDescent="0.25">
      <c r="A30" s="17">
        <f t="shared" si="10"/>
        <v>28</v>
      </c>
      <c r="B30" s="17">
        <f t="shared" si="5"/>
        <v>3</v>
      </c>
      <c r="C30" s="23">
        <f>IFERROR(IPMT(Assumptions!$D$16/12,Model_30y!A30, 360,Assumptions!$D$8), 0)</f>
        <v>-1856.0803328205077</v>
      </c>
      <c r="D30" s="2">
        <f>IFERROR(PPMT(Assumptions!$D$16/12, Model_30y!A30, 360, Assumptions!$D$8), 0)</f>
        <v>-342.37730011243002</v>
      </c>
      <c r="E30" s="2">
        <f t="shared" si="0"/>
        <v>-2198.4576329329375</v>
      </c>
      <c r="F30" s="2">
        <f>IF(I29&gt;1, Assumptions!$E$18, 0)*-1</f>
        <v>-2198.4576329329379</v>
      </c>
      <c r="G30" s="24">
        <f t="shared" si="1"/>
        <v>1</v>
      </c>
      <c r="H30" s="20">
        <f t="shared" si="6"/>
        <v>8899.4607250217596</v>
      </c>
      <c r="I30" s="2">
        <f>MAX(Assumptions!$D$8-SUM(Model_30y!H30), 0)</f>
        <v>331100.53927497822</v>
      </c>
      <c r="J30" s="2">
        <f>J29*(1+(Assumptions!$E$51))</f>
        <v>476245.21794006054</v>
      </c>
      <c r="K30" s="22">
        <f t="shared" si="7"/>
        <v>145144.67866508232</v>
      </c>
      <c r="L30" s="5">
        <f t="shared" si="8"/>
        <v>93899.460725021796</v>
      </c>
      <c r="M30" s="63">
        <f>L30/Assumptions!$D$6</f>
        <v>0.22093990758828658</v>
      </c>
      <c r="N30" s="24">
        <f t="shared" si="17"/>
        <v>0</v>
      </c>
      <c r="O30" s="5">
        <f>N30*Assumptions!$E$25*-1</f>
        <v>0</v>
      </c>
      <c r="P30" s="20">
        <f>Assumptions!$E$35*J30*-1</f>
        <v>-980.98717325209748</v>
      </c>
      <c r="Q30" s="5">
        <f>J30*Assumptions!$E$36*-1</f>
        <v>-395.06356005637485</v>
      </c>
      <c r="R30" s="5">
        <f>(R18+(Model_30y!R18*Assumptions!$D$51))</f>
        <v>-358.22062500000004</v>
      </c>
      <c r="S30" s="5">
        <f>S18+(S18*Assumptions!$D$51)</f>
        <v>0</v>
      </c>
      <c r="T30" s="5">
        <f t="shared" si="12"/>
        <v>0</v>
      </c>
      <c r="U30" s="22">
        <f t="shared" si="2"/>
        <v>-1734.2713583084724</v>
      </c>
      <c r="V30" s="5">
        <f>MAX(Assumptions!$E$18:$E$19)-U30</f>
        <v>4575.9043701071696</v>
      </c>
      <c r="W30" s="5">
        <f t="shared" si="3"/>
        <v>-2198.4576329329379</v>
      </c>
      <c r="X30" s="5">
        <f t="shared" si="9"/>
        <v>-1734.2713583084724</v>
      </c>
      <c r="Y30" s="5">
        <f>C30*Assumptions!$D$44*-1</f>
        <v>278.41204992307615</v>
      </c>
      <c r="Z30" s="5">
        <f t="shared" si="4"/>
        <v>921.5874287888355</v>
      </c>
      <c r="AA30" s="5">
        <f t="shared" si="13"/>
        <v>27331.435186578299</v>
      </c>
      <c r="AB30" s="3">
        <f>Assumptions!$E$45</f>
        <v>6.9899151946608562E-3</v>
      </c>
      <c r="AC30" s="5">
        <f t="shared" si="14"/>
        <v>28444.067029469687</v>
      </c>
      <c r="AD30" s="5">
        <f>AC30*Assumptions!$E$43</f>
        <v>25.473809536488705</v>
      </c>
      <c r="AE30" s="2">
        <f>AD30*Assumptions!$D$44*-1</f>
        <v>-3.8210714304733058</v>
      </c>
      <c r="AF30" s="2">
        <f>AC30*Assumptions!$E$46*-1</f>
        <v>-0.94796178720613411</v>
      </c>
      <c r="AG30" s="22">
        <f t="shared" si="15"/>
        <v>28439.297996252008</v>
      </c>
      <c r="AH30" s="5">
        <f>Model_30y[[#This Row],[Mortgage Payment]]+Model_30y[[#This Row],[Total Upkeep]]+Model_30y[[#This Row],[Monthly Investment]]</f>
        <v>-3011.1415624525748</v>
      </c>
      <c r="AI30" s="5">
        <f>Model_Renter!D30*-1</f>
        <v>2966.0037825600007</v>
      </c>
      <c r="AJ30" s="5">
        <f t="shared" si="16"/>
        <v>-45.137779892574144</v>
      </c>
    </row>
    <row r="31" spans="1:36" x14ac:dyDescent="0.25">
      <c r="A31" s="17">
        <f t="shared" si="10"/>
        <v>29</v>
      </c>
      <c r="B31" s="17">
        <f t="shared" si="5"/>
        <v>3</v>
      </c>
      <c r="C31" s="23">
        <f>IFERROR(IPMT(Assumptions!$D$16/12,Model_30y!A31, 360,Assumptions!$D$8), 0)</f>
        <v>-1854.1630199398783</v>
      </c>
      <c r="D31" s="2">
        <f>IFERROR(PPMT(Assumptions!$D$16/12, Model_30y!A31, 360, Assumptions!$D$8), 0)</f>
        <v>-344.29461299305973</v>
      </c>
      <c r="E31" s="2">
        <f t="shared" si="0"/>
        <v>-2198.4576329329379</v>
      </c>
      <c r="F31" s="2">
        <f>IF(I30&gt;1, Assumptions!$E$18, 0)*-1</f>
        <v>-2198.4576329329379</v>
      </c>
      <c r="G31" s="24">
        <f t="shared" si="1"/>
        <v>1</v>
      </c>
      <c r="H31" s="20">
        <f t="shared" si="6"/>
        <v>9243.7553380148202</v>
      </c>
      <c r="I31" s="2">
        <f>MAX(Assumptions!$D$8-SUM(Model_30y!H31), 0)</f>
        <v>330756.2446619852</v>
      </c>
      <c r="J31" s="2">
        <f>J30*(1+(Assumptions!$E$51))</f>
        <v>478185.49990931893</v>
      </c>
      <c r="K31" s="22">
        <f t="shared" si="7"/>
        <v>147429.25524733373</v>
      </c>
      <c r="L31" s="5">
        <f t="shared" si="8"/>
        <v>94243.75533801486</v>
      </c>
      <c r="M31" s="63">
        <f>L31/Assumptions!$D$6</f>
        <v>0.22175001256003496</v>
      </c>
      <c r="N31" s="24">
        <f t="shared" si="17"/>
        <v>0</v>
      </c>
      <c r="O31" s="5">
        <f>N31*Assumptions!$E$25*-1</f>
        <v>0</v>
      </c>
      <c r="P31" s="20">
        <f>Assumptions!$E$35*J31*-1</f>
        <v>-984.98383642609781</v>
      </c>
      <c r="Q31" s="5">
        <f>J31*Assumptions!$E$36*-1</f>
        <v>-396.67309790245332</v>
      </c>
      <c r="R31" s="5">
        <f>(R19+(Model_30y!R19*Assumptions!$D$51))</f>
        <v>-358.22062500000004</v>
      </c>
      <c r="S31" s="5">
        <f>S19+(S19*Assumptions!$D$51)</f>
        <v>0</v>
      </c>
      <c r="T31" s="5">
        <f t="shared" si="12"/>
        <v>0</v>
      </c>
      <c r="U31" s="22">
        <f t="shared" si="2"/>
        <v>-1739.8775593285513</v>
      </c>
      <c r="V31" s="5">
        <f>MAX(Assumptions!$E$18:$E$19)-U31</f>
        <v>4581.5105711272481</v>
      </c>
      <c r="W31" s="5">
        <f t="shared" si="3"/>
        <v>-2198.4576329329379</v>
      </c>
      <c r="X31" s="5">
        <f t="shared" si="9"/>
        <v>-1739.8775593285513</v>
      </c>
      <c r="Y31" s="5">
        <f>C31*Assumptions!$D$44*-1</f>
        <v>278.12445299098175</v>
      </c>
      <c r="Z31" s="5">
        <f t="shared" si="4"/>
        <v>921.29983185674064</v>
      </c>
      <c r="AA31" s="5">
        <f t="shared" si="13"/>
        <v>28439.297996252008</v>
      </c>
      <c r="AB31" s="3">
        <f>Assumptions!$E$45</f>
        <v>6.9899151946608562E-3</v>
      </c>
      <c r="AC31" s="5">
        <f t="shared" si="14"/>
        <v>29559.386109298237</v>
      </c>
      <c r="AD31" s="5">
        <f>AC31*Assumptions!$E$43</f>
        <v>26.472661978459413</v>
      </c>
      <c r="AE31" s="2">
        <f>AD31*Assumptions!$D$44*-1</f>
        <v>-3.9708992967689118</v>
      </c>
      <c r="AF31" s="2">
        <f>AC31*Assumptions!$E$46*-1</f>
        <v>-0.98513227576967088</v>
      </c>
      <c r="AG31" s="22">
        <f t="shared" si="15"/>
        <v>29554.430077725698</v>
      </c>
      <c r="AH31" s="5">
        <f>Model_30y[[#This Row],[Mortgage Payment]]+Model_30y[[#This Row],[Total Upkeep]]+Model_30y[[#This Row],[Monthly Investment]]</f>
        <v>-3017.0353604047486</v>
      </c>
      <c r="AI31" s="5">
        <f>Model_Renter!D31*-1</f>
        <v>2966.0037825600007</v>
      </c>
      <c r="AJ31" s="5">
        <f t="shared" si="16"/>
        <v>-51.031577844747972</v>
      </c>
    </row>
    <row r="32" spans="1:36" x14ac:dyDescent="0.25">
      <c r="A32" s="17">
        <f t="shared" si="10"/>
        <v>30</v>
      </c>
      <c r="B32" s="17">
        <f t="shared" si="5"/>
        <v>3</v>
      </c>
      <c r="C32" s="23">
        <f>IFERROR(IPMT(Assumptions!$D$16/12,Model_30y!A32, 360,Assumptions!$D$8), 0)</f>
        <v>-1852.2349701071171</v>
      </c>
      <c r="D32" s="2">
        <f>IFERROR(PPMT(Assumptions!$D$16/12, Model_30y!A32, 360, Assumptions!$D$8), 0)</f>
        <v>-346.22266282582081</v>
      </c>
      <c r="E32" s="2">
        <f t="shared" si="0"/>
        <v>-2198.4576329329379</v>
      </c>
      <c r="F32" s="2">
        <f>IF(I31&gt;1, Assumptions!$E$18, 0)*-1</f>
        <v>-2198.4576329329379</v>
      </c>
      <c r="G32" s="24">
        <f t="shared" si="1"/>
        <v>1</v>
      </c>
      <c r="H32" s="20">
        <f t="shared" si="6"/>
        <v>9589.9780008406415</v>
      </c>
      <c r="I32" s="2">
        <f>MAX(Assumptions!$D$8-SUM(Model_30y!H32), 0)</f>
        <v>330410.02199915936</v>
      </c>
      <c r="J32" s="2">
        <f>J31*(1+(Assumptions!$E$51))</f>
        <v>480133.68682749529</v>
      </c>
      <c r="K32" s="22">
        <f t="shared" si="7"/>
        <v>149723.66482833592</v>
      </c>
      <c r="L32" s="5">
        <f t="shared" si="8"/>
        <v>94589.978000840681</v>
      </c>
      <c r="M32" s="63">
        <f>L32/Assumptions!$D$6</f>
        <v>0.22256465411962514</v>
      </c>
      <c r="N32" s="24">
        <f t="shared" si="17"/>
        <v>0</v>
      </c>
      <c r="O32" s="5">
        <f>N32*Assumptions!$E$25*-1</f>
        <v>0</v>
      </c>
      <c r="P32" s="20">
        <f>Assumptions!$E$35*J32*-1</f>
        <v>-988.9967825005906</v>
      </c>
      <c r="Q32" s="5">
        <f>J32*Assumptions!$E$36*-1</f>
        <v>-398.28919320495123</v>
      </c>
      <c r="R32" s="5">
        <f>(R20+(Model_30y!R20*Assumptions!$D$51))</f>
        <v>-358.22062500000004</v>
      </c>
      <c r="S32" s="5">
        <f>S20+(S20*Assumptions!$D$51)</f>
        <v>0</v>
      </c>
      <c r="T32" s="5">
        <f t="shared" si="12"/>
        <v>0</v>
      </c>
      <c r="U32" s="22">
        <f t="shared" si="2"/>
        <v>-1745.506600705542</v>
      </c>
      <c r="V32" s="5">
        <f>MAX(Assumptions!$E$18:$E$19)-U32</f>
        <v>4587.1396125042393</v>
      </c>
      <c r="W32" s="5">
        <f t="shared" si="3"/>
        <v>-2198.4576329329379</v>
      </c>
      <c r="X32" s="5">
        <f t="shared" si="9"/>
        <v>-1745.506600705542</v>
      </c>
      <c r="Y32" s="5">
        <f>C32*Assumptions!$D$44*-1</f>
        <v>277.83524551606757</v>
      </c>
      <c r="Z32" s="5">
        <f t="shared" si="4"/>
        <v>921.0106243818268</v>
      </c>
      <c r="AA32" s="5">
        <f t="shared" si="13"/>
        <v>29554.430077725698</v>
      </c>
      <c r="AB32" s="3">
        <f>Assumptions!$E$45</f>
        <v>6.9899151946608562E-3</v>
      </c>
      <c r="AC32" s="5">
        <f t="shared" si="14"/>
        <v>30682.02366197736</v>
      </c>
      <c r="AD32" s="5">
        <f>AC32*Assumptions!$E$43</f>
        <v>27.478068665408532</v>
      </c>
      <c r="AE32" s="2">
        <f>AD32*Assumptions!$D$44*-1</f>
        <v>-4.12171029981128</v>
      </c>
      <c r="AF32" s="2">
        <f>AC32*Assumptions!$E$46*-1</f>
        <v>-1.0225466687156526</v>
      </c>
      <c r="AG32" s="22">
        <f t="shared" si="15"/>
        <v>30676.879405008833</v>
      </c>
      <c r="AH32" s="5">
        <f>Model_30y[[#This Row],[Mortgage Payment]]+Model_30y[[#This Row],[Total Upkeep]]+Model_30y[[#This Row],[Monthly Investment]]</f>
        <v>-3022.9536092566532</v>
      </c>
      <c r="AI32" s="5">
        <f>Model_Renter!D32*-1</f>
        <v>2966.0037825600007</v>
      </c>
      <c r="AJ32" s="5">
        <f t="shared" si="16"/>
        <v>-56.949826696652508</v>
      </c>
    </row>
    <row r="33" spans="1:36" x14ac:dyDescent="0.25">
      <c r="A33" s="17">
        <f t="shared" si="10"/>
        <v>31</v>
      </c>
      <c r="B33" s="17">
        <f t="shared" si="5"/>
        <v>3</v>
      </c>
      <c r="C33" s="23">
        <f>IFERROR(IPMT(Assumptions!$D$16/12,Model_30y!A33, 360,Assumptions!$D$8), 0)</f>
        <v>-1850.2961231952925</v>
      </c>
      <c r="D33" s="2">
        <f>IFERROR(PPMT(Assumptions!$D$16/12, Model_30y!A33, 360, Assumptions!$D$8), 0)</f>
        <v>-348.16150973764547</v>
      </c>
      <c r="E33" s="2">
        <f t="shared" si="0"/>
        <v>-2198.4576329329379</v>
      </c>
      <c r="F33" s="2">
        <f>IF(I32&gt;1, Assumptions!$E$18, 0)*-1</f>
        <v>-2198.4576329329379</v>
      </c>
      <c r="G33" s="24">
        <f t="shared" si="1"/>
        <v>1</v>
      </c>
      <c r="H33" s="20">
        <f t="shared" si="6"/>
        <v>9938.1395105782867</v>
      </c>
      <c r="I33" s="2">
        <f>MAX(Assumptions!$D$8-SUM(Model_30y!H33), 0)</f>
        <v>330061.8604894217</v>
      </c>
      <c r="J33" s="2">
        <f>J32*(1+(Assumptions!$E$51))</f>
        <v>482089.81090032996</v>
      </c>
      <c r="K33" s="22">
        <f t="shared" si="7"/>
        <v>152027.95041090826</v>
      </c>
      <c r="L33" s="5">
        <f t="shared" si="8"/>
        <v>94938.13951057833</v>
      </c>
      <c r="M33" s="63">
        <f>L33/Assumptions!$D$6</f>
        <v>0.22338385767194902</v>
      </c>
      <c r="N33" s="24">
        <f t="shared" si="17"/>
        <v>0</v>
      </c>
      <c r="O33" s="5">
        <f>N33*Assumptions!$E$25*-1</f>
        <v>0</v>
      </c>
      <c r="P33" s="20">
        <f>Assumptions!$E$35*J33*-1</f>
        <v>-993.02607781412792</v>
      </c>
      <c r="Q33" s="5">
        <f>J33*Assumptions!$E$36*-1</f>
        <v>-399.91187267975761</v>
      </c>
      <c r="R33" s="5">
        <f>(R21+(Model_30y!R21*Assumptions!$D$51))</f>
        <v>-358.22062500000004</v>
      </c>
      <c r="S33" s="5">
        <f>S21+(S21*Assumptions!$D$51)</f>
        <v>0</v>
      </c>
      <c r="T33" s="5">
        <f t="shared" si="12"/>
        <v>0</v>
      </c>
      <c r="U33" s="22">
        <f t="shared" si="2"/>
        <v>-1751.1585754938856</v>
      </c>
      <c r="V33" s="5">
        <f>MAX(Assumptions!$E$18:$E$19)-U33</f>
        <v>4592.7915872925823</v>
      </c>
      <c r="W33" s="5">
        <f t="shared" si="3"/>
        <v>-2198.4576329329379</v>
      </c>
      <c r="X33" s="5">
        <f t="shared" si="9"/>
        <v>-1751.1585754938856</v>
      </c>
      <c r="Y33" s="5">
        <f>C33*Assumptions!$D$44*-1</f>
        <v>277.54441847929388</v>
      </c>
      <c r="Z33" s="5">
        <f t="shared" si="4"/>
        <v>920.71979734505271</v>
      </c>
      <c r="AA33" s="5">
        <f t="shared" si="13"/>
        <v>30676.879405008833</v>
      </c>
      <c r="AB33" s="3">
        <f>Assumptions!$E$45</f>
        <v>6.9899151946608562E-3</v>
      </c>
      <c r="AC33" s="5">
        <f t="shared" si="14"/>
        <v>31812.027987831734</v>
      </c>
      <c r="AD33" s="5">
        <f>AC33*Assumptions!$E$43</f>
        <v>28.490072853923458</v>
      </c>
      <c r="AE33" s="2">
        <f>AD33*Assumptions!$D$44*-1</f>
        <v>-4.2735109280885188</v>
      </c>
      <c r="AF33" s="2">
        <f>AC33*Assumptions!$E$46*-1</f>
        <v>-1.0602065757598087</v>
      </c>
      <c r="AG33" s="22">
        <f t="shared" si="15"/>
        <v>31806.694270327887</v>
      </c>
      <c r="AH33" s="5">
        <f>Model_30y[[#This Row],[Mortgage Payment]]+Model_30y[[#This Row],[Total Upkeep]]+Model_30y[[#This Row],[Monthly Investment]]</f>
        <v>-3028.8964110817706</v>
      </c>
      <c r="AI33" s="5">
        <f>Model_Renter!D33*-1</f>
        <v>2966.0037825600007</v>
      </c>
      <c r="AJ33" s="5">
        <f t="shared" si="16"/>
        <v>-62.892628521769893</v>
      </c>
    </row>
    <row r="34" spans="1:36" x14ac:dyDescent="0.25">
      <c r="A34" s="17">
        <f t="shared" si="10"/>
        <v>32</v>
      </c>
      <c r="B34" s="17">
        <f t="shared" si="5"/>
        <v>3</v>
      </c>
      <c r="C34" s="23">
        <f>IFERROR(IPMT(Assumptions!$D$16/12,Model_30y!A34, 360,Assumptions!$D$8), 0)</f>
        <v>-1848.3464187407615</v>
      </c>
      <c r="D34" s="2">
        <f>IFERROR(PPMT(Assumptions!$D$16/12, Model_30y!A34, 360, Assumptions!$D$8), 0)</f>
        <v>-350.11121419217619</v>
      </c>
      <c r="E34" s="2">
        <f t="shared" si="0"/>
        <v>-2198.4576329329375</v>
      </c>
      <c r="F34" s="2">
        <f>IF(I33&gt;1, Assumptions!$E$18, 0)*-1</f>
        <v>-2198.4576329329379</v>
      </c>
      <c r="G34" s="24">
        <f t="shared" si="1"/>
        <v>1</v>
      </c>
      <c r="H34" s="20">
        <f t="shared" si="6"/>
        <v>10288.250724770463</v>
      </c>
      <c r="I34" s="2">
        <f>MAX(Assumptions!$D$8-SUM(Model_30y!H34), 0)</f>
        <v>329711.74927522952</v>
      </c>
      <c r="J34" s="2">
        <f>J33*(1+(Assumptions!$E$51))</f>
        <v>484053.90446477354</v>
      </c>
      <c r="K34" s="22">
        <f t="shared" si="7"/>
        <v>154342.15518954402</v>
      </c>
      <c r="L34" s="5">
        <f t="shared" si="8"/>
        <v>95288.250724770507</v>
      </c>
      <c r="M34" s="63">
        <f>L34/Assumptions!$D$6</f>
        <v>0.22420764876416591</v>
      </c>
      <c r="N34" s="24">
        <f t="shared" si="17"/>
        <v>0</v>
      </c>
      <c r="O34" s="5">
        <f>N34*Assumptions!$E$25*-1</f>
        <v>0</v>
      </c>
      <c r="P34" s="20">
        <f>Assumptions!$E$35*J34*-1</f>
        <v>-997.07178897553354</v>
      </c>
      <c r="Q34" s="5">
        <f>J34*Assumptions!$E$36*-1</f>
        <v>-401.54116315160559</v>
      </c>
      <c r="R34" s="5">
        <f>(R22+(Model_30y!R22*Assumptions!$D$51))</f>
        <v>-358.22062500000004</v>
      </c>
      <c r="S34" s="5">
        <f>S22+(S22*Assumptions!$D$51)</f>
        <v>0</v>
      </c>
      <c r="T34" s="5">
        <f t="shared" si="12"/>
        <v>0</v>
      </c>
      <c r="U34" s="22">
        <f t="shared" si="2"/>
        <v>-1756.8335771271391</v>
      </c>
      <c r="V34" s="5">
        <f>MAX(Assumptions!$E$18:$E$19)-U34</f>
        <v>4598.4665889258358</v>
      </c>
      <c r="W34" s="5">
        <f t="shared" si="3"/>
        <v>-2198.4576329329379</v>
      </c>
      <c r="X34" s="5">
        <f t="shared" si="9"/>
        <v>-1756.8335771271391</v>
      </c>
      <c r="Y34" s="5">
        <f>C34*Assumptions!$D$44*-1</f>
        <v>277.2519628111142</v>
      </c>
      <c r="Z34" s="5">
        <f t="shared" si="4"/>
        <v>920.42734167687308</v>
      </c>
      <c r="AA34" s="5">
        <f t="shared" si="13"/>
        <v>31806.694270327887</v>
      </c>
      <c r="AB34" s="3">
        <f>Assumptions!$E$45</f>
        <v>6.9899151946608562E-3</v>
      </c>
      <c r="AC34" s="5">
        <f t="shared" si="14"/>
        <v>32949.447707576859</v>
      </c>
      <c r="AD34" s="5">
        <f>AC34*Assumptions!$E$43</f>
        <v>29.508718087525761</v>
      </c>
      <c r="AE34" s="2">
        <f>AD34*Assumptions!$D$44*-1</f>
        <v>-4.426307713128864</v>
      </c>
      <c r="AF34" s="2">
        <f>AC34*Assumptions!$E$46*-1</f>
        <v>-1.0981136172956052</v>
      </c>
      <c r="AG34" s="22">
        <f t="shared" si="15"/>
        <v>32943.923286246434</v>
      </c>
      <c r="AH34" s="5">
        <f>Model_30y[[#This Row],[Mortgage Payment]]+Model_30y[[#This Row],[Total Upkeep]]+Model_30y[[#This Row],[Monthly Investment]]</f>
        <v>-3034.8638683832041</v>
      </c>
      <c r="AI34" s="5">
        <f>Model_Renter!D34*-1</f>
        <v>2966.0037825600007</v>
      </c>
      <c r="AJ34" s="5">
        <f t="shared" si="16"/>
        <v>-68.860085823203462</v>
      </c>
    </row>
    <row r="35" spans="1:36" x14ac:dyDescent="0.25">
      <c r="A35" s="17">
        <f t="shared" si="10"/>
        <v>33</v>
      </c>
      <c r="B35" s="17">
        <f t="shared" si="5"/>
        <v>3</v>
      </c>
      <c r="C35" s="23">
        <f>IFERROR(IPMT(Assumptions!$D$16/12,Model_30y!A35, 360,Assumptions!$D$8), 0)</f>
        <v>-1846.3857959412856</v>
      </c>
      <c r="D35" s="2">
        <f>IFERROR(PPMT(Assumptions!$D$16/12, Model_30y!A35, 360, Assumptions!$D$8), 0)</f>
        <v>-352.07183699165245</v>
      </c>
      <c r="E35" s="2">
        <f t="shared" si="0"/>
        <v>-2198.4576329329379</v>
      </c>
      <c r="F35" s="2">
        <f>IF(I34&gt;1, Assumptions!$E$18, 0)*-1</f>
        <v>-2198.4576329329379</v>
      </c>
      <c r="G35" s="24">
        <f t="shared" si="1"/>
        <v>1</v>
      </c>
      <c r="H35" s="20">
        <f t="shared" si="6"/>
        <v>10640.322561762116</v>
      </c>
      <c r="I35" s="2">
        <f>MAX(Assumptions!$D$8-SUM(Model_30y!H35), 0)</f>
        <v>329359.67743823788</v>
      </c>
      <c r="J35" s="2">
        <f>J34*(1+(Assumptions!$E$51))</f>
        <v>486025.99998952134</v>
      </c>
      <c r="K35" s="22">
        <f t="shared" si="7"/>
        <v>156666.32255128346</v>
      </c>
      <c r="L35" s="5">
        <f t="shared" si="8"/>
        <v>95640.322561762165</v>
      </c>
      <c r="M35" s="63">
        <f>L35/Assumptions!$D$6</f>
        <v>0.22503605308649921</v>
      </c>
      <c r="N35" s="24">
        <f t="shared" si="17"/>
        <v>0</v>
      </c>
      <c r="O35" s="5">
        <f>N35*Assumptions!$E$25*-1</f>
        <v>0</v>
      </c>
      <c r="P35" s="20">
        <f>Assumptions!$E$35*J35*-1</f>
        <v>-1001.1339828650036</v>
      </c>
      <c r="Q35" s="5">
        <f>J35*Assumptions!$E$36*-1</f>
        <v>-403.17709155451536</v>
      </c>
      <c r="R35" s="5">
        <f>(R23+(Model_30y!R23*Assumptions!$D$51))</f>
        <v>-358.22062500000004</v>
      </c>
      <c r="S35" s="5">
        <f>S23+(S23*Assumptions!$D$51)</f>
        <v>0</v>
      </c>
      <c r="T35" s="5">
        <f t="shared" si="12"/>
        <v>0</v>
      </c>
      <c r="U35" s="22">
        <f t="shared" si="2"/>
        <v>-1762.5316994195191</v>
      </c>
      <c r="V35" s="5">
        <f>MAX(Assumptions!$E$18:$E$19)-U35</f>
        <v>4604.1647112182163</v>
      </c>
      <c r="W35" s="5">
        <f t="shared" si="3"/>
        <v>-2198.4576329329379</v>
      </c>
      <c r="X35" s="5">
        <f t="shared" si="9"/>
        <v>-1762.5316994195191</v>
      </c>
      <c r="Y35" s="5">
        <f>C35*Assumptions!$D$44*-1</f>
        <v>276.95786939119284</v>
      </c>
      <c r="Z35" s="5">
        <f t="shared" si="4"/>
        <v>920.13324825695213</v>
      </c>
      <c r="AA35" s="5">
        <f t="shared" si="13"/>
        <v>32943.923286246434</v>
      </c>
      <c r="AB35" s="3">
        <f>Assumptions!$E$45</f>
        <v>6.9899151946608562E-3</v>
      </c>
      <c r="AC35" s="5">
        <f t="shared" si="14"/>
        <v>34094.331764453658</v>
      </c>
      <c r="AD35" s="5">
        <f>AC35*Assumptions!$E$43</f>
        <v>30.534048198582873</v>
      </c>
      <c r="AE35" s="2">
        <f>AD35*Assumptions!$D$44*-1</f>
        <v>-4.5801072297874308</v>
      </c>
      <c r="AF35" s="2">
        <f>AC35*Assumptions!$E$46*-1</f>
        <v>-1.1362694244653853</v>
      </c>
      <c r="AG35" s="22">
        <f t="shared" si="15"/>
        <v>34088.615387799407</v>
      </c>
      <c r="AH35" s="5">
        <f>Model_30y[[#This Row],[Mortgage Payment]]+Model_30y[[#This Row],[Total Upkeep]]+Model_30y[[#This Row],[Monthly Investment]]</f>
        <v>-3040.8560840955051</v>
      </c>
      <c r="AI35" s="5">
        <f>Model_Renter!D35*-1</f>
        <v>2966.0037825600007</v>
      </c>
      <c r="AJ35" s="5">
        <f t="shared" si="16"/>
        <v>-74.852301535504466</v>
      </c>
    </row>
    <row r="36" spans="1:36" x14ac:dyDescent="0.25">
      <c r="A36" s="17">
        <f t="shared" si="10"/>
        <v>34</v>
      </c>
      <c r="B36" s="17">
        <f t="shared" si="5"/>
        <v>3</v>
      </c>
      <c r="C36" s="23">
        <f>IFERROR(IPMT(Assumptions!$D$16/12,Model_30y!A36, 360,Assumptions!$D$8), 0)</f>
        <v>-1844.4141936541321</v>
      </c>
      <c r="D36" s="2">
        <f>IFERROR(PPMT(Assumptions!$D$16/12, Model_30y!A36, 360, Assumptions!$D$8), 0)</f>
        <v>-354.04343927880575</v>
      </c>
      <c r="E36" s="2">
        <f t="shared" si="0"/>
        <v>-2198.4576329329379</v>
      </c>
      <c r="F36" s="2">
        <f>IF(I35&gt;1, Assumptions!$E$18, 0)*-1</f>
        <v>-2198.4576329329379</v>
      </c>
      <c r="G36" s="24">
        <f t="shared" si="1"/>
        <v>1</v>
      </c>
      <c r="H36" s="20">
        <f t="shared" si="6"/>
        <v>10994.366001040922</v>
      </c>
      <c r="I36" s="2">
        <f>MAX(Assumptions!$D$8-SUM(Model_30y!H36), 0)</f>
        <v>329005.63399895909</v>
      </c>
      <c r="J36" s="2">
        <f>J35*(1+(Assumptions!$E$51))</f>
        <v>488006.13007555011</v>
      </c>
      <c r="K36" s="22">
        <f t="shared" si="7"/>
        <v>159000.49607659102</v>
      </c>
      <c r="L36" s="5">
        <f t="shared" si="8"/>
        <v>95994.366001040966</v>
      </c>
      <c r="M36" s="63">
        <f>L36/Assumptions!$D$6</f>
        <v>0.22586909647303757</v>
      </c>
      <c r="N36" s="24">
        <f t="shared" si="17"/>
        <v>0</v>
      </c>
      <c r="O36" s="5">
        <f>N36*Assumptions!$E$25*-1</f>
        <v>0</v>
      </c>
      <c r="P36" s="20">
        <f>Assumptions!$E$35*J36*-1</f>
        <v>-1005.2127266352126</v>
      </c>
      <c r="Q36" s="5">
        <f>J36*Assumptions!$E$36*-1</f>
        <v>-404.8196849322398</v>
      </c>
      <c r="R36" s="5">
        <f>(R24+(Model_30y!R24*Assumptions!$D$51))</f>
        <v>-358.22062500000004</v>
      </c>
      <c r="S36" s="5">
        <f>S24+(S24*Assumptions!$D$51)</f>
        <v>0</v>
      </c>
      <c r="T36" s="5">
        <f t="shared" si="12"/>
        <v>0</v>
      </c>
      <c r="U36" s="22">
        <f t="shared" si="2"/>
        <v>-1768.2530365674525</v>
      </c>
      <c r="V36" s="5">
        <f>MAX(Assumptions!$E$18:$E$19)-U36</f>
        <v>4609.8860483661492</v>
      </c>
      <c r="W36" s="5">
        <f t="shared" si="3"/>
        <v>-2198.4576329329379</v>
      </c>
      <c r="X36" s="5">
        <f t="shared" si="9"/>
        <v>-1768.2530365674525</v>
      </c>
      <c r="Y36" s="5">
        <f>C36*Assumptions!$D$44*-1</f>
        <v>276.66212904811982</v>
      </c>
      <c r="Z36" s="5">
        <f t="shared" si="4"/>
        <v>919.83750791387865</v>
      </c>
      <c r="AA36" s="5">
        <f t="shared" si="13"/>
        <v>34088.615387799407</v>
      </c>
      <c r="AB36" s="3">
        <f>Assumptions!$E$45</f>
        <v>6.9899151946608562E-3</v>
      </c>
      <c r="AC36" s="5">
        <f t="shared" si="14"/>
        <v>35246.729426377417</v>
      </c>
      <c r="AD36" s="5">
        <f>AC36*Assumptions!$E$43</f>
        <v>31.566107310232631</v>
      </c>
      <c r="AE36" s="2">
        <f>AD36*Assumptions!$D$44*-1</f>
        <v>-4.7349160965348949</v>
      </c>
      <c r="AF36" s="2">
        <f>AC36*Assumptions!$E$46*-1</f>
        <v>-1.1746756392319866</v>
      </c>
      <c r="AG36" s="22">
        <f t="shared" si="15"/>
        <v>35240.819834641647</v>
      </c>
      <c r="AH36" s="5">
        <f>Model_30y[[#This Row],[Mortgage Payment]]+Model_30y[[#This Row],[Total Upkeep]]+Model_30y[[#This Row],[Monthly Investment]]</f>
        <v>-3046.8731615865117</v>
      </c>
      <c r="AI36" s="5">
        <f>Model_Renter!D36*-1</f>
        <v>2966.0037825600007</v>
      </c>
      <c r="AJ36" s="5">
        <f t="shared" si="16"/>
        <v>-80.869379026511069</v>
      </c>
    </row>
    <row r="37" spans="1:36" x14ac:dyDescent="0.25">
      <c r="A37" s="17">
        <f t="shared" si="10"/>
        <v>35</v>
      </c>
      <c r="B37" s="17">
        <f t="shared" si="5"/>
        <v>3</v>
      </c>
      <c r="C37" s="23">
        <f>IFERROR(IPMT(Assumptions!$D$16/12,Model_30y!A37, 360,Assumptions!$D$8), 0)</f>
        <v>-1842.4315503941709</v>
      </c>
      <c r="D37" s="2">
        <f>IFERROR(PPMT(Assumptions!$D$16/12, Model_30y!A37, 360, Assumptions!$D$8), 0)</f>
        <v>-356.02608253876696</v>
      </c>
      <c r="E37" s="2">
        <f t="shared" si="0"/>
        <v>-2198.4576329329379</v>
      </c>
      <c r="F37" s="2">
        <f>IF(I36&gt;1, Assumptions!$E$18, 0)*-1</f>
        <v>-2198.4576329329379</v>
      </c>
      <c r="G37" s="24">
        <f t="shared" si="1"/>
        <v>1</v>
      </c>
      <c r="H37" s="20">
        <f t="shared" si="6"/>
        <v>11350.392083579689</v>
      </c>
      <c r="I37" s="2">
        <f>MAX(Assumptions!$D$8-SUM(Model_30y!H37), 0)</f>
        <v>328649.60791642033</v>
      </c>
      <c r="J37" s="2">
        <f>J36*(1+(Assumptions!$E$51))</f>
        <v>489994.32745665708</v>
      </c>
      <c r="K37" s="22">
        <f t="shared" si="7"/>
        <v>161344.71954023675</v>
      </c>
      <c r="L37" s="5">
        <f t="shared" si="8"/>
        <v>96350.392083579733</v>
      </c>
      <c r="M37" s="63">
        <f>L37/Assumptions!$D$6</f>
        <v>0.22670680490254055</v>
      </c>
      <c r="N37" s="24">
        <f t="shared" si="17"/>
        <v>0</v>
      </c>
      <c r="O37" s="5">
        <f>N37*Assumptions!$E$25*-1</f>
        <v>0</v>
      </c>
      <c r="P37" s="20">
        <f>Assumptions!$E$35*J37*-1</f>
        <v>-1009.308087712423</v>
      </c>
      <c r="Q37" s="5">
        <f>J37*Assumptions!$E$36*-1</f>
        <v>-406.46897043871127</v>
      </c>
      <c r="R37" s="5">
        <f>(R25+(Model_30y!R25*Assumptions!$D$51))</f>
        <v>-358.22062500000004</v>
      </c>
      <c r="S37" s="5">
        <f>S25+(S25*Assumptions!$D$51)</f>
        <v>0</v>
      </c>
      <c r="T37" s="5">
        <f t="shared" si="12"/>
        <v>0</v>
      </c>
      <c r="U37" s="22">
        <f t="shared" si="2"/>
        <v>-1773.9976831511344</v>
      </c>
      <c r="V37" s="5">
        <f>MAX(Assumptions!$E$18:$E$19)-U37</f>
        <v>4615.6306949498312</v>
      </c>
      <c r="W37" s="5">
        <f t="shared" si="3"/>
        <v>-2198.4576329329379</v>
      </c>
      <c r="X37" s="5">
        <f t="shared" si="9"/>
        <v>-1773.9976831511344</v>
      </c>
      <c r="Y37" s="5">
        <f>C37*Assumptions!$D$44*-1</f>
        <v>276.36473255912563</v>
      </c>
      <c r="Z37" s="5">
        <f t="shared" si="4"/>
        <v>919.54011142488446</v>
      </c>
      <c r="AA37" s="5">
        <f t="shared" si="13"/>
        <v>35240.819834641647</v>
      </c>
      <c r="AB37" s="3">
        <f>Assumptions!$E$45</f>
        <v>6.9899151946608562E-3</v>
      </c>
      <c r="AC37" s="5">
        <f t="shared" si="14"/>
        <v>36406.690288100996</v>
      </c>
      <c r="AD37" s="5">
        <f>AC37*Assumptions!$E$43</f>
        <v>32.604939838320604</v>
      </c>
      <c r="AE37" s="2">
        <f>AD37*Assumptions!$D$44*-1</f>
        <v>-4.8907409757480904</v>
      </c>
      <c r="AF37" s="2">
        <f>AC37*Assumptions!$E$46*-1</f>
        <v>-1.2133339144508364</v>
      </c>
      <c r="AG37" s="22">
        <f t="shared" si="15"/>
        <v>36400.586213210794</v>
      </c>
      <c r="AH37" s="5">
        <f>Model_30y[[#This Row],[Mortgage Payment]]+Model_30y[[#This Row],[Total Upkeep]]+Model_30y[[#This Row],[Monthly Investment]]</f>
        <v>-3052.915204659188</v>
      </c>
      <c r="AI37" s="5">
        <f>Model_Renter!D37*-1</f>
        <v>2966.0037825600007</v>
      </c>
      <c r="AJ37" s="5">
        <f t="shared" si="16"/>
        <v>-86.911422099187348</v>
      </c>
    </row>
    <row r="38" spans="1:36" x14ac:dyDescent="0.25">
      <c r="A38" s="17">
        <f t="shared" si="10"/>
        <v>36</v>
      </c>
      <c r="B38" s="17">
        <f t="shared" si="5"/>
        <v>3</v>
      </c>
      <c r="C38" s="23">
        <f>IFERROR(IPMT(Assumptions!$D$16/12,Model_30y!A38, 360,Assumptions!$D$8), 0)</f>
        <v>-1840.4378043319539</v>
      </c>
      <c r="D38" s="2">
        <f>IFERROR(PPMT(Assumptions!$D$16/12, Model_30y!A38, 360, Assumptions!$D$8), 0)</f>
        <v>-358.01982860098406</v>
      </c>
      <c r="E38" s="2">
        <f t="shared" si="0"/>
        <v>-2198.4576329329379</v>
      </c>
      <c r="F38" s="2">
        <f>IF(I37&gt;1, Assumptions!$E$18, 0)*-1</f>
        <v>-2198.4576329329379</v>
      </c>
      <c r="G38" s="24">
        <f t="shared" si="1"/>
        <v>1</v>
      </c>
      <c r="H38" s="20">
        <f t="shared" si="6"/>
        <v>11708.411912180673</v>
      </c>
      <c r="I38" s="2">
        <f>MAX(Assumptions!$D$8-SUM(Model_30y!H38), 0)</f>
        <v>328291.58808781934</v>
      </c>
      <c r="J38" s="2">
        <f>J37*(1+(Assumptions!$E$51))</f>
        <v>491990.62500000105</v>
      </c>
      <c r="K38" s="22">
        <f t="shared" si="7"/>
        <v>163699.03691218171</v>
      </c>
      <c r="L38" s="5">
        <f t="shared" si="8"/>
        <v>96708.411912180716</v>
      </c>
      <c r="M38" s="63">
        <f>L38/Assumptions!$D$6</f>
        <v>0.22754920449924873</v>
      </c>
      <c r="N38" s="24">
        <f t="shared" si="17"/>
        <v>0</v>
      </c>
      <c r="O38" s="5">
        <f>N38*Assumptions!$E$25*-1</f>
        <v>0</v>
      </c>
      <c r="P38" s="20">
        <f>Assumptions!$E$35*J38*-1</f>
        <v>-1013.4201337976009</v>
      </c>
      <c r="Q38" s="5">
        <f>J38*Assumptions!$E$36*-1</f>
        <v>-408.12497533849069</v>
      </c>
      <c r="R38" s="5">
        <f>(R26+(Model_30y!R26*Assumptions!$D$51))</f>
        <v>-358.22062500000004</v>
      </c>
      <c r="S38" s="5">
        <f>S26+(S26*Assumptions!$D$51)</f>
        <v>0</v>
      </c>
      <c r="T38" s="5">
        <f t="shared" si="12"/>
        <v>0</v>
      </c>
      <c r="U38" s="22">
        <f t="shared" si="2"/>
        <v>-1779.7657341360914</v>
      </c>
      <c r="V38" s="5">
        <f>MAX(Assumptions!$E$18:$E$19)-U38</f>
        <v>4621.3987459347882</v>
      </c>
      <c r="W38" s="5">
        <f t="shared" si="3"/>
        <v>-2198.4576329329379</v>
      </c>
      <c r="X38" s="5">
        <f t="shared" si="9"/>
        <v>-1779.7657341360914</v>
      </c>
      <c r="Y38" s="5">
        <f>C38*Assumptions!$D$44*-1</f>
        <v>276.06567064979305</v>
      </c>
      <c r="Z38" s="5">
        <f t="shared" si="4"/>
        <v>919.24104951555182</v>
      </c>
      <c r="AA38" s="5">
        <f t="shared" si="13"/>
        <v>36400.586213210794</v>
      </c>
      <c r="AB38" s="3">
        <f>Assumptions!$E$45</f>
        <v>6.9899151946608562E-3</v>
      </c>
      <c r="AC38" s="5">
        <f t="shared" si="14"/>
        <v>37574.264273392626</v>
      </c>
      <c r="AD38" s="5">
        <f>AC38*Assumptions!$E$43</f>
        <v>33.650590493350464</v>
      </c>
      <c r="AE38" s="2">
        <f>AD38*Assumptions!$D$44*-1</f>
        <v>-5.0475885740025692</v>
      </c>
      <c r="AF38" s="2">
        <f>AC38*Assumptions!$E$46*-1</f>
        <v>-1.2522459139425306</v>
      </c>
      <c r="AG38" s="22">
        <f t="shared" si="15"/>
        <v>37567.964438904681</v>
      </c>
      <c r="AH38" s="5">
        <f>Model_30y[[#This Row],[Mortgage Payment]]+Model_30y[[#This Row],[Total Upkeep]]+Model_30y[[#This Row],[Monthly Investment]]</f>
        <v>-3058.9823175534775</v>
      </c>
      <c r="AI38" s="5">
        <f>Model_Renter!D38*-1</f>
        <v>2966.0037825600007</v>
      </c>
      <c r="AJ38" s="5">
        <f t="shared" si="16"/>
        <v>-92.978534993476842</v>
      </c>
    </row>
    <row r="39" spans="1:36" x14ac:dyDescent="0.25">
      <c r="A39" s="17">
        <f t="shared" si="10"/>
        <v>37</v>
      </c>
      <c r="B39" s="17">
        <f t="shared" si="5"/>
        <v>4</v>
      </c>
      <c r="C39" s="23">
        <f>IFERROR(IPMT(Assumptions!$D$16/12,Model_30y!A39, 360,Assumptions!$D$8), 0)</f>
        <v>-1838.4328932917883</v>
      </c>
      <c r="D39" s="2">
        <f>IFERROR(PPMT(Assumptions!$D$16/12, Model_30y!A39, 360, Assumptions!$D$8), 0)</f>
        <v>-360.02473964114967</v>
      </c>
      <c r="E39" s="2">
        <f t="shared" si="0"/>
        <v>-2198.4576329329379</v>
      </c>
      <c r="F39" s="2">
        <f>IF(I38&gt;1, Assumptions!$E$18, 0)*-1</f>
        <v>-2198.4576329329379</v>
      </c>
      <c r="G39" s="24">
        <f t="shared" si="1"/>
        <v>1</v>
      </c>
      <c r="H39" s="20">
        <f t="shared" si="6"/>
        <v>12068.436651821823</v>
      </c>
      <c r="I39" s="2">
        <f>MAX(Assumptions!$D$8-SUM(Model_30y!H39), 0)</f>
        <v>327931.56334817817</v>
      </c>
      <c r="J39" s="2">
        <f>J38*(1+(Assumptions!$E$51))</f>
        <v>493995.05570664559</v>
      </c>
      <c r="K39" s="22">
        <f t="shared" si="7"/>
        <v>166063.49235846743</v>
      </c>
      <c r="L39" s="5">
        <f t="shared" si="8"/>
        <v>97068.436651821859</v>
      </c>
      <c r="M39" s="63">
        <f>L39/Assumptions!$D$6</f>
        <v>0.22839632153369849</v>
      </c>
      <c r="N39" s="24">
        <f t="shared" si="17"/>
        <v>0</v>
      </c>
      <c r="O39" s="5">
        <f>N39*Assumptions!$E$25*-1</f>
        <v>0</v>
      </c>
      <c r="P39" s="20">
        <f>Assumptions!$E$35*J39*-1</f>
        <v>-1017.5489328675338</v>
      </c>
      <c r="Q39" s="5">
        <f>J39*Assumptions!$E$36*-1</f>
        <v>-409.78772700721817</v>
      </c>
      <c r="R39" s="5">
        <f>(R27+(Model_30y!R27*Assumptions!$D$51))</f>
        <v>-376.13165625000005</v>
      </c>
      <c r="S39" s="5">
        <f>S27+(S27*Assumptions!$D$51)</f>
        <v>0</v>
      </c>
      <c r="T39" s="5">
        <f t="shared" si="12"/>
        <v>0</v>
      </c>
      <c r="U39" s="22">
        <f t="shared" si="2"/>
        <v>-1803.4683161247522</v>
      </c>
      <c r="V39" s="5">
        <f>MAX(Assumptions!$E$18:$E$19)-U39</f>
        <v>4645.1013279234485</v>
      </c>
      <c r="W39" s="5">
        <f t="shared" si="3"/>
        <v>-2198.4576329329379</v>
      </c>
      <c r="X39" s="5">
        <f t="shared" si="9"/>
        <v>-1803.4683161247522</v>
      </c>
      <c r="Y39" s="5">
        <f>C39*Assumptions!$D$44*-1</f>
        <v>275.76493399376824</v>
      </c>
      <c r="Z39" s="5">
        <f t="shared" si="4"/>
        <v>918.94031285952656</v>
      </c>
      <c r="AA39" s="5">
        <f t="shared" si="13"/>
        <v>37567.964438904681</v>
      </c>
      <c r="AB39" s="3">
        <f>Assumptions!$E$45</f>
        <v>6.9899151946608562E-3</v>
      </c>
      <c r="AC39" s="5">
        <f t="shared" si="14"/>
        <v>38749.50163722819</v>
      </c>
      <c r="AD39" s="5">
        <f>AC39*Assumptions!$E$43</f>
        <v>34.70310428244732</v>
      </c>
      <c r="AE39" s="2">
        <f>AD39*Assumptions!$D$44*-1</f>
        <v>-5.2054656423670975</v>
      </c>
      <c r="AF39" s="2">
        <f>AC39*Assumptions!$E$46*-1</f>
        <v>-1.2914133125658969</v>
      </c>
      <c r="AG39" s="22">
        <f t="shared" si="15"/>
        <v>38743.004758273259</v>
      </c>
      <c r="AH39" s="5">
        <f>Model_30y[[#This Row],[Mortgage Payment]]+Model_30y[[#This Row],[Total Upkeep]]+Model_30y[[#This Row],[Monthly Investment]]</f>
        <v>-3082.9856361981638</v>
      </c>
      <c r="AI39" s="5">
        <f>Model_Renter!D39*-1</f>
        <v>3076.9323240277449</v>
      </c>
      <c r="AJ39" s="5">
        <f t="shared" si="16"/>
        <v>-6.0533121704188488</v>
      </c>
    </row>
    <row r="40" spans="1:36" x14ac:dyDescent="0.25">
      <c r="A40" s="17">
        <f t="shared" si="10"/>
        <v>38</v>
      </c>
      <c r="B40" s="17">
        <f t="shared" si="5"/>
        <v>4</v>
      </c>
      <c r="C40" s="23">
        <f>IFERROR(IPMT(Assumptions!$D$16/12,Model_30y!A40, 360,Assumptions!$D$8), 0)</f>
        <v>-1836.4167547497977</v>
      </c>
      <c r="D40" s="2">
        <f>IFERROR(PPMT(Assumptions!$D$16/12, Model_30y!A40, 360, Assumptions!$D$8), 0)</f>
        <v>-362.04087818314002</v>
      </c>
      <c r="E40" s="2">
        <f t="shared" si="0"/>
        <v>-2198.4576329329379</v>
      </c>
      <c r="F40" s="2">
        <f>IF(I39&gt;1, Assumptions!$E$18, 0)*-1</f>
        <v>-2198.4576329329379</v>
      </c>
      <c r="G40" s="24">
        <f t="shared" si="1"/>
        <v>1</v>
      </c>
      <c r="H40" s="20">
        <f t="shared" si="6"/>
        <v>12430.477530004962</v>
      </c>
      <c r="I40" s="2">
        <f>MAX(Assumptions!$D$8-SUM(Model_30y!H40), 0)</f>
        <v>327569.52246999502</v>
      </c>
      <c r="J40" s="2">
        <f>J39*(1+(Assumptions!$E$51))</f>
        <v>496007.65271210473</v>
      </c>
      <c r="K40" s="22">
        <f t="shared" si="7"/>
        <v>168438.13024210971</v>
      </c>
      <c r="L40" s="5">
        <f t="shared" si="8"/>
        <v>97430.477530004995</v>
      </c>
      <c r="M40" s="63">
        <f>L40/Assumptions!$D$6</f>
        <v>0.22924818242354117</v>
      </c>
      <c r="N40" s="24">
        <f t="shared" si="17"/>
        <v>0</v>
      </c>
      <c r="O40" s="5">
        <f>N40*Assumptions!$E$25*-1</f>
        <v>0</v>
      </c>
      <c r="P40" s="20">
        <f>Assumptions!$E$35*J40*-1</f>
        <v>-1021.6945531759554</v>
      </c>
      <c r="Q40" s="5">
        <f>J40*Assumptions!$E$36*-1</f>
        <v>-411.45725293206544</v>
      </c>
      <c r="R40" s="5">
        <f>(R28+(Model_30y!R28*Assumptions!$D$51))</f>
        <v>-376.13165625000005</v>
      </c>
      <c r="S40" s="5">
        <f>S28+(S28*Assumptions!$D$51)</f>
        <v>0</v>
      </c>
      <c r="T40" s="5">
        <f t="shared" si="12"/>
        <v>0</v>
      </c>
      <c r="U40" s="22">
        <f t="shared" si="2"/>
        <v>-1809.2834623580211</v>
      </c>
      <c r="V40" s="5">
        <f>MAX(Assumptions!$E$18:$E$19)-U40</f>
        <v>4650.9164741567183</v>
      </c>
      <c r="W40" s="5">
        <f t="shared" si="3"/>
        <v>-2198.4576329329379</v>
      </c>
      <c r="X40" s="5">
        <f t="shared" si="9"/>
        <v>-1809.2834623580211</v>
      </c>
      <c r="Y40" s="5">
        <f>C40*Assumptions!$D$44*-1</f>
        <v>275.46251321246967</v>
      </c>
      <c r="Z40" s="5">
        <f t="shared" si="4"/>
        <v>918.63789207822902</v>
      </c>
      <c r="AA40" s="5">
        <f t="shared" si="13"/>
        <v>38743.004758273259</v>
      </c>
      <c r="AB40" s="3">
        <f>Assumptions!$E$45</f>
        <v>6.9899151946608562E-3</v>
      </c>
      <c r="AC40" s="5">
        <f t="shared" si="14"/>
        <v>39932.452967998164</v>
      </c>
      <c r="AD40" s="5">
        <f>AC40*Assumptions!$E$43</f>
        <v>35.762526511334258</v>
      </c>
      <c r="AE40" s="2">
        <f>AD40*Assumptions!$D$44*-1</f>
        <v>-5.3643789767001389</v>
      </c>
      <c r="AF40" s="2">
        <f>AC40*Assumptions!$E$46*-1</f>
        <v>-1.3308377962915452</v>
      </c>
      <c r="AG40" s="22">
        <f t="shared" si="15"/>
        <v>39925.757751225174</v>
      </c>
      <c r="AH40" s="5">
        <f>Model_30y[[#This Row],[Mortgage Payment]]+Model_30y[[#This Row],[Total Upkeep]]+Model_30y[[#This Row],[Monthly Investment]]</f>
        <v>-3089.10320321273</v>
      </c>
      <c r="AI40" s="5">
        <f>Model_Renter!D40*-1</f>
        <v>3076.9323240277449</v>
      </c>
      <c r="AJ40" s="5">
        <f t="shared" si="16"/>
        <v>-12.170879184985097</v>
      </c>
    </row>
    <row r="41" spans="1:36" x14ac:dyDescent="0.25">
      <c r="A41" s="17">
        <f t="shared" si="10"/>
        <v>39</v>
      </c>
      <c r="B41" s="17">
        <f t="shared" si="5"/>
        <v>4</v>
      </c>
      <c r="C41" s="23">
        <f>IFERROR(IPMT(Assumptions!$D$16/12,Model_30y!A41, 360,Assumptions!$D$8), 0)</f>
        <v>-1834.3893258319724</v>
      </c>
      <c r="D41" s="2">
        <f>IFERROR(PPMT(Assumptions!$D$16/12, Model_30y!A41, 360, Assumptions!$D$8), 0)</f>
        <v>-364.06830710096563</v>
      </c>
      <c r="E41" s="2">
        <f t="shared" si="0"/>
        <v>-2198.4576329329379</v>
      </c>
      <c r="F41" s="2">
        <f>IF(I40&gt;1, Assumptions!$E$18, 0)*-1</f>
        <v>-2198.4576329329379</v>
      </c>
      <c r="G41" s="24">
        <f t="shared" si="1"/>
        <v>1</v>
      </c>
      <c r="H41" s="20">
        <f t="shared" si="6"/>
        <v>12794.545837105929</v>
      </c>
      <c r="I41" s="2">
        <f>MAX(Assumptions!$D$8-SUM(Model_30y!H41), 0)</f>
        <v>327205.45416289405</v>
      </c>
      <c r="J41" s="2">
        <f>J40*(1+(Assumptions!$E$51))</f>
        <v>498028.44928689068</v>
      </c>
      <c r="K41" s="22">
        <f t="shared" si="7"/>
        <v>170822.99512399663</v>
      </c>
      <c r="L41" s="5">
        <f t="shared" si="8"/>
        <v>97794.545837105965</v>
      </c>
      <c r="M41" s="63">
        <f>L41/Assumptions!$D$6</f>
        <v>0.23010481373436698</v>
      </c>
      <c r="N41" s="24">
        <f t="shared" si="17"/>
        <v>0</v>
      </c>
      <c r="O41" s="5">
        <f>N41*Assumptions!$E$25*-1</f>
        <v>0</v>
      </c>
      <c r="P41" s="20">
        <f>Assumptions!$E$35*J41*-1</f>
        <v>-1025.8570632546734</v>
      </c>
      <c r="Q41" s="5">
        <f>J41*Assumptions!$E$36*-1</f>
        <v>-413.13358071219056</v>
      </c>
      <c r="R41" s="5">
        <f>(R29+(Model_30y!R29*Assumptions!$D$51))</f>
        <v>-376.13165625000005</v>
      </c>
      <c r="S41" s="5">
        <f>S29+(S29*Assumptions!$D$51)</f>
        <v>0</v>
      </c>
      <c r="T41" s="5">
        <f t="shared" si="12"/>
        <v>0</v>
      </c>
      <c r="U41" s="22">
        <f t="shared" si="2"/>
        <v>-1815.122300216864</v>
      </c>
      <c r="V41" s="5">
        <f>MAX(Assumptions!$E$18:$E$19)-U41</f>
        <v>4656.7553120155608</v>
      </c>
      <c r="W41" s="5">
        <f t="shared" si="3"/>
        <v>-2198.4576329329379</v>
      </c>
      <c r="X41" s="5">
        <f t="shared" si="9"/>
        <v>-1815.122300216864</v>
      </c>
      <c r="Y41" s="5">
        <f>C41*Assumptions!$D$44*-1</f>
        <v>275.15839887479586</v>
      </c>
      <c r="Z41" s="5">
        <f t="shared" si="4"/>
        <v>918.33377774055475</v>
      </c>
      <c r="AA41" s="5">
        <f t="shared" si="13"/>
        <v>39925.757751225174</v>
      </c>
      <c r="AB41" s="3">
        <f>Assumptions!$E$45</f>
        <v>6.9899151946608562E-3</v>
      </c>
      <c r="AC41" s="5">
        <f t="shared" si="14"/>
        <v>41123.169189729364</v>
      </c>
      <c r="AD41" s="5">
        <f>AC41*Assumptions!$E$43</f>
        <v>36.828902786322018</v>
      </c>
      <c r="AE41" s="2">
        <f>AD41*Assumptions!$D$44*-1</f>
        <v>-5.5243354179483024</v>
      </c>
      <c r="AF41" s="2">
        <f>AC41*Assumptions!$E$46*-1</f>
        <v>-1.3705210622759134</v>
      </c>
      <c r="AG41" s="22">
        <f t="shared" si="15"/>
        <v>41116.274333249137</v>
      </c>
      <c r="AH41" s="5">
        <f>Model_30y[[#This Row],[Mortgage Payment]]+Model_30y[[#This Row],[Total Upkeep]]+Model_30y[[#This Row],[Monthly Investment]]</f>
        <v>-3095.246155409247</v>
      </c>
      <c r="AI41" s="5">
        <f>Model_Renter!D41*-1</f>
        <v>3076.9323240277449</v>
      </c>
      <c r="AJ41" s="5">
        <f t="shared" si="16"/>
        <v>-18.313831381502041</v>
      </c>
    </row>
    <row r="42" spans="1:36" x14ac:dyDescent="0.25">
      <c r="A42" s="17">
        <f t="shared" si="10"/>
        <v>40</v>
      </c>
      <c r="B42" s="17">
        <f t="shared" si="5"/>
        <v>4</v>
      </c>
      <c r="C42" s="23">
        <f>IFERROR(IPMT(Assumptions!$D$16/12,Model_30y!A42, 360,Assumptions!$D$8), 0)</f>
        <v>-1832.350543312207</v>
      </c>
      <c r="D42" s="2">
        <f>IFERROR(PPMT(Assumptions!$D$16/12, Model_30y!A42, 360, Assumptions!$D$8), 0)</f>
        <v>-366.10708962073107</v>
      </c>
      <c r="E42" s="2">
        <f t="shared" si="0"/>
        <v>-2198.4576329329379</v>
      </c>
      <c r="F42" s="2">
        <f>IF(I41&gt;1, Assumptions!$E$18, 0)*-1</f>
        <v>-2198.4576329329379</v>
      </c>
      <c r="G42" s="24">
        <f t="shared" si="1"/>
        <v>1</v>
      </c>
      <c r="H42" s="20">
        <f t="shared" si="6"/>
        <v>13160.65292672666</v>
      </c>
      <c r="I42" s="2">
        <f>MAX(Assumptions!$D$8-SUM(Model_30y!H42), 0)</f>
        <v>326839.34707327333</v>
      </c>
      <c r="J42" s="2">
        <f>J41*(1+(Assumptions!$E$51))</f>
        <v>500057.47883706389</v>
      </c>
      <c r="K42" s="22">
        <f t="shared" si="7"/>
        <v>173218.13176379056</v>
      </c>
      <c r="L42" s="5">
        <f t="shared" si="8"/>
        <v>98160.652926726689</v>
      </c>
      <c r="M42" s="63">
        <f>L42/Assumptions!$D$6</f>
        <v>0.23096624218053338</v>
      </c>
      <c r="N42" s="24">
        <f t="shared" si="17"/>
        <v>0</v>
      </c>
      <c r="O42" s="5">
        <f>N42*Assumptions!$E$25*-1</f>
        <v>0</v>
      </c>
      <c r="P42" s="20">
        <f>Assumptions!$E$35*J42*-1</f>
        <v>-1030.0365319147029</v>
      </c>
      <c r="Q42" s="5">
        <f>J42*Assumptions!$E$36*-1</f>
        <v>-414.81673805919388</v>
      </c>
      <c r="R42" s="5">
        <f>(R30+(Model_30y!R30*Assumptions!$D$51))</f>
        <v>-376.13165625000005</v>
      </c>
      <c r="S42" s="5">
        <f>S30+(S30*Assumptions!$D$51)</f>
        <v>0</v>
      </c>
      <c r="T42" s="5">
        <f t="shared" si="12"/>
        <v>0</v>
      </c>
      <c r="U42" s="22">
        <f t="shared" si="2"/>
        <v>-1820.9849262238968</v>
      </c>
      <c r="V42" s="5">
        <f>MAX(Assumptions!$E$18:$E$19)-U42</f>
        <v>4662.6179380225931</v>
      </c>
      <c r="W42" s="5">
        <f t="shared" si="3"/>
        <v>-2198.4576329329379</v>
      </c>
      <c r="X42" s="5">
        <f t="shared" si="9"/>
        <v>-1820.9849262238968</v>
      </c>
      <c r="Y42" s="5">
        <f>C42*Assumptions!$D$44*-1</f>
        <v>274.85258149683102</v>
      </c>
      <c r="Z42" s="5">
        <f t="shared" si="4"/>
        <v>918.0279603625894</v>
      </c>
      <c r="AA42" s="5">
        <f t="shared" si="13"/>
        <v>41116.274333249137</v>
      </c>
      <c r="AB42" s="3">
        <f>Assumptions!$E$45</f>
        <v>6.9899151946608562E-3</v>
      </c>
      <c r="AC42" s="5">
        <f t="shared" si="14"/>
        <v>42321.701564321549</v>
      </c>
      <c r="AD42" s="5">
        <f>AC42*Assumptions!$E$43</f>
        <v>37.902279016312079</v>
      </c>
      <c r="AE42" s="2">
        <f>AD42*Assumptions!$D$44*-1</f>
        <v>-5.685341852446812</v>
      </c>
      <c r="AF42" s="2">
        <f>AC42*Assumptions!$E$46*-1</f>
        <v>-1.4104648189358062</v>
      </c>
      <c r="AG42" s="22">
        <f t="shared" si="15"/>
        <v>42314.60575765017</v>
      </c>
      <c r="AH42" s="5">
        <f>Model_30y[[#This Row],[Mortgage Payment]]+Model_30y[[#This Row],[Total Upkeep]]+Model_30y[[#This Row],[Monthly Investment]]</f>
        <v>-3101.4145987942452</v>
      </c>
      <c r="AI42" s="5">
        <f>Model_Renter!D42*-1</f>
        <v>3076.9323240277449</v>
      </c>
      <c r="AJ42" s="5">
        <f t="shared" si="16"/>
        <v>-24.482274766500268</v>
      </c>
    </row>
    <row r="43" spans="1:36" x14ac:dyDescent="0.25">
      <c r="A43" s="17">
        <f t="shared" si="10"/>
        <v>41</v>
      </c>
      <c r="B43" s="17">
        <f t="shared" si="5"/>
        <v>4</v>
      </c>
      <c r="C43" s="23">
        <f>IFERROR(IPMT(Assumptions!$D$16/12,Model_30y!A43, 360,Assumptions!$D$8), 0)</f>
        <v>-1830.3003436103309</v>
      </c>
      <c r="D43" s="2">
        <f>IFERROR(PPMT(Assumptions!$D$16/12, Model_30y!A43, 360, Assumptions!$D$8), 0)</f>
        <v>-368.15728932260726</v>
      </c>
      <c r="E43" s="2">
        <f t="shared" si="0"/>
        <v>-2198.4576329329379</v>
      </c>
      <c r="F43" s="2">
        <f>IF(I42&gt;1, Assumptions!$E$18, 0)*-1</f>
        <v>-2198.4576329329379</v>
      </c>
      <c r="G43" s="24">
        <f t="shared" si="1"/>
        <v>1</v>
      </c>
      <c r="H43" s="20">
        <f t="shared" si="6"/>
        <v>13528.810216049267</v>
      </c>
      <c r="I43" s="2">
        <f>MAX(Assumptions!$D$8-SUM(Model_30y!H43), 0)</f>
        <v>326471.18978395074</v>
      </c>
      <c r="J43" s="2">
        <f>J42*(1+(Assumptions!$E$51))</f>
        <v>502094.77490478521</v>
      </c>
      <c r="K43" s="22">
        <f t="shared" si="7"/>
        <v>175623.58512083447</v>
      </c>
      <c r="L43" s="5">
        <f t="shared" si="8"/>
        <v>98528.8102160493</v>
      </c>
      <c r="M43" s="63">
        <f>L43/Assumptions!$D$6</f>
        <v>0.23183249462599836</v>
      </c>
      <c r="N43" s="24">
        <f t="shared" si="17"/>
        <v>0</v>
      </c>
      <c r="O43" s="5">
        <f>N43*Assumptions!$E$25*-1</f>
        <v>0</v>
      </c>
      <c r="P43" s="20">
        <f>Assumptions!$E$35*J43*-1</f>
        <v>-1034.2330282474034</v>
      </c>
      <c r="Q43" s="5">
        <f>J43*Assumptions!$E$36*-1</f>
        <v>-416.50675279757627</v>
      </c>
      <c r="R43" s="5">
        <f>(R31+(Model_30y!R31*Assumptions!$D$51))</f>
        <v>-376.13165625000005</v>
      </c>
      <c r="S43" s="5">
        <f>S31+(S31*Assumptions!$D$51)</f>
        <v>0</v>
      </c>
      <c r="T43" s="5">
        <f t="shared" si="12"/>
        <v>0</v>
      </c>
      <c r="U43" s="22">
        <f t="shared" si="2"/>
        <v>-1826.8714372949798</v>
      </c>
      <c r="V43" s="5">
        <f>MAX(Assumptions!$E$18:$E$19)-U43</f>
        <v>4668.5044490936762</v>
      </c>
      <c r="W43" s="5">
        <f t="shared" si="3"/>
        <v>-2198.4576329329379</v>
      </c>
      <c r="X43" s="5">
        <f t="shared" si="9"/>
        <v>-1826.8714372949798</v>
      </c>
      <c r="Y43" s="5">
        <f>C43*Assumptions!$D$44*-1</f>
        <v>274.54505154154964</v>
      </c>
      <c r="Z43" s="5">
        <f t="shared" si="4"/>
        <v>917.72043040730796</v>
      </c>
      <c r="AA43" s="5">
        <f t="shared" si="13"/>
        <v>42314.60575765017</v>
      </c>
      <c r="AB43" s="3">
        <f>Assumptions!$E$45</f>
        <v>6.9899151946608562E-3</v>
      </c>
      <c r="AC43" s="5">
        <f t="shared" si="14"/>
        <v>43528.101693798963</v>
      </c>
      <c r="AD43" s="5">
        <f>AC43*Assumptions!$E$43</f>
        <v>38.982701414813086</v>
      </c>
      <c r="AE43" s="2">
        <f>AD43*Assumptions!$D$44*-1</f>
        <v>-5.8474052122219629</v>
      </c>
      <c r="AF43" s="2">
        <f>AC43*Assumptions!$E$46*-1</f>
        <v>-1.4506707860234336</v>
      </c>
      <c r="AG43" s="22">
        <f t="shared" si="15"/>
        <v>43520.803617800717</v>
      </c>
      <c r="AH43" s="5">
        <f>Model_30y[[#This Row],[Mortgage Payment]]+Model_30y[[#This Row],[Total Upkeep]]+Model_30y[[#This Row],[Monthly Investment]]</f>
        <v>-3107.6086398206098</v>
      </c>
      <c r="AI43" s="5">
        <f>Model_Renter!D43*-1</f>
        <v>3076.9323240277449</v>
      </c>
      <c r="AJ43" s="5">
        <f t="shared" si="16"/>
        <v>-30.676315792864898</v>
      </c>
    </row>
    <row r="44" spans="1:36" x14ac:dyDescent="0.25">
      <c r="A44" s="17">
        <f t="shared" si="10"/>
        <v>42</v>
      </c>
      <c r="B44" s="17">
        <f t="shared" si="5"/>
        <v>4</v>
      </c>
      <c r="C44" s="23">
        <f>IFERROR(IPMT(Assumptions!$D$16/12,Model_30y!A44, 360,Assumptions!$D$8), 0)</f>
        <v>-1828.2386627901242</v>
      </c>
      <c r="D44" s="2">
        <f>IFERROR(PPMT(Assumptions!$D$16/12, Model_30y!A44, 360, Assumptions!$D$8), 0)</f>
        <v>-370.2189701428137</v>
      </c>
      <c r="E44" s="2">
        <f t="shared" si="0"/>
        <v>-2198.4576329329379</v>
      </c>
      <c r="F44" s="2">
        <f>IF(I43&gt;1, Assumptions!$E$18, 0)*-1</f>
        <v>-2198.4576329329379</v>
      </c>
      <c r="G44" s="24">
        <f t="shared" si="1"/>
        <v>1</v>
      </c>
      <c r="H44" s="20">
        <f t="shared" si="6"/>
        <v>13899.029186192081</v>
      </c>
      <c r="I44" s="2">
        <f>MAX(Assumptions!$D$8-SUM(Model_30y!H44), 0)</f>
        <v>326100.97081380791</v>
      </c>
      <c r="J44" s="2">
        <f>J43*(1+(Assumptions!$E$51))</f>
        <v>504140.37116887036</v>
      </c>
      <c r="K44" s="22">
        <f t="shared" si="7"/>
        <v>178039.40035506245</v>
      </c>
      <c r="L44" s="5">
        <f t="shared" si="8"/>
        <v>98899.029186192114</v>
      </c>
      <c r="M44" s="63">
        <f>L44/Assumptions!$D$6</f>
        <v>0.23270359808515792</v>
      </c>
      <c r="N44" s="24">
        <f t="shared" si="17"/>
        <v>0</v>
      </c>
      <c r="O44" s="5">
        <f>N44*Assumptions!$E$25*-1</f>
        <v>0</v>
      </c>
      <c r="P44" s="20">
        <f>Assumptions!$E$35*J44*-1</f>
        <v>-1038.4466216256208</v>
      </c>
      <c r="Q44" s="5">
        <f>J44*Assumptions!$E$36*-1</f>
        <v>-418.20365286519905</v>
      </c>
      <c r="R44" s="5">
        <f>(R32+(Model_30y!R32*Assumptions!$D$51))</f>
        <v>-376.13165625000005</v>
      </c>
      <c r="S44" s="5">
        <f>S32+(S32*Assumptions!$D$51)</f>
        <v>0</v>
      </c>
      <c r="T44" s="5">
        <f t="shared" si="12"/>
        <v>0</v>
      </c>
      <c r="U44" s="22">
        <f t="shared" si="2"/>
        <v>-1832.7819307408199</v>
      </c>
      <c r="V44" s="5">
        <f>MAX(Assumptions!$E$18:$E$19)-U44</f>
        <v>4674.4149425395171</v>
      </c>
      <c r="W44" s="5">
        <f t="shared" si="3"/>
        <v>-2198.4576329329379</v>
      </c>
      <c r="X44" s="5">
        <f t="shared" si="9"/>
        <v>-1832.7819307408199</v>
      </c>
      <c r="Y44" s="5">
        <f>C44*Assumptions!$D$44*-1</f>
        <v>274.23579941851864</v>
      </c>
      <c r="Z44" s="5">
        <f t="shared" si="4"/>
        <v>917.41117828427787</v>
      </c>
      <c r="AA44" s="5">
        <f t="shared" si="13"/>
        <v>43520.803617800717</v>
      </c>
      <c r="AB44" s="3">
        <f>Assumptions!$E$45</f>
        <v>6.9899151946608562E-3</v>
      </c>
      <c r="AC44" s="5">
        <f t="shared" si="14"/>
        <v>44742.421522576915</v>
      </c>
      <c r="AD44" s="5">
        <f>AC44*Assumptions!$E$43</f>
        <v>40.070216501970712</v>
      </c>
      <c r="AE44" s="2">
        <f>AD44*Assumptions!$D$44*-1</f>
        <v>-6.0105324752956069</v>
      </c>
      <c r="AF44" s="2">
        <f>AC44*Assumptions!$E$46*-1</f>
        <v>-1.4911406947019483</v>
      </c>
      <c r="AG44" s="22">
        <f t="shared" si="15"/>
        <v>44734.919849406921</v>
      </c>
      <c r="AH44" s="5">
        <f>Model_30y[[#This Row],[Mortgage Payment]]+Model_30y[[#This Row],[Total Upkeep]]+Model_30y[[#This Row],[Monthly Investment]]</f>
        <v>-3113.82838538948</v>
      </c>
      <c r="AI44" s="5">
        <f>Model_Renter!D44*-1</f>
        <v>3076.9323240277449</v>
      </c>
      <c r="AJ44" s="5">
        <f t="shared" si="16"/>
        <v>-36.896061361735065</v>
      </c>
    </row>
    <row r="45" spans="1:36" x14ac:dyDescent="0.25">
      <c r="A45" s="17">
        <f t="shared" si="10"/>
        <v>43</v>
      </c>
      <c r="B45" s="17">
        <f t="shared" si="5"/>
        <v>4</v>
      </c>
      <c r="C45" s="23">
        <f>IFERROR(IPMT(Assumptions!$D$16/12,Model_30y!A45, 360,Assumptions!$D$8), 0)</f>
        <v>-1826.1654365573247</v>
      </c>
      <c r="D45" s="2">
        <f>IFERROR(PPMT(Assumptions!$D$16/12, Model_30y!A45, 360, Assumptions!$D$8), 0)</f>
        <v>-372.29219637561346</v>
      </c>
      <c r="E45" s="2">
        <f t="shared" si="0"/>
        <v>-2198.4576329329384</v>
      </c>
      <c r="F45" s="2">
        <f>IF(I44&gt;1, Assumptions!$E$18, 0)*-1</f>
        <v>-2198.4576329329379</v>
      </c>
      <c r="G45" s="24">
        <f t="shared" si="1"/>
        <v>1</v>
      </c>
      <c r="H45" s="20">
        <f t="shared" si="6"/>
        <v>14271.321382567694</v>
      </c>
      <c r="I45" s="2">
        <f>MAX(Assumptions!$D$8-SUM(Model_30y!H45), 0)</f>
        <v>325728.67861743231</v>
      </c>
      <c r="J45" s="2">
        <f>J44*(1+(Assumptions!$E$51))</f>
        <v>506194.30144534679</v>
      </c>
      <c r="K45" s="22">
        <f t="shared" si="7"/>
        <v>180465.62282791449</v>
      </c>
      <c r="L45" s="5">
        <f t="shared" si="8"/>
        <v>99271.321382567723</v>
      </c>
      <c r="M45" s="63">
        <f>L45/Assumptions!$D$6</f>
        <v>0.23357957972368876</v>
      </c>
      <c r="N45" s="24">
        <f t="shared" si="17"/>
        <v>0</v>
      </c>
      <c r="O45" s="5">
        <f>N45*Assumptions!$E$25*-1</f>
        <v>0</v>
      </c>
      <c r="P45" s="20">
        <f>Assumptions!$E$35*J45*-1</f>
        <v>-1042.6773817048349</v>
      </c>
      <c r="Q45" s="5">
        <f>J45*Assumptions!$E$36*-1</f>
        <v>-419.90746631374577</v>
      </c>
      <c r="R45" s="5">
        <f>(R33+(Model_30y!R33*Assumptions!$D$51))</f>
        <v>-376.13165625000005</v>
      </c>
      <c r="S45" s="5">
        <f>S33+(S33*Assumptions!$D$51)</f>
        <v>0</v>
      </c>
      <c r="T45" s="5">
        <f t="shared" si="12"/>
        <v>0</v>
      </c>
      <c r="U45" s="22">
        <f t="shared" si="2"/>
        <v>-1838.7165042685808</v>
      </c>
      <c r="V45" s="5">
        <f>MAX(Assumptions!$E$18:$E$19)-U45</f>
        <v>4680.3495160672774</v>
      </c>
      <c r="W45" s="5">
        <f t="shared" si="3"/>
        <v>-2198.4576329329379</v>
      </c>
      <c r="X45" s="5">
        <f t="shared" si="9"/>
        <v>-1838.7165042685808</v>
      </c>
      <c r="Y45" s="5">
        <f>C45*Assumptions!$D$44*-1</f>
        <v>273.92481548359871</v>
      </c>
      <c r="Z45" s="5">
        <f t="shared" si="4"/>
        <v>917.10019434935725</v>
      </c>
      <c r="AA45" s="5">
        <f t="shared" si="13"/>
        <v>44734.919849406921</v>
      </c>
      <c r="AB45" s="3">
        <f>Assumptions!$E$45</f>
        <v>6.9899151946608562E-3</v>
      </c>
      <c r="AC45" s="5">
        <f t="shared" si="14"/>
        <v>45964.713339743583</v>
      </c>
      <c r="AD45" s="5">
        <f>AC45*Assumptions!$E$43</f>
        <v>41.164871106611223</v>
      </c>
      <c r="AE45" s="2">
        <f>AD45*Assumptions!$D$44*-1</f>
        <v>-6.1747306659916834</v>
      </c>
      <c r="AF45" s="2">
        <f>AC45*Assumptions!$E$46*-1</f>
        <v>-1.531876287621494</v>
      </c>
      <c r="AG45" s="22">
        <f t="shared" si="15"/>
        <v>45957.006732789967</v>
      </c>
      <c r="AH45" s="5">
        <f>Model_30y[[#This Row],[Mortgage Payment]]+Model_30y[[#This Row],[Total Upkeep]]+Model_30y[[#This Row],[Monthly Investment]]</f>
        <v>-3120.0739428521611</v>
      </c>
      <c r="AI45" s="5">
        <f>Model_Renter!D45*-1</f>
        <v>3076.9323240277449</v>
      </c>
      <c r="AJ45" s="5">
        <f t="shared" si="16"/>
        <v>-43.141618824416128</v>
      </c>
    </row>
    <row r="46" spans="1:36" x14ac:dyDescent="0.25">
      <c r="A46" s="17">
        <f t="shared" si="10"/>
        <v>44</v>
      </c>
      <c r="B46" s="17">
        <f t="shared" si="5"/>
        <v>4</v>
      </c>
      <c r="C46" s="23">
        <f>IFERROR(IPMT(Assumptions!$D$16/12,Model_30y!A46, 360,Assumptions!$D$8), 0)</f>
        <v>-1824.080600257621</v>
      </c>
      <c r="D46" s="2">
        <f>IFERROR(PPMT(Assumptions!$D$16/12, Model_30y!A46, 360, Assumptions!$D$8), 0)</f>
        <v>-374.37703267531691</v>
      </c>
      <c r="E46" s="2">
        <f t="shared" si="0"/>
        <v>-2198.4576329329379</v>
      </c>
      <c r="F46" s="2">
        <f>IF(I45&gt;1, Assumptions!$E$18, 0)*-1</f>
        <v>-2198.4576329329379</v>
      </c>
      <c r="G46" s="24">
        <f t="shared" si="1"/>
        <v>1</v>
      </c>
      <c r="H46" s="20">
        <f t="shared" si="6"/>
        <v>14645.69841524301</v>
      </c>
      <c r="I46" s="2">
        <f>MAX(Assumptions!$D$8-SUM(Model_30y!H46), 0)</f>
        <v>325354.30158475699</v>
      </c>
      <c r="J46" s="2">
        <f>J45*(1+(Assumptions!$E$51))</f>
        <v>508256.59968801256</v>
      </c>
      <c r="K46" s="22">
        <f t="shared" si="7"/>
        <v>182902.29810325557</v>
      </c>
      <c r="L46" s="5">
        <f t="shared" si="8"/>
        <v>99645.698415243038</v>
      </c>
      <c r="M46" s="63">
        <f>L46/Assumptions!$D$6</f>
        <v>0.23446046685939539</v>
      </c>
      <c r="N46" s="24">
        <f t="shared" si="17"/>
        <v>0</v>
      </c>
      <c r="O46" s="5">
        <f>N46*Assumptions!$E$25*-1</f>
        <v>0</v>
      </c>
      <c r="P46" s="20">
        <f>Assumptions!$E$35*J46*-1</f>
        <v>-1046.925378424311</v>
      </c>
      <c r="Q46" s="5">
        <f>J46*Assumptions!$E$36*-1</f>
        <v>-421.61822130918614</v>
      </c>
      <c r="R46" s="5">
        <f>(R34+(Model_30y!R34*Assumptions!$D$51))</f>
        <v>-376.13165625000005</v>
      </c>
      <c r="S46" s="5">
        <f>S34+(S34*Assumptions!$D$51)</f>
        <v>0</v>
      </c>
      <c r="T46" s="5">
        <f t="shared" si="12"/>
        <v>0</v>
      </c>
      <c r="U46" s="22">
        <f t="shared" si="2"/>
        <v>-1844.6752559834972</v>
      </c>
      <c r="V46" s="5">
        <f>MAX(Assumptions!$E$18:$E$19)-U46</f>
        <v>4686.308267782194</v>
      </c>
      <c r="W46" s="5">
        <f t="shared" si="3"/>
        <v>-2198.4576329329379</v>
      </c>
      <c r="X46" s="5">
        <f t="shared" si="9"/>
        <v>-1844.6752559834972</v>
      </c>
      <c r="Y46" s="5">
        <f>C46*Assumptions!$D$44*-1</f>
        <v>273.61209003864315</v>
      </c>
      <c r="Z46" s="5">
        <f t="shared" si="4"/>
        <v>916.78746890440198</v>
      </c>
      <c r="AA46" s="5">
        <f t="shared" si="13"/>
        <v>45957.006732789967</v>
      </c>
      <c r="AB46" s="3">
        <f>Assumptions!$E$45</f>
        <v>6.9899151946608562E-3</v>
      </c>
      <c r="AC46" s="5">
        <f t="shared" si="14"/>
        <v>47195.029781357029</v>
      </c>
      <c r="AD46" s="5">
        <f>AC46*Assumptions!$E$43</f>
        <v>42.266712368298613</v>
      </c>
      <c r="AE46" s="2">
        <f>AD46*Assumptions!$D$44*-1</f>
        <v>-6.3400068552447921</v>
      </c>
      <c r="AF46" s="2">
        <f>AC46*Assumptions!$E$46*-1</f>
        <v>-1.5728793189957566</v>
      </c>
      <c r="AG46" s="22">
        <f t="shared" si="15"/>
        <v>47187.116895182786</v>
      </c>
      <c r="AH46" s="5">
        <f>Model_30y[[#This Row],[Mortgage Payment]]+Model_30y[[#This Row],[Total Upkeep]]+Model_30y[[#This Row],[Monthly Investment]]</f>
        <v>-3126.3454200120332</v>
      </c>
      <c r="AI46" s="5">
        <f>Model_Renter!D46*-1</f>
        <v>3076.9323240277449</v>
      </c>
      <c r="AJ46" s="5">
        <f t="shared" si="16"/>
        <v>-49.413095984288248</v>
      </c>
    </row>
    <row r="47" spans="1:36" x14ac:dyDescent="0.25">
      <c r="A47" s="17">
        <f t="shared" si="10"/>
        <v>45</v>
      </c>
      <c r="B47" s="17">
        <f t="shared" si="5"/>
        <v>4</v>
      </c>
      <c r="C47" s="23">
        <f>IFERROR(IPMT(Assumptions!$D$16/12,Model_30y!A47, 360,Assumptions!$D$8), 0)</f>
        <v>-1821.9840888746392</v>
      </c>
      <c r="D47" s="2">
        <f>IFERROR(PPMT(Assumptions!$D$16/12, Model_30y!A47, 360, Assumptions!$D$8), 0)</f>
        <v>-376.47354405829861</v>
      </c>
      <c r="E47" s="2">
        <f t="shared" si="0"/>
        <v>-2198.4576329329379</v>
      </c>
      <c r="F47" s="2">
        <f>IF(I46&gt;1, Assumptions!$E$18, 0)*-1</f>
        <v>-2198.4576329329379</v>
      </c>
      <c r="G47" s="24">
        <f t="shared" si="1"/>
        <v>1</v>
      </c>
      <c r="H47" s="20">
        <f t="shared" si="6"/>
        <v>15022.171959301309</v>
      </c>
      <c r="I47" s="2">
        <f>MAX(Assumptions!$D$8-SUM(Model_30y!H47), 0)</f>
        <v>324977.82804069872</v>
      </c>
      <c r="J47" s="2">
        <f>J46*(1+(Assumptions!$E$51))</f>
        <v>510327.29998899775</v>
      </c>
      <c r="K47" s="22">
        <f t="shared" si="7"/>
        <v>185349.47194829903</v>
      </c>
      <c r="L47" s="5">
        <f t="shared" si="8"/>
        <v>100022.17195930134</v>
      </c>
      <c r="M47" s="63">
        <f>L47/Assumptions!$D$6</f>
        <v>0.23534628696306198</v>
      </c>
      <c r="N47" s="24">
        <f t="shared" si="17"/>
        <v>0</v>
      </c>
      <c r="O47" s="5">
        <f>N47*Assumptions!$E$25*-1</f>
        <v>0</v>
      </c>
      <c r="P47" s="20">
        <f>Assumptions!$E$35*J47*-1</f>
        <v>-1051.1906820082545</v>
      </c>
      <c r="Q47" s="5">
        <f>J47*Assumptions!$E$36*-1</f>
        <v>-423.33594613224142</v>
      </c>
      <c r="R47" s="5">
        <f>(R35+(Model_30y!R35*Assumptions!$D$51))</f>
        <v>-376.13165625000005</v>
      </c>
      <c r="S47" s="5">
        <f>S35+(S35*Assumptions!$D$51)</f>
        <v>0</v>
      </c>
      <c r="T47" s="5">
        <f t="shared" si="12"/>
        <v>0</v>
      </c>
      <c r="U47" s="22">
        <f t="shared" si="2"/>
        <v>-1850.658284390496</v>
      </c>
      <c r="V47" s="5">
        <f>MAX(Assumptions!$E$18:$E$19)-U47</f>
        <v>4692.2912961891925</v>
      </c>
      <c r="W47" s="5">
        <f t="shared" si="3"/>
        <v>-2198.4576329329379</v>
      </c>
      <c r="X47" s="5">
        <f t="shared" si="9"/>
        <v>-1850.658284390496</v>
      </c>
      <c r="Y47" s="5">
        <f>C47*Assumptions!$D$44*-1</f>
        <v>273.29761333119586</v>
      </c>
      <c r="Z47" s="5">
        <f t="shared" si="4"/>
        <v>916.47299219695446</v>
      </c>
      <c r="AA47" s="5">
        <f t="shared" si="13"/>
        <v>47187.116895182786</v>
      </c>
      <c r="AB47" s="3">
        <f>Assumptions!$E$45</f>
        <v>6.9899151946608562E-3</v>
      </c>
      <c r="AC47" s="5">
        <f t="shared" si="14"/>
        <v>48433.423832757617</v>
      </c>
      <c r="AD47" s="5">
        <f>AC47*Assumptions!$E$43</f>
        <v>43.375787739405531</v>
      </c>
      <c r="AE47" s="2">
        <f>AD47*Assumptions!$D$44*-1</f>
        <v>-6.5063681609108297</v>
      </c>
      <c r="AF47" s="2">
        <f>AC47*Assumptions!$E$46*-1</f>
        <v>-1.6141515546790317</v>
      </c>
      <c r="AG47" s="22">
        <f t="shared" si="15"/>
        <v>48425.30331304203</v>
      </c>
      <c r="AH47" s="5">
        <f>Model_30y[[#This Row],[Mortgage Payment]]+Model_30y[[#This Row],[Total Upkeep]]+Model_30y[[#This Row],[Monthly Investment]]</f>
        <v>-3132.642925126479</v>
      </c>
      <c r="AI47" s="5">
        <f>Model_Renter!D47*-1</f>
        <v>3076.9323240277449</v>
      </c>
      <c r="AJ47" s="5">
        <f t="shared" si="16"/>
        <v>-55.71060109873406</v>
      </c>
    </row>
    <row r="48" spans="1:36" x14ac:dyDescent="0.25">
      <c r="A48" s="17">
        <f t="shared" si="10"/>
        <v>46</v>
      </c>
      <c r="B48" s="17">
        <f t="shared" si="5"/>
        <v>4</v>
      </c>
      <c r="C48" s="23">
        <f>IFERROR(IPMT(Assumptions!$D$16/12,Model_30y!A48, 360,Assumptions!$D$8), 0)</f>
        <v>-1819.8758370279129</v>
      </c>
      <c r="D48" s="2">
        <f>IFERROR(PPMT(Assumptions!$D$16/12, Model_30y!A48, 360, Assumptions!$D$8), 0)</f>
        <v>-378.58179590502522</v>
      </c>
      <c r="E48" s="2">
        <f t="shared" si="0"/>
        <v>-2198.4576329329379</v>
      </c>
      <c r="F48" s="2">
        <f>IF(I47&gt;1, Assumptions!$E$18, 0)*-1</f>
        <v>-2198.4576329329379</v>
      </c>
      <c r="G48" s="24">
        <f t="shared" si="1"/>
        <v>1</v>
      </c>
      <c r="H48" s="20">
        <f t="shared" si="6"/>
        <v>15400.753755206335</v>
      </c>
      <c r="I48" s="2">
        <f>MAX(Assumptions!$D$8-SUM(Model_30y!H48), 0)</f>
        <v>324599.24624479364</v>
      </c>
      <c r="J48" s="2">
        <f>J47*(1+(Assumptions!$E$51))</f>
        <v>512406.43657932797</v>
      </c>
      <c r="K48" s="22">
        <f t="shared" si="7"/>
        <v>187807.19033453433</v>
      </c>
      <c r="L48" s="5">
        <f t="shared" si="8"/>
        <v>100400.75375520636</v>
      </c>
      <c r="M48" s="63">
        <f>L48/Assumptions!$D$6</f>
        <v>0.23623706765930907</v>
      </c>
      <c r="N48" s="24">
        <f t="shared" si="17"/>
        <v>0</v>
      </c>
      <c r="O48" s="5">
        <f>N48*Assumptions!$E$25*-1</f>
        <v>0</v>
      </c>
      <c r="P48" s="20">
        <f>Assumptions!$E$35*J48*-1</f>
        <v>-1055.4733629669738</v>
      </c>
      <c r="Q48" s="5">
        <f>J48*Assumptions!$E$36*-1</f>
        <v>-425.06066917885209</v>
      </c>
      <c r="R48" s="5">
        <f>(R36+(Model_30y!R36*Assumptions!$D$51))</f>
        <v>-376.13165625000005</v>
      </c>
      <c r="S48" s="5">
        <f>S36+(S36*Assumptions!$D$51)</f>
        <v>0</v>
      </c>
      <c r="T48" s="5">
        <f t="shared" si="12"/>
        <v>0</v>
      </c>
      <c r="U48" s="22">
        <f t="shared" si="2"/>
        <v>-1856.665688395826</v>
      </c>
      <c r="V48" s="5">
        <f>MAX(Assumptions!$E$18:$E$19)-U48</f>
        <v>4698.298700194523</v>
      </c>
      <c r="W48" s="5">
        <f t="shared" si="3"/>
        <v>-2198.4576329329379</v>
      </c>
      <c r="X48" s="5">
        <f t="shared" si="9"/>
        <v>-1856.665688395826</v>
      </c>
      <c r="Y48" s="5">
        <f>C48*Assumptions!$D$44*-1</f>
        <v>272.98137555418691</v>
      </c>
      <c r="Z48" s="5">
        <f t="shared" si="4"/>
        <v>916.15675441994597</v>
      </c>
      <c r="AA48" s="5">
        <f t="shared" si="13"/>
        <v>48425.30331304203</v>
      </c>
      <c r="AB48" s="3">
        <f>Assumptions!$E$45</f>
        <v>6.9899151946608562E-3</v>
      </c>
      <c r="AC48" s="5">
        <f t="shared" si="14"/>
        <v>49679.948830895868</v>
      </c>
      <c r="AD48" s="5">
        <f>AC48*Assumptions!$E$43</f>
        <v>44.492144987198088</v>
      </c>
      <c r="AE48" s="2">
        <f>AD48*Assumptions!$D$44*-1</f>
        <v>-6.6738217480797131</v>
      </c>
      <c r="AF48" s="2">
        <f>AC48*Assumptions!$E$46*-1</f>
        <v>-1.6556947722438051</v>
      </c>
      <c r="AG48" s="22">
        <f t="shared" si="15"/>
        <v>49671.619314375544</v>
      </c>
      <c r="AH48" s="5">
        <f>Model_30y[[#This Row],[Mortgage Payment]]+Model_30y[[#This Row],[Total Upkeep]]+Model_30y[[#This Row],[Monthly Investment]]</f>
        <v>-3138.9665669088181</v>
      </c>
      <c r="AI48" s="5">
        <f>Model_Renter!D48*-1</f>
        <v>3076.9323240277449</v>
      </c>
      <c r="AJ48" s="5">
        <f t="shared" si="16"/>
        <v>-62.034242881073169</v>
      </c>
    </row>
    <row r="49" spans="1:36" x14ac:dyDescent="0.25">
      <c r="A49" s="17">
        <f t="shared" si="10"/>
        <v>47</v>
      </c>
      <c r="B49" s="17">
        <f t="shared" si="5"/>
        <v>4</v>
      </c>
      <c r="C49" s="23">
        <f>IFERROR(IPMT(Assumptions!$D$16/12,Model_30y!A49, 360,Assumptions!$D$8), 0)</f>
        <v>-1817.7557789708446</v>
      </c>
      <c r="D49" s="2">
        <f>IFERROR(PPMT(Assumptions!$D$16/12, Model_30y!A49, 360, Assumptions!$D$8), 0)</f>
        <v>-380.70185396209337</v>
      </c>
      <c r="E49" s="2">
        <f t="shared" si="0"/>
        <v>-2198.4576329329379</v>
      </c>
      <c r="F49" s="2">
        <f>IF(I48&gt;1, Assumptions!$E$18, 0)*-1</f>
        <v>-2198.4576329329379</v>
      </c>
      <c r="G49" s="24">
        <f t="shared" si="1"/>
        <v>1</v>
      </c>
      <c r="H49" s="20">
        <f t="shared" si="6"/>
        <v>15781.455609168428</v>
      </c>
      <c r="I49" s="2">
        <f>MAX(Assumptions!$D$8-SUM(Model_30y!H49), 0)</f>
        <v>324218.54439083155</v>
      </c>
      <c r="J49" s="2">
        <f>J48*(1+(Assumptions!$E$51))</f>
        <v>514494.04382949031</v>
      </c>
      <c r="K49" s="22">
        <f t="shared" si="7"/>
        <v>190275.49943865876</v>
      </c>
      <c r="L49" s="5">
        <f t="shared" si="8"/>
        <v>100781.45560916845</v>
      </c>
      <c r="M49" s="63">
        <f>L49/Assumptions!$D$6</f>
        <v>0.23713283672745517</v>
      </c>
      <c r="N49" s="24">
        <f t="shared" si="17"/>
        <v>0</v>
      </c>
      <c r="O49" s="5">
        <f>N49*Assumptions!$E$25*-1</f>
        <v>0</v>
      </c>
      <c r="P49" s="20">
        <f>Assumptions!$E$35*J49*-1</f>
        <v>-1059.7734920980449</v>
      </c>
      <c r="Q49" s="5">
        <f>J49*Assumptions!$E$36*-1</f>
        <v>-426.79241896064713</v>
      </c>
      <c r="R49" s="5">
        <f>(R37+(Model_30y!R37*Assumptions!$D$51))</f>
        <v>-376.13165625000005</v>
      </c>
      <c r="S49" s="5">
        <f>S37+(S37*Assumptions!$D$51)</f>
        <v>0</v>
      </c>
      <c r="T49" s="5">
        <f t="shared" si="12"/>
        <v>0</v>
      </c>
      <c r="U49" s="22">
        <f t="shared" si="2"/>
        <v>-1862.6975673086922</v>
      </c>
      <c r="V49" s="5">
        <f>MAX(Assumptions!$E$18:$E$19)-U49</f>
        <v>4704.330579107389</v>
      </c>
      <c r="W49" s="5">
        <f t="shared" si="3"/>
        <v>-2198.4576329329379</v>
      </c>
      <c r="X49" s="5">
        <f t="shared" si="9"/>
        <v>-1862.6975673086922</v>
      </c>
      <c r="Y49" s="5">
        <f>C49*Assumptions!$D$44*-1</f>
        <v>272.66336684562668</v>
      </c>
      <c r="Z49" s="5">
        <f t="shared" si="4"/>
        <v>915.83874571138551</v>
      </c>
      <c r="AA49" s="5">
        <f t="shared" si="13"/>
        <v>49671.619314375544</v>
      </c>
      <c r="AB49" s="3">
        <f>Assumptions!$E$45</f>
        <v>6.9899151946608562E-3</v>
      </c>
      <c r="AC49" s="5">
        <f t="shared" si="14"/>
        <v>50934.658466675894</v>
      </c>
      <c r="AD49" s="5">
        <f>AC49*Assumptions!$E$43</f>
        <v>45.615832195934544</v>
      </c>
      <c r="AE49" s="2">
        <f>AD49*Assumptions!$D$44*-1</f>
        <v>-6.8423748293901818</v>
      </c>
      <c r="AF49" s="2">
        <f>AC49*Assumptions!$E$46*-1</f>
        <v>-1.6975107610588536</v>
      </c>
      <c r="AG49" s="22">
        <f t="shared" si="15"/>
        <v>50926.118581085444</v>
      </c>
      <c r="AH49" s="5">
        <f>Model_30y[[#This Row],[Mortgage Payment]]+Model_30y[[#This Row],[Total Upkeep]]+Model_30y[[#This Row],[Monthly Investment]]</f>
        <v>-3145.3164545302448</v>
      </c>
      <c r="AI49" s="5">
        <f>Model_Renter!D49*-1</f>
        <v>3076.9323240277449</v>
      </c>
      <c r="AJ49" s="5">
        <f t="shared" si="16"/>
        <v>-68.384130502499829</v>
      </c>
    </row>
    <row r="50" spans="1:36" x14ac:dyDescent="0.25">
      <c r="A50" s="17">
        <f t="shared" si="10"/>
        <v>48</v>
      </c>
      <c r="B50" s="17">
        <f t="shared" si="5"/>
        <v>4</v>
      </c>
      <c r="C50" s="23">
        <f>IFERROR(IPMT(Assumptions!$D$16/12,Model_30y!A50, 360,Assumptions!$D$8), 0)</f>
        <v>-1815.623848588657</v>
      </c>
      <c r="D50" s="2">
        <f>IFERROR(PPMT(Assumptions!$D$16/12, Model_30y!A50, 360, Assumptions!$D$8), 0)</f>
        <v>-382.83378434428101</v>
      </c>
      <c r="E50" s="2">
        <f t="shared" si="0"/>
        <v>-2198.4576329329379</v>
      </c>
      <c r="F50" s="2">
        <f>IF(I49&gt;1, Assumptions!$E$18, 0)*-1</f>
        <v>-2198.4576329329379</v>
      </c>
      <c r="G50" s="24">
        <f t="shared" si="1"/>
        <v>1</v>
      </c>
      <c r="H50" s="20">
        <f t="shared" si="6"/>
        <v>16164.289393512709</v>
      </c>
      <c r="I50" s="2">
        <f>MAX(Assumptions!$D$8-SUM(Model_30y!H50), 0)</f>
        <v>323835.71060648729</v>
      </c>
      <c r="J50" s="2">
        <f>J49*(1+(Assumptions!$E$51))</f>
        <v>516590.15625000146</v>
      </c>
      <c r="K50" s="22">
        <f t="shared" si="7"/>
        <v>192754.44564351416</v>
      </c>
      <c r="L50" s="5">
        <f t="shared" si="8"/>
        <v>101164.28939351274</v>
      </c>
      <c r="M50" s="63">
        <f>L50/Assumptions!$D$6</f>
        <v>0.23803362210238291</v>
      </c>
      <c r="N50" s="24">
        <f t="shared" si="17"/>
        <v>0</v>
      </c>
      <c r="O50" s="5">
        <f>N50*Assumptions!$E$25*-1</f>
        <v>0</v>
      </c>
      <c r="P50" s="20">
        <f>Assumptions!$E$35*J50*-1</f>
        <v>-1064.0911404874817</v>
      </c>
      <c r="Q50" s="5">
        <f>J50*Assumptions!$E$36*-1</f>
        <v>-428.5312241054155</v>
      </c>
      <c r="R50" s="5">
        <f>(R38+(Model_30y!R38*Assumptions!$D$51))</f>
        <v>-376.13165625000005</v>
      </c>
      <c r="S50" s="5">
        <f>S38+(S38*Assumptions!$D$51)</f>
        <v>0</v>
      </c>
      <c r="T50" s="5">
        <f t="shared" si="12"/>
        <v>0</v>
      </c>
      <c r="U50" s="22">
        <f t="shared" si="2"/>
        <v>-1868.7540208428973</v>
      </c>
      <c r="V50" s="5">
        <f>MAX(Assumptions!$E$18:$E$19)-U50</f>
        <v>4710.3870326415945</v>
      </c>
      <c r="W50" s="5">
        <f t="shared" si="3"/>
        <v>-2198.4576329329379</v>
      </c>
      <c r="X50" s="5">
        <f t="shared" si="9"/>
        <v>-1868.7540208428973</v>
      </c>
      <c r="Y50" s="5">
        <f>C50*Assumptions!$D$44*-1</f>
        <v>272.34357728829855</v>
      </c>
      <c r="Z50" s="5">
        <f t="shared" si="4"/>
        <v>915.51895615405783</v>
      </c>
      <c r="AA50" s="5">
        <f t="shared" si="13"/>
        <v>50926.118581085444</v>
      </c>
      <c r="AB50" s="3">
        <f>Assumptions!$E$45</f>
        <v>6.9899151946608562E-3</v>
      </c>
      <c r="AC50" s="5">
        <f t="shared" si="14"/>
        <v>52197.606787314537</v>
      </c>
      <c r="AD50" s="5">
        <f>AC50*Assumptions!$E$43</f>
        <v>46.746897768978123</v>
      </c>
      <c r="AE50" s="2">
        <f>AD50*Assumptions!$D$44*-1</f>
        <v>-7.012034665346718</v>
      </c>
      <c r="AF50" s="2">
        <f>AC50*Assumptions!$E$46*-1</f>
        <v>-1.7396013223678675</v>
      </c>
      <c r="AG50" s="22">
        <f t="shared" si="15"/>
        <v>52188.855151326825</v>
      </c>
      <c r="AH50" s="5">
        <f>Model_30y[[#This Row],[Mortgage Payment]]+Model_30y[[#This Row],[Total Upkeep]]+Model_30y[[#This Row],[Monthly Investment]]</f>
        <v>-3151.6926976217774</v>
      </c>
      <c r="AI50" s="5">
        <f>Model_Renter!D50*-1</f>
        <v>3076.9323240277449</v>
      </c>
      <c r="AJ50" s="5">
        <f t="shared" si="16"/>
        <v>-74.760373594032444</v>
      </c>
    </row>
    <row r="51" spans="1:36" x14ac:dyDescent="0.25">
      <c r="A51" s="17">
        <f t="shared" si="10"/>
        <v>49</v>
      </c>
      <c r="B51" s="17">
        <f t="shared" si="5"/>
        <v>5</v>
      </c>
      <c r="C51" s="23">
        <f>IFERROR(IPMT(Assumptions!$D$16/12,Model_30y!A51, 360,Assumptions!$D$8), 0)</f>
        <v>-1813.4799793963289</v>
      </c>
      <c r="D51" s="2">
        <f>IFERROR(PPMT(Assumptions!$D$16/12, Model_30y!A51, 360, Assumptions!$D$8), 0)</f>
        <v>-384.97765353660901</v>
      </c>
      <c r="E51" s="2">
        <f t="shared" si="0"/>
        <v>-2198.4576329329379</v>
      </c>
      <c r="F51" s="2">
        <f>IF(I50&gt;1, Assumptions!$E$18, 0)*-1</f>
        <v>-2198.4576329329379</v>
      </c>
      <c r="G51" s="24">
        <f t="shared" si="1"/>
        <v>1</v>
      </c>
      <c r="H51" s="20">
        <f t="shared" si="6"/>
        <v>16549.267047049318</v>
      </c>
      <c r="I51" s="2">
        <f>MAX(Assumptions!$D$8-SUM(Model_30y!H51), 0)</f>
        <v>323450.7329529507</v>
      </c>
      <c r="J51" s="2">
        <f>J50*(1+(Assumptions!$E$51))</f>
        <v>518694.80849197821</v>
      </c>
      <c r="K51" s="22">
        <f t="shared" si="7"/>
        <v>195244.07553902752</v>
      </c>
      <c r="L51" s="5">
        <f t="shared" si="8"/>
        <v>101549.26704704935</v>
      </c>
      <c r="M51" s="63">
        <f>L51/Assumptions!$D$6</f>
        <v>0.23893945187541024</v>
      </c>
      <c r="N51" s="24">
        <f t="shared" si="17"/>
        <v>0</v>
      </c>
      <c r="O51" s="5">
        <f>N51*Assumptions!$E$25*-1</f>
        <v>0</v>
      </c>
      <c r="P51" s="20">
        <f>Assumptions!$E$35*J51*-1</f>
        <v>-1068.4263795109111</v>
      </c>
      <c r="Q51" s="5">
        <f>J51*Assumptions!$E$36*-1</f>
        <v>-430.27711335757931</v>
      </c>
      <c r="R51" s="5">
        <f>(R39+(Model_30y!R39*Assumptions!$D$51))</f>
        <v>-394.93823906250003</v>
      </c>
      <c r="S51" s="5">
        <f>S39+(S39*Assumptions!$D$51)</f>
        <v>0</v>
      </c>
      <c r="T51" s="5">
        <f t="shared" si="12"/>
        <v>0</v>
      </c>
      <c r="U51" s="22">
        <f t="shared" si="2"/>
        <v>-1893.6417319309905</v>
      </c>
      <c r="V51" s="5">
        <f>MAX(Assumptions!$E$18:$E$19)-U51</f>
        <v>4735.2747437296875</v>
      </c>
      <c r="W51" s="5">
        <f t="shared" si="3"/>
        <v>-2198.4576329329379</v>
      </c>
      <c r="X51" s="5">
        <f t="shared" si="9"/>
        <v>-1893.6417319309905</v>
      </c>
      <c r="Y51" s="5">
        <f>C51*Assumptions!$D$44*-1</f>
        <v>272.02199690944934</v>
      </c>
      <c r="Z51" s="5">
        <f t="shared" si="4"/>
        <v>915.19737577520846</v>
      </c>
      <c r="AA51" s="5">
        <f t="shared" si="13"/>
        <v>52188.855151326825</v>
      </c>
      <c r="AB51" s="3">
        <f>Assumptions!$E$45</f>
        <v>6.9899151946608562E-3</v>
      </c>
      <c r="AC51" s="5">
        <f t="shared" si="14"/>
        <v>53468.848198716245</v>
      </c>
      <c r="AD51" s="5">
        <f>AC51*Assumptions!$E$43</f>
        <v>47.88539043092387</v>
      </c>
      <c r="AE51" s="2">
        <f>AD51*Assumptions!$D$44*-1</f>
        <v>-7.18280856463858</v>
      </c>
      <c r="AF51" s="2">
        <f>AC51*Assumptions!$E$46*-1</f>
        <v>-1.7819682693685994</v>
      </c>
      <c r="AG51" s="22">
        <f t="shared" si="15"/>
        <v>53459.883421882238</v>
      </c>
      <c r="AH51" s="5">
        <f>Model_30y[[#This Row],[Mortgage Payment]]+Model_30y[[#This Row],[Total Upkeep]]+Model_30y[[#This Row],[Monthly Investment]]</f>
        <v>-3176.9019890887203</v>
      </c>
      <c r="AI51" s="5">
        <f>Model_Renter!D51*-1</f>
        <v>3192.0095929463828</v>
      </c>
      <c r="AJ51" s="5">
        <f t="shared" si="16"/>
        <v>15.107603857662525</v>
      </c>
    </row>
    <row r="52" spans="1:36" x14ac:dyDescent="0.25">
      <c r="A52" s="17">
        <f t="shared" si="10"/>
        <v>50</v>
      </c>
      <c r="B52" s="17">
        <f t="shared" si="5"/>
        <v>5</v>
      </c>
      <c r="C52" s="23">
        <f>IFERROR(IPMT(Assumptions!$D$16/12,Model_30y!A52, 360,Assumptions!$D$8), 0)</f>
        <v>-1811.3241045365239</v>
      </c>
      <c r="D52" s="2">
        <f>IFERROR(PPMT(Assumptions!$D$16/12, Model_30y!A52, 360, Assumptions!$D$8), 0)</f>
        <v>-387.13352839641402</v>
      </c>
      <c r="E52" s="2">
        <f t="shared" si="0"/>
        <v>-2198.4576329329379</v>
      </c>
      <c r="F52" s="2">
        <f>IF(I51&gt;1, Assumptions!$E$18, 0)*-1</f>
        <v>-2198.4576329329379</v>
      </c>
      <c r="G52" s="24">
        <f t="shared" si="1"/>
        <v>1</v>
      </c>
      <c r="H52" s="20">
        <f t="shared" si="6"/>
        <v>16936.400575445732</v>
      </c>
      <c r="I52" s="2">
        <f>MAX(Assumptions!$D$8-SUM(Model_30y!H52), 0)</f>
        <v>323063.59942455427</v>
      </c>
      <c r="J52" s="2">
        <f>J51*(1+(Assumptions!$E$51))</f>
        <v>520808.03534771031</v>
      </c>
      <c r="K52" s="22">
        <f t="shared" si="7"/>
        <v>197744.43592315604</v>
      </c>
      <c r="L52" s="5">
        <f t="shared" si="8"/>
        <v>101936.40057544576</v>
      </c>
      <c r="M52" s="63">
        <f>L52/Assumptions!$D$6</f>
        <v>0.23985035429516649</v>
      </c>
      <c r="N52" s="24">
        <f t="shared" si="17"/>
        <v>0</v>
      </c>
      <c r="O52" s="5">
        <f>N52*Assumptions!$E$25*-1</f>
        <v>0</v>
      </c>
      <c r="P52" s="20">
        <f>Assumptions!$E$35*J52*-1</f>
        <v>-1072.779280834754</v>
      </c>
      <c r="Q52" s="5">
        <f>J52*Assumptions!$E$36*-1</f>
        <v>-432.03011557866898</v>
      </c>
      <c r="R52" s="5">
        <f>(R40+(Model_30y!R40*Assumptions!$D$51))</f>
        <v>-394.93823906250003</v>
      </c>
      <c r="S52" s="5">
        <f>S40+(S40*Assumptions!$D$51)</f>
        <v>0</v>
      </c>
      <c r="T52" s="5">
        <f t="shared" si="12"/>
        <v>0</v>
      </c>
      <c r="U52" s="22">
        <f t="shared" si="2"/>
        <v>-1899.7476354759231</v>
      </c>
      <c r="V52" s="5">
        <f>MAX(Assumptions!$E$18:$E$19)-U52</f>
        <v>4741.3806472746201</v>
      </c>
      <c r="W52" s="5">
        <f t="shared" si="3"/>
        <v>-2198.4576329329379</v>
      </c>
      <c r="X52" s="5">
        <f t="shared" si="9"/>
        <v>-1899.7476354759231</v>
      </c>
      <c r="Y52" s="5">
        <f>C52*Assumptions!$D$44*-1</f>
        <v>271.69861568047855</v>
      </c>
      <c r="Z52" s="5">
        <f t="shared" si="4"/>
        <v>914.87399454623755</v>
      </c>
      <c r="AA52" s="5">
        <f t="shared" si="13"/>
        <v>53459.883421882238</v>
      </c>
      <c r="AB52" s="3">
        <f>Assumptions!$E$45</f>
        <v>6.9899151946608562E-3</v>
      </c>
      <c r="AC52" s="5">
        <f t="shared" si="14"/>
        <v>54748.437467863885</v>
      </c>
      <c r="AD52" s="5">
        <f>AC52*Assumptions!$E$43</f>
        <v>49.03135922973982</v>
      </c>
      <c r="AE52" s="2">
        <f>AD52*Assumptions!$D$44*-1</f>
        <v>-7.3547038844609727</v>
      </c>
      <c r="AF52" s="2">
        <f>AC52*Assumptions!$E$46*-1</f>
        <v>-1.8246134272925436</v>
      </c>
      <c r="AG52" s="22">
        <f t="shared" si="15"/>
        <v>54739.25815055213</v>
      </c>
      <c r="AH52" s="5">
        <f>Model_30y[[#This Row],[Mortgage Payment]]+Model_30y[[#This Row],[Total Upkeep]]+Model_30y[[#This Row],[Monthly Investment]]</f>
        <v>-3183.3312738626237</v>
      </c>
      <c r="AI52" s="5">
        <f>Model_Renter!D52*-1</f>
        <v>3192.0095929463828</v>
      </c>
      <c r="AJ52" s="5">
        <f t="shared" si="16"/>
        <v>8.6783190837591064</v>
      </c>
    </row>
    <row r="53" spans="1:36" x14ac:dyDescent="0.25">
      <c r="A53" s="17">
        <f t="shared" si="10"/>
        <v>51</v>
      </c>
      <c r="B53" s="17">
        <f t="shared" si="5"/>
        <v>5</v>
      </c>
      <c r="C53" s="23">
        <f>IFERROR(IPMT(Assumptions!$D$16/12,Model_30y!A53, 360,Assumptions!$D$8), 0)</f>
        <v>-1809.1561567775043</v>
      </c>
      <c r="D53" s="2">
        <f>IFERROR(PPMT(Assumptions!$D$16/12, Model_30y!A53, 360, Assumptions!$D$8), 0)</f>
        <v>-389.30147615543387</v>
      </c>
      <c r="E53" s="2">
        <f t="shared" si="0"/>
        <v>-2198.4576329329384</v>
      </c>
      <c r="F53" s="2">
        <f>IF(I52&gt;1, Assumptions!$E$18, 0)*-1</f>
        <v>-2198.4576329329379</v>
      </c>
      <c r="G53" s="24">
        <f t="shared" si="1"/>
        <v>1</v>
      </c>
      <c r="H53" s="20">
        <f t="shared" si="6"/>
        <v>17325.702051601165</v>
      </c>
      <c r="I53" s="2">
        <f>MAX(Assumptions!$D$8-SUM(Model_30y!H53), 0)</f>
        <v>322674.29794839886</v>
      </c>
      <c r="J53" s="2">
        <f>J52*(1+(Assumptions!$E$51))</f>
        <v>522929.87175123557</v>
      </c>
      <c r="K53" s="22">
        <f t="shared" si="7"/>
        <v>200255.5738028367</v>
      </c>
      <c r="L53" s="5">
        <f t="shared" si="8"/>
        <v>102325.7020516012</v>
      </c>
      <c r="M53" s="63">
        <f>L53/Assumptions!$D$6</f>
        <v>0.24076635776847341</v>
      </c>
      <c r="N53" s="24">
        <f t="shared" si="17"/>
        <v>0</v>
      </c>
      <c r="O53" s="5">
        <f>N53*Assumptions!$E$25*-1</f>
        <v>0</v>
      </c>
      <c r="P53" s="20">
        <f>Assumptions!$E$35*J53*-1</f>
        <v>-1077.1499164174079</v>
      </c>
      <c r="Q53" s="5">
        <f>J53*Assumptions!$E$36*-1</f>
        <v>-433.79025974780041</v>
      </c>
      <c r="R53" s="5">
        <f>(R41+(Model_30y!R41*Assumptions!$D$51))</f>
        <v>-394.93823906250003</v>
      </c>
      <c r="S53" s="5">
        <f>S41+(S41*Assumptions!$D$51)</f>
        <v>0</v>
      </c>
      <c r="T53" s="5">
        <f t="shared" si="12"/>
        <v>0</v>
      </c>
      <c r="U53" s="22">
        <f t="shared" si="2"/>
        <v>-1905.8784152277085</v>
      </c>
      <c r="V53" s="5">
        <f>MAX(Assumptions!$E$18:$E$19)-U53</f>
        <v>4747.5114270264057</v>
      </c>
      <c r="W53" s="5">
        <f t="shared" si="3"/>
        <v>-2198.4576329329379</v>
      </c>
      <c r="X53" s="5">
        <f t="shared" si="9"/>
        <v>-1905.8784152277085</v>
      </c>
      <c r="Y53" s="5">
        <f>C53*Assumptions!$D$44*-1</f>
        <v>271.37342351662562</v>
      </c>
      <c r="Z53" s="5">
        <f t="shared" si="4"/>
        <v>914.54880238238491</v>
      </c>
      <c r="AA53" s="5">
        <f t="shared" si="13"/>
        <v>54739.25815055213</v>
      </c>
      <c r="AB53" s="3">
        <f>Assumptions!$E$45</f>
        <v>6.9899151946608562E-3</v>
      </c>
      <c r="AC53" s="5">
        <f t="shared" si="14"/>
        <v>56036.42972522552</v>
      </c>
      <c r="AD53" s="5">
        <f>AC53*Assumptions!$E$43</f>
        <v>50.184853538922439</v>
      </c>
      <c r="AE53" s="2">
        <f>AD53*Assumptions!$D$44*-1</f>
        <v>-7.5277280308383654</v>
      </c>
      <c r="AF53" s="2">
        <f>AC53*Assumptions!$E$46*-1</f>
        <v>-1.8675386334851463</v>
      </c>
      <c r="AG53" s="22">
        <f t="shared" si="15"/>
        <v>56027.034458561197</v>
      </c>
      <c r="AH53" s="5">
        <f>Model_30y[[#This Row],[Mortgage Payment]]+Model_30y[[#This Row],[Total Upkeep]]+Model_30y[[#This Row],[Monthly Investment]]</f>
        <v>-3189.7872457782619</v>
      </c>
      <c r="AI53" s="5">
        <f>Model_Renter!D53*-1</f>
        <v>3192.0095929463828</v>
      </c>
      <c r="AJ53" s="5">
        <f t="shared" si="16"/>
        <v>2.2223471681209048</v>
      </c>
    </row>
    <row r="54" spans="1:36" x14ac:dyDescent="0.25">
      <c r="A54" s="17">
        <f t="shared" si="10"/>
        <v>52</v>
      </c>
      <c r="B54" s="17">
        <f t="shared" si="5"/>
        <v>5</v>
      </c>
      <c r="C54" s="23">
        <f>IFERROR(IPMT(Assumptions!$D$16/12,Model_30y!A54, 360,Assumptions!$D$8), 0)</f>
        <v>-1806.9760685110336</v>
      </c>
      <c r="D54" s="2">
        <f>IFERROR(PPMT(Assumptions!$D$16/12, Model_30y!A54, 360, Assumptions!$D$8), 0)</f>
        <v>-391.4815644219043</v>
      </c>
      <c r="E54" s="2">
        <f t="shared" si="0"/>
        <v>-2198.4576329329379</v>
      </c>
      <c r="F54" s="2">
        <f>IF(I53&gt;1, Assumptions!$E$18, 0)*-1</f>
        <v>-2198.4576329329379</v>
      </c>
      <c r="G54" s="24">
        <f t="shared" si="1"/>
        <v>1</v>
      </c>
      <c r="H54" s="20">
        <f t="shared" si="6"/>
        <v>17717.18361602307</v>
      </c>
      <c r="I54" s="2">
        <f>MAX(Assumptions!$D$8-SUM(Model_30y!H54), 0)</f>
        <v>322282.81638397695</v>
      </c>
      <c r="J54" s="2">
        <f>J53*(1+(Assumptions!$E$51))</f>
        <v>525060.35277891741</v>
      </c>
      <c r="K54" s="22">
        <f t="shared" si="7"/>
        <v>202777.53639494046</v>
      </c>
      <c r="L54" s="5">
        <f t="shared" si="8"/>
        <v>102717.1836160231</v>
      </c>
      <c r="M54" s="63">
        <f>L54/Assumptions!$D$6</f>
        <v>0.24168749086123084</v>
      </c>
      <c r="N54" s="24">
        <f t="shared" si="17"/>
        <v>0</v>
      </c>
      <c r="O54" s="5">
        <f>N54*Assumptions!$E$25*-1</f>
        <v>0</v>
      </c>
      <c r="P54" s="20">
        <f>Assumptions!$E$35*J54*-1</f>
        <v>-1081.5383585104389</v>
      </c>
      <c r="Q54" s="5">
        <f>J54*Assumptions!$E$36*-1</f>
        <v>-435.55757496215386</v>
      </c>
      <c r="R54" s="5">
        <f>(R42+(Model_30y!R42*Assumptions!$D$51))</f>
        <v>-394.93823906250003</v>
      </c>
      <c r="S54" s="5">
        <f>S42+(S42*Assumptions!$D$51)</f>
        <v>0</v>
      </c>
      <c r="T54" s="5">
        <f t="shared" si="12"/>
        <v>0</v>
      </c>
      <c r="U54" s="22">
        <f t="shared" si="2"/>
        <v>-1912.0341725350929</v>
      </c>
      <c r="V54" s="5">
        <f>MAX(Assumptions!$E$18:$E$19)-U54</f>
        <v>4753.6671843337899</v>
      </c>
      <c r="W54" s="5">
        <f t="shared" si="3"/>
        <v>-2198.4576329329379</v>
      </c>
      <c r="X54" s="5">
        <f t="shared" si="9"/>
        <v>-1912.0341725350929</v>
      </c>
      <c r="Y54" s="5">
        <f>C54*Assumptions!$D$44*-1</f>
        <v>271.04641027665502</v>
      </c>
      <c r="Z54" s="5">
        <f t="shared" si="4"/>
        <v>914.22178914241408</v>
      </c>
      <c r="AA54" s="5">
        <f t="shared" si="13"/>
        <v>56027.034458561197</v>
      </c>
      <c r="AB54" s="3">
        <f>Assumptions!$E$45</f>
        <v>6.9899151946608562E-3</v>
      </c>
      <c r="AC54" s="5">
        <f t="shared" si="14"/>
        <v>57332.880467177296</v>
      </c>
      <c r="AD54" s="5">
        <f>AC54*Assumptions!$E$43</f>
        <v>51.345923059666525</v>
      </c>
      <c r="AE54" s="2">
        <f>AD54*Assumptions!$D$44*-1</f>
        <v>-7.7018884589499788</v>
      </c>
      <c r="AF54" s="2">
        <f>AC54*Assumptions!$E$46*-1</f>
        <v>-1.9107457374865546</v>
      </c>
      <c r="AG54" s="22">
        <f t="shared" si="15"/>
        <v>57323.267832980862</v>
      </c>
      <c r="AH54" s="5">
        <f>Model_30y[[#This Row],[Mortgage Payment]]+Model_30y[[#This Row],[Total Upkeep]]+Model_30y[[#This Row],[Monthly Investment]]</f>
        <v>-3196.2700163256168</v>
      </c>
      <c r="AI54" s="5">
        <f>Model_Renter!D54*-1</f>
        <v>3192.0095929463828</v>
      </c>
      <c r="AJ54" s="5">
        <f t="shared" si="16"/>
        <v>-4.2604233792339983</v>
      </c>
    </row>
    <row r="55" spans="1:36" x14ac:dyDescent="0.25">
      <c r="A55" s="17">
        <f t="shared" si="10"/>
        <v>53</v>
      </c>
      <c r="B55" s="17">
        <f t="shared" si="5"/>
        <v>5</v>
      </c>
      <c r="C55" s="23">
        <f>IFERROR(IPMT(Assumptions!$D$16/12,Model_30y!A55, 360,Assumptions!$D$8), 0)</f>
        <v>-1804.7837717502709</v>
      </c>
      <c r="D55" s="2">
        <f>IFERROR(PPMT(Assumptions!$D$16/12, Model_30y!A55, 360, Assumptions!$D$8), 0)</f>
        <v>-393.67386118266705</v>
      </c>
      <c r="E55" s="2">
        <f t="shared" si="0"/>
        <v>-2198.4576329329379</v>
      </c>
      <c r="F55" s="2">
        <f>IF(I54&gt;1, Assumptions!$E$18, 0)*-1</f>
        <v>-2198.4576329329379</v>
      </c>
      <c r="G55" s="24">
        <f t="shared" si="1"/>
        <v>1</v>
      </c>
      <c r="H55" s="20">
        <f t="shared" si="6"/>
        <v>18110.857477205736</v>
      </c>
      <c r="I55" s="2">
        <f>MAX(Assumptions!$D$8-SUM(Model_30y!H55), 0)</f>
        <v>321889.14252279425</v>
      </c>
      <c r="J55" s="2">
        <f>J54*(1+(Assumptions!$E$51))</f>
        <v>527199.51365002478</v>
      </c>
      <c r="K55" s="22">
        <f t="shared" si="7"/>
        <v>205310.37112723052</v>
      </c>
      <c r="L55" s="5">
        <f t="shared" si="8"/>
        <v>103110.85747720578</v>
      </c>
      <c r="M55" s="63">
        <f>L55/Assumptions!$D$6</f>
        <v>0.24261378229930772</v>
      </c>
      <c r="N55" s="24">
        <f t="shared" si="17"/>
        <v>0</v>
      </c>
      <c r="O55" s="5">
        <f>N55*Assumptions!$E$25*-1</f>
        <v>0</v>
      </c>
      <c r="P55" s="20">
        <f>Assumptions!$E$35*J55*-1</f>
        <v>-1085.9446796597742</v>
      </c>
      <c r="Q55" s="5">
        <f>J55*Assumptions!$E$36*-1</f>
        <v>-437.33209043745535</v>
      </c>
      <c r="R55" s="5">
        <f>(R43+(Model_30y!R43*Assumptions!$D$51))</f>
        <v>-394.93823906250003</v>
      </c>
      <c r="S55" s="5">
        <f>S43+(S43*Assumptions!$D$51)</f>
        <v>0</v>
      </c>
      <c r="T55" s="5">
        <f t="shared" si="12"/>
        <v>0</v>
      </c>
      <c r="U55" s="22">
        <f t="shared" si="2"/>
        <v>-1918.2150091597296</v>
      </c>
      <c r="V55" s="5">
        <f>MAX(Assumptions!$E$18:$E$19)-U55</f>
        <v>4759.8480209584268</v>
      </c>
      <c r="W55" s="5">
        <f t="shared" si="3"/>
        <v>-2198.4576329329379</v>
      </c>
      <c r="X55" s="5">
        <f t="shared" si="9"/>
        <v>-1918.2150091597296</v>
      </c>
      <c r="Y55" s="5">
        <f>C55*Assumptions!$D$44*-1</f>
        <v>270.71756576254063</v>
      </c>
      <c r="Z55" s="5">
        <f t="shared" si="4"/>
        <v>913.89294462829992</v>
      </c>
      <c r="AA55" s="5">
        <f t="shared" si="13"/>
        <v>57323.267832980862</v>
      </c>
      <c r="AB55" s="3">
        <f>Assumptions!$E$45</f>
        <v>6.9899151946608562E-3</v>
      </c>
      <c r="AC55" s="5">
        <f t="shared" si="14"/>
        <v>58637.845558442532</v>
      </c>
      <c r="AD55" s="5">
        <f>AC55*Assumptions!$E$43</f>
        <v>52.514617823049562</v>
      </c>
      <c r="AE55" s="2">
        <f>AD55*Assumptions!$D$44*-1</f>
        <v>-7.8771926734574338</v>
      </c>
      <c r="AF55" s="2">
        <f>AC55*Assumptions!$E$46*-1</f>
        <v>-1.954236601112904</v>
      </c>
      <c r="AG55" s="22">
        <f t="shared" si="15"/>
        <v>58628.014129167961</v>
      </c>
      <c r="AH55" s="5">
        <f>Model_30y[[#This Row],[Mortgage Payment]]+Model_30y[[#This Row],[Total Upkeep]]+Model_30y[[#This Row],[Monthly Investment]]</f>
        <v>-3202.7796974643679</v>
      </c>
      <c r="AI55" s="5">
        <f>Model_Renter!D55*-1</f>
        <v>3192.0095929463828</v>
      </c>
      <c r="AJ55" s="5">
        <f t="shared" si="16"/>
        <v>-10.770104517985146</v>
      </c>
    </row>
    <row r="56" spans="1:36" x14ac:dyDescent="0.25">
      <c r="A56" s="17">
        <f t="shared" si="10"/>
        <v>54</v>
      </c>
      <c r="B56" s="17">
        <f t="shared" si="5"/>
        <v>5</v>
      </c>
      <c r="C56" s="23">
        <f>IFERROR(IPMT(Assumptions!$D$16/12,Model_30y!A56, 360,Assumptions!$D$8), 0)</f>
        <v>-1802.5791981276477</v>
      </c>
      <c r="D56" s="2">
        <f>IFERROR(PPMT(Assumptions!$D$16/12, Model_30y!A56, 360, Assumptions!$D$8), 0)</f>
        <v>-395.87843480529006</v>
      </c>
      <c r="E56" s="2">
        <f t="shared" si="0"/>
        <v>-2198.4576329329379</v>
      </c>
      <c r="F56" s="2">
        <f>IF(I55&gt;1, Assumptions!$E$18, 0)*-1</f>
        <v>-2198.4576329329379</v>
      </c>
      <c r="G56" s="24">
        <f t="shared" si="1"/>
        <v>1</v>
      </c>
      <c r="H56" s="20">
        <f t="shared" si="6"/>
        <v>18506.735912011027</v>
      </c>
      <c r="I56" s="2">
        <f>MAX(Assumptions!$D$8-SUM(Model_30y!H56), 0)</f>
        <v>321493.264087989</v>
      </c>
      <c r="J56" s="2">
        <f>J55*(1+(Assumptions!$E$51))</f>
        <v>529347.38972731424</v>
      </c>
      <c r="K56" s="22">
        <f t="shared" si="7"/>
        <v>207854.12563932524</v>
      </c>
      <c r="L56" s="5">
        <f t="shared" si="8"/>
        <v>103506.73591201106</v>
      </c>
      <c r="M56" s="63">
        <f>L56/Assumptions!$D$6</f>
        <v>0.24354526096943779</v>
      </c>
      <c r="N56" s="24">
        <f t="shared" si="17"/>
        <v>0</v>
      </c>
      <c r="O56" s="5">
        <f>N56*Assumptions!$E$25*-1</f>
        <v>0</v>
      </c>
      <c r="P56" s="20">
        <f>Assumptions!$E$35*J56*-1</f>
        <v>-1090.3689527069025</v>
      </c>
      <c r="Q56" s="5">
        <f>J56*Assumptions!$E$36*-1</f>
        <v>-439.11383550845926</v>
      </c>
      <c r="R56" s="5">
        <f>(R44+(Model_30y!R44*Assumptions!$D$51))</f>
        <v>-394.93823906250003</v>
      </c>
      <c r="S56" s="5">
        <f>S44+(S44*Assumptions!$D$51)</f>
        <v>0</v>
      </c>
      <c r="T56" s="5">
        <f t="shared" si="12"/>
        <v>0</v>
      </c>
      <c r="U56" s="22">
        <f t="shared" si="2"/>
        <v>-1924.4210272778619</v>
      </c>
      <c r="V56" s="5">
        <f>MAX(Assumptions!$E$18:$E$19)-U56</f>
        <v>4766.0540390765582</v>
      </c>
      <c r="W56" s="5">
        <f t="shared" si="3"/>
        <v>-2198.4576329329379</v>
      </c>
      <c r="X56" s="5">
        <f t="shared" si="9"/>
        <v>-1924.4210272778619</v>
      </c>
      <c r="Y56" s="5">
        <f>C56*Assumptions!$D$44*-1</f>
        <v>270.38687971914715</v>
      </c>
      <c r="Z56" s="5">
        <f t="shared" si="4"/>
        <v>913.56225858490552</v>
      </c>
      <c r="AA56" s="5">
        <f t="shared" si="13"/>
        <v>58628.014129167961</v>
      </c>
      <c r="AB56" s="3">
        <f>Assumptions!$E$45</f>
        <v>6.9899151946608562E-3</v>
      </c>
      <c r="AC56" s="5">
        <f t="shared" si="14"/>
        <v>59951.381234547131</v>
      </c>
      <c r="AD56" s="5">
        <f>AC56*Assumptions!$E$43</f>
        <v>53.690988192230741</v>
      </c>
      <c r="AE56" s="2">
        <f>AD56*Assumptions!$D$44*-1</f>
        <v>-8.0536482288346107</v>
      </c>
      <c r="AF56" s="2">
        <f>AC56*Assumptions!$E$46*-1</f>
        <v>-1.998013098538151</v>
      </c>
      <c r="AG56" s="22">
        <f t="shared" si="15"/>
        <v>59941.329573219758</v>
      </c>
      <c r="AH56" s="5">
        <f>Model_30y[[#This Row],[Mortgage Payment]]+Model_30y[[#This Row],[Total Upkeep]]+Model_30y[[#This Row],[Monthly Investment]]</f>
        <v>-3209.3164016258938</v>
      </c>
      <c r="AI56" s="5">
        <f>Model_Renter!D56*-1</f>
        <v>3192.0095929463828</v>
      </c>
      <c r="AJ56" s="5">
        <f t="shared" si="16"/>
        <v>-17.30680867951105</v>
      </c>
    </row>
    <row r="57" spans="1:36" x14ac:dyDescent="0.25">
      <c r="A57" s="17">
        <f t="shared" si="10"/>
        <v>55</v>
      </c>
      <c r="B57" s="17">
        <f t="shared" si="5"/>
        <v>5</v>
      </c>
      <c r="C57" s="23">
        <f>IFERROR(IPMT(Assumptions!$D$16/12,Model_30y!A57, 360,Assumptions!$D$8), 0)</f>
        <v>-1800.3622788927385</v>
      </c>
      <c r="D57" s="2">
        <f>IFERROR(PPMT(Assumptions!$D$16/12, Model_30y!A57, 360, Assumptions!$D$8), 0)</f>
        <v>-398.09535404019954</v>
      </c>
      <c r="E57" s="2">
        <f t="shared" si="0"/>
        <v>-2198.4576329329379</v>
      </c>
      <c r="F57" s="2">
        <f>IF(I56&gt;1, Assumptions!$E$18, 0)*-1</f>
        <v>-2198.4576329329379</v>
      </c>
      <c r="G57" s="24">
        <f t="shared" si="1"/>
        <v>1</v>
      </c>
      <c r="H57" s="20">
        <f t="shared" si="6"/>
        <v>18904.831266051227</v>
      </c>
      <c r="I57" s="2">
        <f>MAX(Assumptions!$D$8-SUM(Model_30y!H57), 0)</f>
        <v>321095.16873394878</v>
      </c>
      <c r="J57" s="2">
        <f>J56*(1+(Assumptions!$E$51))</f>
        <v>531504.01651761448</v>
      </c>
      <c r="K57" s="22">
        <f t="shared" si="7"/>
        <v>210408.8477836657</v>
      </c>
      <c r="L57" s="5">
        <f t="shared" si="8"/>
        <v>103904.83126605126</v>
      </c>
      <c r="M57" s="63">
        <f>L57/Assumptions!$D$6</f>
        <v>0.24448195592012062</v>
      </c>
      <c r="N57" s="24">
        <f t="shared" si="17"/>
        <v>0</v>
      </c>
      <c r="O57" s="5">
        <f>N57*Assumptions!$E$25*-1</f>
        <v>0</v>
      </c>
      <c r="P57" s="20">
        <f>Assumptions!$E$35*J57*-1</f>
        <v>-1094.8112507900776</v>
      </c>
      <c r="Q57" s="5">
        <f>J57*Assumptions!$E$36*-1</f>
        <v>-440.90283962943334</v>
      </c>
      <c r="R57" s="5">
        <f>(R45+(Model_30y!R45*Assumptions!$D$51))</f>
        <v>-394.93823906250003</v>
      </c>
      <c r="S57" s="5">
        <f>S45+(S45*Assumptions!$D$51)</f>
        <v>0</v>
      </c>
      <c r="T57" s="5">
        <f t="shared" si="12"/>
        <v>0</v>
      </c>
      <c r="U57" s="22">
        <f t="shared" si="2"/>
        <v>-1930.6523294820111</v>
      </c>
      <c r="V57" s="5">
        <f>MAX(Assumptions!$E$18:$E$19)-U57</f>
        <v>4772.2853412807081</v>
      </c>
      <c r="W57" s="5">
        <f t="shared" si="3"/>
        <v>-2198.4576329329379</v>
      </c>
      <c r="X57" s="5">
        <f t="shared" si="9"/>
        <v>-1930.6523294820111</v>
      </c>
      <c r="Y57" s="5">
        <f>C57*Assumptions!$D$44*-1</f>
        <v>270.05434183391077</v>
      </c>
      <c r="Z57" s="5">
        <f t="shared" si="4"/>
        <v>913.22972069966977</v>
      </c>
      <c r="AA57" s="5">
        <f t="shared" si="13"/>
        <v>59941.329573219758</v>
      </c>
      <c r="AB57" s="3">
        <f>Assumptions!$E$45</f>
        <v>6.9899151946608562E-3</v>
      </c>
      <c r="AC57" s="5">
        <f t="shared" si="14"/>
        <v>61273.544104291446</v>
      </c>
      <c r="AD57" s="5">
        <f>AC57*Assumptions!$E$43</f>
        <v>54.875084864664714</v>
      </c>
      <c r="AE57" s="2">
        <f>AD57*Assumptions!$D$44*-1</f>
        <v>-8.2312627296997061</v>
      </c>
      <c r="AF57" s="2">
        <f>AC57*Assumptions!$E$46*-1</f>
        <v>-2.0420771163764533</v>
      </c>
      <c r="AG57" s="22">
        <f t="shared" si="15"/>
        <v>61263.270764445369</v>
      </c>
      <c r="AH57" s="5">
        <f>Model_30y[[#This Row],[Mortgage Payment]]+Model_30y[[#This Row],[Total Upkeep]]+Model_30y[[#This Row],[Monthly Investment]]</f>
        <v>-3215.8802417152792</v>
      </c>
      <c r="AI57" s="5">
        <f>Model_Renter!D57*-1</f>
        <v>3192.0095929463828</v>
      </c>
      <c r="AJ57" s="5">
        <f t="shared" si="16"/>
        <v>-23.870648768896444</v>
      </c>
    </row>
    <row r="58" spans="1:36" x14ac:dyDescent="0.25">
      <c r="A58" s="17">
        <f t="shared" si="10"/>
        <v>56</v>
      </c>
      <c r="B58" s="17">
        <f t="shared" si="5"/>
        <v>5</v>
      </c>
      <c r="C58" s="23">
        <f>IFERROR(IPMT(Assumptions!$D$16/12,Model_30y!A58, 360,Assumptions!$D$8), 0)</f>
        <v>-1798.1329449101131</v>
      </c>
      <c r="D58" s="2">
        <f>IFERROR(PPMT(Assumptions!$D$16/12, Model_30y!A58, 360, Assumptions!$D$8), 0)</f>
        <v>-400.32468802282466</v>
      </c>
      <c r="E58" s="2">
        <f t="shared" si="0"/>
        <v>-2198.4576329329379</v>
      </c>
      <c r="F58" s="2">
        <f>IF(I57&gt;1, Assumptions!$E$18, 0)*-1</f>
        <v>-2198.4576329329379</v>
      </c>
      <c r="G58" s="24">
        <f t="shared" si="1"/>
        <v>1</v>
      </c>
      <c r="H58" s="20">
        <f t="shared" si="6"/>
        <v>19305.155954074053</v>
      </c>
      <c r="I58" s="2">
        <f>MAX(Assumptions!$D$8-SUM(Model_30y!H58), 0)</f>
        <v>320694.84404592594</v>
      </c>
      <c r="J58" s="2">
        <f>J57*(1+(Assumptions!$E$51))</f>
        <v>533669.42967241351</v>
      </c>
      <c r="K58" s="22">
        <f t="shared" si="7"/>
        <v>212974.58562648756</v>
      </c>
      <c r="L58" s="5">
        <f t="shared" si="8"/>
        <v>104305.15595407409</v>
      </c>
      <c r="M58" s="63">
        <f>L58/Assumptions!$D$6</f>
        <v>0.24542389636252726</v>
      </c>
      <c r="N58" s="24">
        <f t="shared" si="17"/>
        <v>0</v>
      </c>
      <c r="O58" s="5">
        <f>N58*Assumptions!$E$25*-1</f>
        <v>0</v>
      </c>
      <c r="P58" s="20">
        <f>Assumptions!$E$35*J58*-1</f>
        <v>-1099.2716473455271</v>
      </c>
      <c r="Q58" s="5">
        <f>J58*Assumptions!$E$36*-1</f>
        <v>-442.69913237464573</v>
      </c>
      <c r="R58" s="5">
        <f>(R46+(Model_30y!R46*Assumptions!$D$51))</f>
        <v>-394.93823906250003</v>
      </c>
      <c r="S58" s="5">
        <f>S46+(S46*Assumptions!$D$51)</f>
        <v>0</v>
      </c>
      <c r="T58" s="5">
        <f t="shared" si="12"/>
        <v>0</v>
      </c>
      <c r="U58" s="22">
        <f t="shared" si="2"/>
        <v>-1936.9090187826728</v>
      </c>
      <c r="V58" s="5">
        <f>MAX(Assumptions!$E$18:$E$19)-U58</f>
        <v>4778.5420305813695</v>
      </c>
      <c r="W58" s="5">
        <f t="shared" si="3"/>
        <v>-2198.4576329329379</v>
      </c>
      <c r="X58" s="5">
        <f t="shared" si="9"/>
        <v>-1936.9090187826728</v>
      </c>
      <c r="Y58" s="5">
        <f>C58*Assumptions!$D$44*-1</f>
        <v>269.71994173651694</v>
      </c>
      <c r="Z58" s="5">
        <f t="shared" si="4"/>
        <v>912.89532060227577</v>
      </c>
      <c r="AA58" s="5">
        <f t="shared" si="13"/>
        <v>61263.270764445369</v>
      </c>
      <c r="AB58" s="3">
        <f>Assumptions!$E$45</f>
        <v>6.9899151946608562E-3</v>
      </c>
      <c r="AC58" s="5">
        <f t="shared" si="14"/>
        <v>62604.39115223867</v>
      </c>
      <c r="AD58" s="5">
        <f>AC58*Assumptions!$E$43</f>
        <v>56.066958874330133</v>
      </c>
      <c r="AE58" s="2">
        <f>AD58*Assumptions!$D$44*-1</f>
        <v>-8.4100438311495189</v>
      </c>
      <c r="AF58" s="2">
        <f>AC58*Assumptions!$E$46*-1</f>
        <v>-2.0864305537651</v>
      </c>
      <c r="AG58" s="22">
        <f t="shared" si="15"/>
        <v>62593.894677853757</v>
      </c>
      <c r="AH58" s="5">
        <f>Model_30y[[#This Row],[Mortgage Payment]]+Model_30y[[#This Row],[Total Upkeep]]+Model_30y[[#This Row],[Monthly Investment]]</f>
        <v>-3222.4713311133351</v>
      </c>
      <c r="AI58" s="5">
        <f>Model_Renter!D58*-1</f>
        <v>3192.0095929463828</v>
      </c>
      <c r="AJ58" s="5">
        <f t="shared" si="16"/>
        <v>-30.461738166952273</v>
      </c>
    </row>
    <row r="59" spans="1:36" x14ac:dyDescent="0.25">
      <c r="A59" s="17">
        <f t="shared" si="10"/>
        <v>57</v>
      </c>
      <c r="B59" s="17">
        <f t="shared" si="5"/>
        <v>5</v>
      </c>
      <c r="C59" s="23">
        <f>IFERROR(IPMT(Assumptions!$D$16/12,Model_30y!A59, 360,Assumptions!$D$8), 0)</f>
        <v>-1795.8911266571852</v>
      </c>
      <c r="D59" s="2">
        <f>IFERROR(PPMT(Assumptions!$D$16/12, Model_30y!A59, 360, Assumptions!$D$8), 0)</f>
        <v>-402.56650627575254</v>
      </c>
      <c r="E59" s="2">
        <f t="shared" si="0"/>
        <v>-2198.4576329329375</v>
      </c>
      <c r="F59" s="2">
        <f>IF(I58&gt;1, Assumptions!$E$18, 0)*-1</f>
        <v>-2198.4576329329379</v>
      </c>
      <c r="G59" s="24">
        <f t="shared" si="1"/>
        <v>1</v>
      </c>
      <c r="H59" s="20">
        <f t="shared" si="6"/>
        <v>19707.722460349803</v>
      </c>
      <c r="I59" s="2">
        <f>MAX(Assumptions!$D$8-SUM(Model_30y!H59), 0)</f>
        <v>320292.27753965021</v>
      </c>
      <c r="J59" s="2">
        <f>J58*(1+(Assumptions!$E$51))</f>
        <v>535843.66498844791</v>
      </c>
      <c r="K59" s="22">
        <f t="shared" si="7"/>
        <v>215551.3874487977</v>
      </c>
      <c r="L59" s="5">
        <f t="shared" si="8"/>
        <v>104707.72246034983</v>
      </c>
      <c r="M59" s="63">
        <f>L59/Assumptions!$D$6</f>
        <v>0.24637111167141137</v>
      </c>
      <c r="N59" s="24">
        <f t="shared" si="17"/>
        <v>0</v>
      </c>
      <c r="O59" s="5">
        <f>N59*Assumptions!$E$25*-1</f>
        <v>0</v>
      </c>
      <c r="P59" s="20">
        <f>Assumptions!$E$35*J59*-1</f>
        <v>-1103.7502161086677</v>
      </c>
      <c r="Q59" s="5">
        <f>J59*Assumptions!$E$36*-1</f>
        <v>-444.50274343885371</v>
      </c>
      <c r="R59" s="5">
        <f>(R47+(Model_30y!R47*Assumptions!$D$51))</f>
        <v>-394.93823906250003</v>
      </c>
      <c r="S59" s="5">
        <f>S47+(S47*Assumptions!$D$51)</f>
        <v>0</v>
      </c>
      <c r="T59" s="5">
        <f t="shared" si="12"/>
        <v>0</v>
      </c>
      <c r="U59" s="22">
        <f t="shared" si="2"/>
        <v>-1943.1911986100215</v>
      </c>
      <c r="V59" s="5">
        <f>MAX(Assumptions!$E$18:$E$19)-U59</f>
        <v>4784.8242104087185</v>
      </c>
      <c r="W59" s="5">
        <f t="shared" si="3"/>
        <v>-2198.4576329329379</v>
      </c>
      <c r="X59" s="5">
        <f t="shared" si="9"/>
        <v>-1943.1911986100215</v>
      </c>
      <c r="Y59" s="5">
        <f>C59*Assumptions!$D$44*-1</f>
        <v>269.38366899857778</v>
      </c>
      <c r="Z59" s="5">
        <f t="shared" si="4"/>
        <v>912.55904786433689</v>
      </c>
      <c r="AA59" s="5">
        <f t="shared" si="13"/>
        <v>62593.894677853757</v>
      </c>
      <c r="AB59" s="3">
        <f>Assumptions!$E$45</f>
        <v>6.9899151946608562E-3</v>
      </c>
      <c r="AC59" s="5">
        <f t="shared" si="14"/>
        <v>63943.979741219824</v>
      </c>
      <c r="AD59" s="5">
        <f>AC59*Assumptions!$E$43</f>
        <v>57.266661593973026</v>
      </c>
      <c r="AE59" s="2">
        <f>AD59*Assumptions!$D$44*-1</f>
        <v>-8.5899992390959543</v>
      </c>
      <c r="AF59" s="2">
        <f>AC59*Assumptions!$E$46*-1</f>
        <v>-2.1310753224479981</v>
      </c>
      <c r="AG59" s="22">
        <f t="shared" si="15"/>
        <v>63933.258666658279</v>
      </c>
      <c r="AH59" s="5">
        <f>Model_30y[[#This Row],[Mortgage Payment]]+Model_30y[[#This Row],[Total Upkeep]]+Model_30y[[#This Row],[Monthly Investment]]</f>
        <v>-3229.0897836786226</v>
      </c>
      <c r="AI59" s="5">
        <f>Model_Renter!D59*-1</f>
        <v>3192.0095929463828</v>
      </c>
      <c r="AJ59" s="5">
        <f t="shared" si="16"/>
        <v>-37.080190732239771</v>
      </c>
    </row>
    <row r="60" spans="1:36" x14ac:dyDescent="0.25">
      <c r="A60" s="17">
        <f t="shared" si="10"/>
        <v>58</v>
      </c>
      <c r="B60" s="17">
        <f t="shared" si="5"/>
        <v>5</v>
      </c>
      <c r="C60" s="23">
        <f>IFERROR(IPMT(Assumptions!$D$16/12,Model_30y!A60, 360,Assumptions!$D$8), 0)</f>
        <v>-1793.6367542220412</v>
      </c>
      <c r="D60" s="2">
        <f>IFERROR(PPMT(Assumptions!$D$16/12, Model_30y!A60, 360, Assumptions!$D$8), 0)</f>
        <v>-404.82087871089675</v>
      </c>
      <c r="E60" s="2">
        <f t="shared" si="0"/>
        <v>-2198.4576329329379</v>
      </c>
      <c r="F60" s="2">
        <f>IF(I59&gt;1, Assumptions!$E$18, 0)*-1</f>
        <v>-2198.4576329329379</v>
      </c>
      <c r="G60" s="24">
        <f t="shared" si="1"/>
        <v>1</v>
      </c>
      <c r="H60" s="20">
        <f t="shared" si="6"/>
        <v>20112.5433390607</v>
      </c>
      <c r="I60" s="2">
        <f>MAX(Assumptions!$D$8-SUM(Model_30y!H60), 0)</f>
        <v>319887.45666093932</v>
      </c>
      <c r="J60" s="2">
        <f>J59*(1+(Assumptions!$E$51))</f>
        <v>538026.75840829464</v>
      </c>
      <c r="K60" s="22">
        <f t="shared" si="7"/>
        <v>218139.30174735532</v>
      </c>
      <c r="L60" s="5">
        <f t="shared" si="8"/>
        <v>105112.54333906074</v>
      </c>
      <c r="M60" s="63">
        <f>L60/Assumptions!$D$6</f>
        <v>0.24732363138602526</v>
      </c>
      <c r="N60" s="24">
        <f t="shared" si="17"/>
        <v>0</v>
      </c>
      <c r="O60" s="5">
        <f>N60*Assumptions!$E$25*-1</f>
        <v>0</v>
      </c>
      <c r="P60" s="20">
        <f>Assumptions!$E$35*J60*-1</f>
        <v>-1108.2470311153231</v>
      </c>
      <c r="Q60" s="5">
        <f>J60*Assumptions!$E$36*-1</f>
        <v>-446.3137026377949</v>
      </c>
      <c r="R60" s="5">
        <f>(R48+(Model_30y!R48*Assumptions!$D$51))</f>
        <v>-394.93823906250003</v>
      </c>
      <c r="S60" s="5">
        <f>S48+(S48*Assumptions!$D$51)</f>
        <v>0</v>
      </c>
      <c r="T60" s="5">
        <f t="shared" si="12"/>
        <v>0</v>
      </c>
      <c r="U60" s="22">
        <f t="shared" si="2"/>
        <v>-1949.4989728156181</v>
      </c>
      <c r="V60" s="5">
        <f>MAX(Assumptions!$E$18:$E$19)-U60</f>
        <v>4791.1319846143151</v>
      </c>
      <c r="W60" s="5">
        <f t="shared" si="3"/>
        <v>-2198.4576329329379</v>
      </c>
      <c r="X60" s="5">
        <f t="shared" si="9"/>
        <v>-1949.4989728156181</v>
      </c>
      <c r="Y60" s="5">
        <f>C60*Assumptions!$D$44*-1</f>
        <v>269.04551313330614</v>
      </c>
      <c r="Z60" s="5">
        <f t="shared" si="4"/>
        <v>912.2208919990652</v>
      </c>
      <c r="AA60" s="5">
        <f t="shared" si="13"/>
        <v>63933.258666658279</v>
      </c>
      <c r="AB60" s="3">
        <f>Assumptions!$E$45</f>
        <v>6.9899151946608562E-3</v>
      </c>
      <c r="AC60" s="5">
        <f t="shared" si="14"/>
        <v>65292.367614855604</v>
      </c>
      <c r="AD60" s="5">
        <f>AC60*Assumptions!$E$43</f>
        <v>58.474244737365346</v>
      </c>
      <c r="AE60" s="2">
        <f>AD60*Assumptions!$D$44*-1</f>
        <v>-8.7711367106048019</v>
      </c>
      <c r="AF60" s="2">
        <f>AC60*Assumptions!$E$46*-1</f>
        <v>-2.1760133468597158</v>
      </c>
      <c r="AG60" s="22">
        <f t="shared" si="15"/>
        <v>65281.420464798139</v>
      </c>
      <c r="AH60" s="5">
        <f>Model_30y[[#This Row],[Mortgage Payment]]+Model_30y[[#This Row],[Total Upkeep]]+Model_30y[[#This Row],[Monthly Investment]]</f>
        <v>-3235.735713749491</v>
      </c>
      <c r="AI60" s="5">
        <f>Model_Renter!D60*-1</f>
        <v>3192.0095929463828</v>
      </c>
      <c r="AJ60" s="5">
        <f t="shared" si="16"/>
        <v>-43.726120803108188</v>
      </c>
    </row>
    <row r="61" spans="1:36" x14ac:dyDescent="0.25">
      <c r="A61" s="17">
        <f t="shared" si="10"/>
        <v>59</v>
      </c>
      <c r="B61" s="17">
        <f t="shared" si="5"/>
        <v>5</v>
      </c>
      <c r="C61" s="23">
        <f>IFERROR(IPMT(Assumptions!$D$16/12,Model_30y!A61, 360,Assumptions!$D$8), 0)</f>
        <v>-1791.3697573012603</v>
      </c>
      <c r="D61" s="2">
        <f>IFERROR(PPMT(Assumptions!$D$16/12, Model_30y!A61, 360, Assumptions!$D$8), 0)</f>
        <v>-407.08787563167772</v>
      </c>
      <c r="E61" s="2">
        <f t="shared" si="0"/>
        <v>-2198.4576329329379</v>
      </c>
      <c r="F61" s="2">
        <f>IF(I60&gt;1, Assumptions!$E$18, 0)*-1</f>
        <v>-2198.4576329329379</v>
      </c>
      <c r="G61" s="24">
        <f t="shared" si="1"/>
        <v>1</v>
      </c>
      <c r="H61" s="20">
        <f t="shared" si="6"/>
        <v>20519.631214692377</v>
      </c>
      <c r="I61" s="2">
        <f>MAX(Assumptions!$D$8-SUM(Model_30y!H61), 0)</f>
        <v>319480.36878530763</v>
      </c>
      <c r="J61" s="2">
        <f>J60*(1+(Assumptions!$E$51))</f>
        <v>540218.74602096505</v>
      </c>
      <c r="K61" s="22">
        <f t="shared" si="7"/>
        <v>220738.37723565742</v>
      </c>
      <c r="L61" s="5">
        <f t="shared" si="8"/>
        <v>105519.63121469242</v>
      </c>
      <c r="M61" s="63">
        <f>L61/Assumptions!$D$6</f>
        <v>0.24828148521104099</v>
      </c>
      <c r="N61" s="24">
        <f t="shared" si="17"/>
        <v>0</v>
      </c>
      <c r="O61" s="5">
        <f>N61*Assumptions!$E$25*-1</f>
        <v>0</v>
      </c>
      <c r="P61" s="20">
        <f>Assumptions!$E$35*J61*-1</f>
        <v>-1112.7621667029475</v>
      </c>
      <c r="Q61" s="5">
        <f>J61*Assumptions!$E$36*-1</f>
        <v>-448.13203990867964</v>
      </c>
      <c r="R61" s="5">
        <f>(R49+(Model_30y!R49*Assumptions!$D$51))</f>
        <v>-394.93823906250003</v>
      </c>
      <c r="S61" s="5">
        <f>S49+(S49*Assumptions!$D$51)</f>
        <v>0</v>
      </c>
      <c r="T61" s="5">
        <f t="shared" si="12"/>
        <v>0</v>
      </c>
      <c r="U61" s="22">
        <f t="shared" si="2"/>
        <v>-1955.8324456741273</v>
      </c>
      <c r="V61" s="5">
        <f>MAX(Assumptions!$E$18:$E$19)-U61</f>
        <v>4797.4654574728238</v>
      </c>
      <c r="W61" s="5">
        <f t="shared" si="3"/>
        <v>-2198.4576329329379</v>
      </c>
      <c r="X61" s="5">
        <f t="shared" si="9"/>
        <v>-1955.8324456741273</v>
      </c>
      <c r="Y61" s="5">
        <f>C61*Assumptions!$D$44*-1</f>
        <v>268.70546359518903</v>
      </c>
      <c r="Z61" s="5">
        <f t="shared" si="4"/>
        <v>911.88084246094763</v>
      </c>
      <c r="AA61" s="5">
        <f t="shared" si="13"/>
        <v>65281.420464798139</v>
      </c>
      <c r="AB61" s="3">
        <f>Assumptions!$E$45</f>
        <v>6.9899151946608562E-3</v>
      </c>
      <c r="AC61" s="5">
        <f t="shared" si="14"/>
        <v>66649.612900095017</v>
      </c>
      <c r="AD61" s="5">
        <f>AC61*Assumptions!$E$43</f>
        <v>59.689760361578479</v>
      </c>
      <c r="AE61" s="2">
        <f>AD61*Assumptions!$D$44*-1</f>
        <v>-8.9534640542367718</v>
      </c>
      <c r="AF61" s="2">
        <f>AC61*Assumptions!$E$46*-1</f>
        <v>-2.2212465642100914</v>
      </c>
      <c r="AG61" s="22">
        <f t="shared" si="15"/>
        <v>66638.438189476568</v>
      </c>
      <c r="AH61" s="5">
        <f>Model_30y[[#This Row],[Mortgage Payment]]+Model_30y[[#This Row],[Total Upkeep]]+Model_30y[[#This Row],[Monthly Investment]]</f>
        <v>-3242.4092361461171</v>
      </c>
      <c r="AI61" s="5">
        <f>Model_Renter!D61*-1</f>
        <v>3192.0095929463828</v>
      </c>
      <c r="AJ61" s="5">
        <f t="shared" si="16"/>
        <v>-50.399643199734328</v>
      </c>
    </row>
    <row r="62" spans="1:36" x14ac:dyDescent="0.25">
      <c r="A62" s="17">
        <f t="shared" si="10"/>
        <v>60</v>
      </c>
      <c r="B62" s="17">
        <f t="shared" si="5"/>
        <v>5</v>
      </c>
      <c r="C62" s="23">
        <f>IFERROR(IPMT(Assumptions!$D$16/12,Model_30y!A62, 360,Assumptions!$D$8), 0)</f>
        <v>-1789.0900651977227</v>
      </c>
      <c r="D62" s="2">
        <f>IFERROR(PPMT(Assumptions!$D$16/12, Model_30y!A62, 360, Assumptions!$D$8), 0)</f>
        <v>-409.36756773521523</v>
      </c>
      <c r="E62" s="2">
        <f t="shared" si="0"/>
        <v>-2198.4576329329379</v>
      </c>
      <c r="F62" s="2">
        <f>IF(I61&gt;1, Assumptions!$E$18, 0)*-1</f>
        <v>-2198.4576329329379</v>
      </c>
      <c r="G62" s="24">
        <f t="shared" si="1"/>
        <v>1</v>
      </c>
      <c r="H62" s="20">
        <f t="shared" si="6"/>
        <v>20928.998782427592</v>
      </c>
      <c r="I62" s="2">
        <f>MAX(Assumptions!$D$8-SUM(Model_30y!H62), 0)</f>
        <v>319071.00121757243</v>
      </c>
      <c r="J62" s="2">
        <f>J61*(1+(Assumptions!$E$51))</f>
        <v>542419.66406250175</v>
      </c>
      <c r="K62" s="22">
        <f t="shared" si="7"/>
        <v>223348.66284492932</v>
      </c>
      <c r="L62" s="5">
        <f t="shared" si="8"/>
        <v>105928.99878242763</v>
      </c>
      <c r="M62" s="63">
        <f>L62/Assumptions!$D$6</f>
        <v>0.24924470301747678</v>
      </c>
      <c r="N62" s="24">
        <f t="shared" si="17"/>
        <v>0</v>
      </c>
      <c r="O62" s="5">
        <f>N62*Assumptions!$E$25*-1</f>
        <v>0</v>
      </c>
      <c r="P62" s="20">
        <f>Assumptions!$E$35*J62*-1</f>
        <v>-1117.2956975118561</v>
      </c>
      <c r="Q62" s="5">
        <f>J62*Assumptions!$E$36*-1</f>
        <v>-449.95778531068646</v>
      </c>
      <c r="R62" s="5">
        <f>(R50+(Model_30y!R50*Assumptions!$D$51))</f>
        <v>-394.93823906250003</v>
      </c>
      <c r="S62" s="5">
        <f>S50+(S50*Assumptions!$D$51)</f>
        <v>0</v>
      </c>
      <c r="T62" s="5">
        <f t="shared" si="12"/>
        <v>0</v>
      </c>
      <c r="U62" s="22">
        <f t="shared" si="2"/>
        <v>-1962.1917218850426</v>
      </c>
      <c r="V62" s="5">
        <f>MAX(Assumptions!$E$18:$E$19)-U62</f>
        <v>4803.8247336837394</v>
      </c>
      <c r="W62" s="5">
        <f t="shared" si="3"/>
        <v>-2198.4576329329379</v>
      </c>
      <c r="X62" s="5">
        <f t="shared" si="9"/>
        <v>-1962.1917218850426</v>
      </c>
      <c r="Y62" s="5">
        <f>C62*Assumptions!$D$44*-1</f>
        <v>268.36350977965839</v>
      </c>
      <c r="Z62" s="5">
        <f t="shared" si="4"/>
        <v>911.53888864541727</v>
      </c>
      <c r="AA62" s="5">
        <f t="shared" si="13"/>
        <v>66638.438189476568</v>
      </c>
      <c r="AB62" s="3">
        <f>Assumptions!$E$45</f>
        <v>6.9899151946608562E-3</v>
      </c>
      <c r="AC62" s="5">
        <f t="shared" si="14"/>
        <v>68015.774109771082</v>
      </c>
      <c r="AD62" s="5">
        <f>AC62*Assumptions!$E$43</f>
        <v>60.913260869272086</v>
      </c>
      <c r="AE62" s="2">
        <f>AD62*Assumptions!$D$44*-1</f>
        <v>-9.1369891303908126</v>
      </c>
      <c r="AF62" s="2">
        <f>AC62*Assumptions!$E$46*-1</f>
        <v>-2.2667769245694047</v>
      </c>
      <c r="AG62" s="22">
        <f t="shared" si="15"/>
        <v>68004.370343716117</v>
      </c>
      <c r="AH62" s="5">
        <f>Model_30y[[#This Row],[Mortgage Payment]]+Model_30y[[#This Row],[Total Upkeep]]+Model_30y[[#This Row],[Monthly Investment]]</f>
        <v>-3249.1104661725631</v>
      </c>
      <c r="AI62" s="5">
        <f>Model_Renter!D62*-1</f>
        <v>3192.0095929463828</v>
      </c>
      <c r="AJ62" s="5">
        <f t="shared" si="16"/>
        <v>-57.100873226180283</v>
      </c>
    </row>
    <row r="63" spans="1:36" x14ac:dyDescent="0.25">
      <c r="A63" s="17">
        <f t="shared" si="10"/>
        <v>61</v>
      </c>
      <c r="B63" s="17">
        <f t="shared" si="5"/>
        <v>6</v>
      </c>
      <c r="C63" s="23">
        <f>IFERROR(IPMT(Assumptions!$D$16/12,Model_30y!A63, 360,Assumptions!$D$8), 0)</f>
        <v>-1786.7976068184055</v>
      </c>
      <c r="D63" s="2">
        <f>IFERROR(PPMT(Assumptions!$D$16/12, Model_30y!A63, 360, Assumptions!$D$8), 0)</f>
        <v>-411.66002611453234</v>
      </c>
      <c r="E63" s="2">
        <f t="shared" si="0"/>
        <v>-2198.4576329329379</v>
      </c>
      <c r="F63" s="2">
        <f>IF(I62&gt;1, Assumptions!$E$18, 0)*-1</f>
        <v>-2198.4576329329379</v>
      </c>
      <c r="G63" s="24">
        <f t="shared" si="1"/>
        <v>1</v>
      </c>
      <c r="H63" s="20">
        <f t="shared" si="6"/>
        <v>21340.658808542124</v>
      </c>
      <c r="I63" s="2">
        <f>MAX(Assumptions!$D$8-SUM(Model_30y!H63), 0)</f>
        <v>318659.34119145788</v>
      </c>
      <c r="J63" s="2">
        <f>J62*(1+(Assumptions!$E$51))</f>
        <v>544629.54891657736</v>
      </c>
      <c r="K63" s="22">
        <f t="shared" si="7"/>
        <v>225970.20772511949</v>
      </c>
      <c r="L63" s="5">
        <f t="shared" si="8"/>
        <v>106340.65880854217</v>
      </c>
      <c r="M63" s="63">
        <f>L63/Assumptions!$D$6</f>
        <v>0.25021331484362863</v>
      </c>
      <c r="N63" s="24">
        <f t="shared" si="17"/>
        <v>0</v>
      </c>
      <c r="O63" s="5">
        <f>N63*Assumptions!$E$25*-1</f>
        <v>0</v>
      </c>
      <c r="P63" s="20">
        <f>Assumptions!$E$35*J63*-1</f>
        <v>-1121.8476984864571</v>
      </c>
      <c r="Q63" s="5">
        <f>J63*Assumptions!$E$36*-1</f>
        <v>-451.79096902545848</v>
      </c>
      <c r="R63" s="5">
        <f>(R51+(Model_30y!R51*Assumptions!$D$51))</f>
        <v>-414.68515101562502</v>
      </c>
      <c r="S63" s="5">
        <f>S51+(S51*Assumptions!$D$51)</f>
        <v>0</v>
      </c>
      <c r="T63" s="5">
        <f t="shared" si="12"/>
        <v>0</v>
      </c>
      <c r="U63" s="22">
        <f t="shared" si="2"/>
        <v>-1988.3238185275407</v>
      </c>
      <c r="V63" s="5">
        <f>MAX(Assumptions!$E$18:$E$19)-U63</f>
        <v>4829.9568303262377</v>
      </c>
      <c r="W63" s="5">
        <f t="shared" si="3"/>
        <v>-2198.4576329329379</v>
      </c>
      <c r="X63" s="5">
        <f t="shared" si="9"/>
        <v>-1988.3238185275407</v>
      </c>
      <c r="Y63" s="5">
        <f>C63*Assumptions!$D$44*-1</f>
        <v>268.01964102276082</v>
      </c>
      <c r="Z63" s="5">
        <f t="shared" si="4"/>
        <v>911.19501988851994</v>
      </c>
      <c r="AA63" s="5">
        <f t="shared" si="13"/>
        <v>68004.370343716117</v>
      </c>
      <c r="AB63" s="3">
        <f>Assumptions!$E$45</f>
        <v>6.9899151946608562E-3</v>
      </c>
      <c r="AC63" s="5">
        <f t="shared" si="14"/>
        <v>69390.910145173519</v>
      </c>
      <c r="AD63" s="5">
        <f>AC63*Assumptions!$E$43</f>
        <v>62.144799010998121</v>
      </c>
      <c r="AE63" s="2">
        <f>AD63*Assumptions!$D$44*-1</f>
        <v>-9.3217198516497177</v>
      </c>
      <c r="AF63" s="2">
        <f>AC63*Assumptions!$E$46*-1</f>
        <v>-2.3126063909541195</v>
      </c>
      <c r="AG63" s="22">
        <f t="shared" si="15"/>
        <v>69379.27581893091</v>
      </c>
      <c r="AH63" s="5">
        <f>Model_30y[[#This Row],[Mortgage Payment]]+Model_30y[[#This Row],[Total Upkeep]]+Model_30y[[#This Row],[Monthly Investment]]</f>
        <v>-3275.5864315719591</v>
      </c>
      <c r="AI63" s="5">
        <f>Model_Renter!D63*-1</f>
        <v>3311.390751722578</v>
      </c>
      <c r="AJ63" s="5">
        <f t="shared" si="16"/>
        <v>35.804320150618878</v>
      </c>
    </row>
    <row r="64" spans="1:36" x14ac:dyDescent="0.25">
      <c r="A64" s="17">
        <f t="shared" si="10"/>
        <v>62</v>
      </c>
      <c r="B64" s="17">
        <f t="shared" si="5"/>
        <v>6</v>
      </c>
      <c r="C64" s="23">
        <f>IFERROR(IPMT(Assumptions!$D$16/12,Model_30y!A64, 360,Assumptions!$D$8), 0)</f>
        <v>-1784.4923106721642</v>
      </c>
      <c r="D64" s="2">
        <f>IFERROR(PPMT(Assumptions!$D$16/12, Model_30y!A64, 360, Assumptions!$D$8), 0)</f>
        <v>-413.96532226077375</v>
      </c>
      <c r="E64" s="2">
        <f t="shared" si="0"/>
        <v>-2198.4576329329379</v>
      </c>
      <c r="F64" s="2">
        <f>IF(I63&gt;1, Assumptions!$E$18, 0)*-1</f>
        <v>-2198.4576329329379</v>
      </c>
      <c r="G64" s="24">
        <f t="shared" si="1"/>
        <v>1</v>
      </c>
      <c r="H64" s="20">
        <f t="shared" si="6"/>
        <v>21754.624130802898</v>
      </c>
      <c r="I64" s="2">
        <f>MAX(Assumptions!$D$8-SUM(Model_30y!H64), 0)</f>
        <v>318245.37586919707</v>
      </c>
      <c r="J64" s="2">
        <f>J63*(1+(Assumptions!$E$51))</f>
        <v>546848.43711509602</v>
      </c>
      <c r="K64" s="22">
        <f t="shared" si="7"/>
        <v>228603.06124589895</v>
      </c>
      <c r="L64" s="5">
        <f t="shared" si="8"/>
        <v>106754.62413080294</v>
      </c>
      <c r="M64" s="63">
        <f>L64/Assumptions!$D$6</f>
        <v>0.25118735089600691</v>
      </c>
      <c r="N64" s="24">
        <f t="shared" si="17"/>
        <v>0</v>
      </c>
      <c r="O64" s="5">
        <f>N64*Assumptions!$E$25*-1</f>
        <v>0</v>
      </c>
      <c r="P64" s="20">
        <f>Assumptions!$E$35*J64*-1</f>
        <v>-1126.4182448764921</v>
      </c>
      <c r="Q64" s="5">
        <f>J64*Assumptions!$E$36*-1</f>
        <v>-453.63162135760263</v>
      </c>
      <c r="R64" s="5">
        <f>(R52+(Model_30y!R52*Assumptions!$D$51))</f>
        <v>-414.68515101562502</v>
      </c>
      <c r="S64" s="5">
        <f>S52+(S52*Assumptions!$D$51)</f>
        <v>0</v>
      </c>
      <c r="T64" s="5">
        <f t="shared" si="12"/>
        <v>0</v>
      </c>
      <c r="U64" s="22">
        <f t="shared" si="2"/>
        <v>-1994.7350172497197</v>
      </c>
      <c r="V64" s="5">
        <f>MAX(Assumptions!$E$18:$E$19)-U64</f>
        <v>4836.3680290484162</v>
      </c>
      <c r="W64" s="5">
        <f t="shared" si="3"/>
        <v>-2198.4576329329379</v>
      </c>
      <c r="X64" s="5">
        <f t="shared" si="9"/>
        <v>-1994.7350172497197</v>
      </c>
      <c r="Y64" s="5">
        <f>C64*Assumptions!$D$44*-1</f>
        <v>267.67384660082462</v>
      </c>
      <c r="Z64" s="5">
        <f t="shared" si="4"/>
        <v>910.84922546658322</v>
      </c>
      <c r="AA64" s="5">
        <f t="shared" si="13"/>
        <v>69379.27581893091</v>
      </c>
      <c r="AB64" s="3">
        <f>Assumptions!$E$45</f>
        <v>6.9899151946608562E-3</v>
      </c>
      <c r="AC64" s="5">
        <f t="shared" si="14"/>
        <v>70775.080298638801</v>
      </c>
      <c r="AD64" s="5">
        <f>AC64*Assumptions!$E$43</f>
        <v>63.384427887520431</v>
      </c>
      <c r="AE64" s="2">
        <f>AD64*Assumptions!$D$44*-1</f>
        <v>-9.5076641831280639</v>
      </c>
      <c r="AF64" s="2">
        <f>AC64*Assumptions!$E$46*-1</f>
        <v>-2.3587369394132018</v>
      </c>
      <c r="AG64" s="22">
        <f t="shared" si="15"/>
        <v>70763.213897516252</v>
      </c>
      <c r="AH64" s="5">
        <f>Model_30y[[#This Row],[Mortgage Payment]]+Model_30y[[#This Row],[Total Upkeep]]+Model_30y[[#This Row],[Monthly Investment]]</f>
        <v>-3282.343424716074</v>
      </c>
      <c r="AI64" s="5">
        <f>Model_Renter!D64*-1</f>
        <v>3311.390751722578</v>
      </c>
      <c r="AJ64" s="5">
        <f t="shared" si="16"/>
        <v>29.04732700650402</v>
      </c>
    </row>
    <row r="65" spans="1:36" x14ac:dyDescent="0.25">
      <c r="A65" s="17">
        <f t="shared" si="10"/>
        <v>63</v>
      </c>
      <c r="B65" s="17">
        <f t="shared" si="5"/>
        <v>6</v>
      </c>
      <c r="C65" s="23">
        <f>IFERROR(IPMT(Assumptions!$D$16/12,Model_30y!A65, 360,Assumptions!$D$8), 0)</f>
        <v>-1782.174104867504</v>
      </c>
      <c r="D65" s="2">
        <f>IFERROR(PPMT(Assumptions!$D$16/12, Model_30y!A65, 360, Assumptions!$D$8), 0)</f>
        <v>-416.2835280654341</v>
      </c>
      <c r="E65" s="2">
        <f t="shared" si="0"/>
        <v>-2198.4576329329379</v>
      </c>
      <c r="F65" s="2">
        <f>IF(I64&gt;1, Assumptions!$E$18, 0)*-1</f>
        <v>-2198.4576329329379</v>
      </c>
      <c r="G65" s="24">
        <f t="shared" si="1"/>
        <v>1</v>
      </c>
      <c r="H65" s="20">
        <f t="shared" si="6"/>
        <v>22170.907658868331</v>
      </c>
      <c r="I65" s="2">
        <f>MAX(Assumptions!$D$8-SUM(Model_30y!H65), 0)</f>
        <v>317829.09234113165</v>
      </c>
      <c r="J65" s="2">
        <f>J64*(1+(Assumptions!$E$51))</f>
        <v>549076.36533879756</v>
      </c>
      <c r="K65" s="22">
        <f t="shared" si="7"/>
        <v>231247.27299766592</v>
      </c>
      <c r="L65" s="5">
        <f t="shared" si="8"/>
        <v>107170.90765886838</v>
      </c>
      <c r="M65" s="63">
        <f>L65/Assumptions!$D$6</f>
        <v>0.25216684155027852</v>
      </c>
      <c r="N65" s="24">
        <f t="shared" si="17"/>
        <v>0</v>
      </c>
      <c r="O65" s="5">
        <f>N65*Assumptions!$E$25*-1</f>
        <v>0</v>
      </c>
      <c r="P65" s="20">
        <f>Assumptions!$E$35*J65*-1</f>
        <v>-1131.0074122382787</v>
      </c>
      <c r="Q65" s="5">
        <f>J65*Assumptions!$E$36*-1</f>
        <v>-455.47977273519058</v>
      </c>
      <c r="R65" s="5">
        <f>(R53+(Model_30y!R53*Assumptions!$D$51))</f>
        <v>-414.68515101562502</v>
      </c>
      <c r="S65" s="5">
        <f>S53+(S53*Assumptions!$D$51)</f>
        <v>0</v>
      </c>
      <c r="T65" s="5">
        <f t="shared" si="12"/>
        <v>0</v>
      </c>
      <c r="U65" s="22">
        <f t="shared" si="2"/>
        <v>-2001.1723359890943</v>
      </c>
      <c r="V65" s="5">
        <f>MAX(Assumptions!$E$18:$E$19)-U65</f>
        <v>4842.8053477877911</v>
      </c>
      <c r="W65" s="5">
        <f t="shared" si="3"/>
        <v>-2198.4576329329379</v>
      </c>
      <c r="X65" s="5">
        <f t="shared" si="9"/>
        <v>-2001.1723359890943</v>
      </c>
      <c r="Y65" s="5">
        <f>C65*Assumptions!$D$44*-1</f>
        <v>267.32611573012559</v>
      </c>
      <c r="Z65" s="5">
        <f t="shared" si="4"/>
        <v>910.50149459588442</v>
      </c>
      <c r="AA65" s="5">
        <f t="shared" si="13"/>
        <v>70763.213897516252</v>
      </c>
      <c r="AB65" s="3">
        <f>Assumptions!$E$45</f>
        <v>6.9899151946608562E-3</v>
      </c>
      <c r="AC65" s="5">
        <f t="shared" si="14"/>
        <v>72168.344256157419</v>
      </c>
      <c r="AD65" s="5">
        <f>AC65*Assumptions!$E$43</f>
        <v>64.632200952149773</v>
      </c>
      <c r="AE65" s="2">
        <f>AD65*Assumptions!$D$44*-1</f>
        <v>-9.6948301428224664</v>
      </c>
      <c r="AF65" s="2">
        <f>AC65*Assumptions!$E$46*-1</f>
        <v>-2.4051705591150139</v>
      </c>
      <c r="AG65" s="22">
        <f t="shared" si="15"/>
        <v>72156.244255455487</v>
      </c>
      <c r="AH65" s="5">
        <f>Model_30y[[#This Row],[Mortgage Payment]]+Model_30y[[#This Row],[Total Upkeep]]+Model_30y[[#This Row],[Monthly Investment]]</f>
        <v>-3289.1284743261476</v>
      </c>
      <c r="AI65" s="5">
        <f>Model_Renter!D65*-1</f>
        <v>3311.390751722578</v>
      </c>
      <c r="AJ65" s="5">
        <f t="shared" si="16"/>
        <v>22.262277396430363</v>
      </c>
    </row>
    <row r="66" spans="1:36" x14ac:dyDescent="0.25">
      <c r="A66" s="17">
        <f t="shared" si="10"/>
        <v>64</v>
      </c>
      <c r="B66" s="17">
        <f t="shared" si="5"/>
        <v>6</v>
      </c>
      <c r="C66" s="23">
        <f>IFERROR(IPMT(Assumptions!$D$16/12,Model_30y!A66, 360,Assumptions!$D$8), 0)</f>
        <v>-1779.8429171103376</v>
      </c>
      <c r="D66" s="2">
        <f>IFERROR(PPMT(Assumptions!$D$16/12, Model_30y!A66, 360, Assumptions!$D$8), 0)</f>
        <v>-418.61471582260049</v>
      </c>
      <c r="E66" s="2">
        <f t="shared" ref="E66:E129" si="18">SUM(C66:D66)</f>
        <v>-2198.4576329329379</v>
      </c>
      <c r="F66" s="2">
        <f>IF(I65&gt;1, Assumptions!$E$18, 0)*-1</f>
        <v>-2198.4576329329379</v>
      </c>
      <c r="G66" s="24">
        <f t="shared" ref="G66:G129" si="19">IF(E66+F66&lt;1, 1, 0)</f>
        <v>1</v>
      </c>
      <c r="H66" s="20">
        <f t="shared" si="6"/>
        <v>22589.522374690932</v>
      </c>
      <c r="I66" s="2">
        <f>MAX(Assumptions!$D$8-SUM(Model_30y!H66), 0)</f>
        <v>317410.47762530908</v>
      </c>
      <c r="J66" s="2">
        <f>J65*(1+(Assumptions!$E$51))</f>
        <v>551313.3704178636</v>
      </c>
      <c r="K66" s="22">
        <f t="shared" ref="K66:K129" si="20">(J66-I66)</f>
        <v>233902.89279255451</v>
      </c>
      <c r="L66" s="5">
        <f t="shared" si="8"/>
        <v>107589.52237469098</v>
      </c>
      <c r="M66" s="63">
        <f>L66/Assumptions!$D$6</f>
        <v>0.25315181735221404</v>
      </c>
      <c r="N66" s="24">
        <f t="shared" si="17"/>
        <v>0</v>
      </c>
      <c r="O66" s="5">
        <f>N66*Assumptions!$E$25*-1</f>
        <v>0</v>
      </c>
      <c r="P66" s="20">
        <f>Assumptions!$E$35*J66*-1</f>
        <v>-1135.6152764359615</v>
      </c>
      <c r="Q66" s="5">
        <f>J66*Assumptions!$E$36*-1</f>
        <v>-457.33545371026179</v>
      </c>
      <c r="R66" s="5">
        <f>(R54+(Model_30y!R54*Assumptions!$D$51))</f>
        <v>-414.68515101562502</v>
      </c>
      <c r="S66" s="5">
        <f>S54+(S54*Assumptions!$D$51)</f>
        <v>0</v>
      </c>
      <c r="T66" s="5">
        <f t="shared" si="12"/>
        <v>0</v>
      </c>
      <c r="U66" s="22">
        <f t="shared" ref="U66:U129" si="21">SUM(P66:T66)</f>
        <v>-2007.6358811618484</v>
      </c>
      <c r="V66" s="5">
        <f>MAX(Assumptions!$E$18:$E$19)-U66</f>
        <v>4849.2688929605447</v>
      </c>
      <c r="W66" s="5">
        <f t="shared" ref="W66:W129" si="22">F66</f>
        <v>-2198.4576329329379</v>
      </c>
      <c r="X66" s="5">
        <f t="shared" si="9"/>
        <v>-2007.6358811618484</v>
      </c>
      <c r="Y66" s="5">
        <f>C66*Assumptions!$D$44*-1</f>
        <v>266.9764375665506</v>
      </c>
      <c r="Z66" s="5">
        <f t="shared" ref="Z66:Z129" si="23">SUM(V66:Y66)</f>
        <v>910.15181643230903</v>
      </c>
      <c r="AA66" s="5">
        <f t="shared" si="13"/>
        <v>72156.244255455487</v>
      </c>
      <c r="AB66" s="3">
        <f>Assumptions!$E$45</f>
        <v>6.9899151946608562E-3</v>
      </c>
      <c r="AC66" s="5">
        <f t="shared" si="14"/>
        <v>73570.762099998668</v>
      </c>
      <c r="AD66" s="5">
        <f>AC66*Assumptions!$E$43</f>
        <v>65.888172013094476</v>
      </c>
      <c r="AE66" s="2">
        <f>AD66*Assumptions!$D$44*-1</f>
        <v>-9.883225801964171</v>
      </c>
      <c r="AF66" s="2">
        <f>AC66*Assumptions!$E$46*-1</f>
        <v>-2.4519092524347892</v>
      </c>
      <c r="AG66" s="22">
        <f t="shared" si="15"/>
        <v>73558.426964944272</v>
      </c>
      <c r="AH66" s="5">
        <f>Model_30y[[#This Row],[Mortgage Payment]]+Model_30y[[#This Row],[Total Upkeep]]+Model_30y[[#This Row],[Monthly Investment]]</f>
        <v>-3295.9416976624771</v>
      </c>
      <c r="AI66" s="5">
        <f>Model_Renter!D66*-1</f>
        <v>3311.390751722578</v>
      </c>
      <c r="AJ66" s="5">
        <f t="shared" si="16"/>
        <v>15.449054060100934</v>
      </c>
    </row>
    <row r="67" spans="1:36" x14ac:dyDescent="0.25">
      <c r="A67" s="17">
        <f t="shared" si="10"/>
        <v>65</v>
      </c>
      <c r="B67" s="17">
        <f t="shared" ref="B67:B130" si="24">ROUNDUP(A67/12,0)</f>
        <v>6</v>
      </c>
      <c r="C67" s="23">
        <f>IFERROR(IPMT(Assumptions!$D$16/12,Model_30y!A67, 360,Assumptions!$D$8), 0)</f>
        <v>-1777.4986747017308</v>
      </c>
      <c r="D67" s="2">
        <f>IFERROR(PPMT(Assumptions!$D$16/12, Model_30y!A67, 360, Assumptions!$D$8), 0)</f>
        <v>-420.95895823120708</v>
      </c>
      <c r="E67" s="2">
        <f t="shared" si="18"/>
        <v>-2198.4576329329379</v>
      </c>
      <c r="F67" s="2">
        <f>IF(I66&gt;1, Assumptions!$E$18, 0)*-1</f>
        <v>-2198.4576329329379</v>
      </c>
      <c r="G67" s="24">
        <f t="shared" si="19"/>
        <v>1</v>
      </c>
      <c r="H67" s="20">
        <f t="shared" ref="H67:H130" si="25">H66+D67*-1</f>
        <v>23010.48133292214</v>
      </c>
      <c r="I67" s="2">
        <f>MAX(Assumptions!$D$8-SUM(Model_30y!H67), 0)</f>
        <v>316989.51866707788</v>
      </c>
      <c r="J67" s="2">
        <f>J66*(1+(Assumptions!$E$51))</f>
        <v>553559.48933252634</v>
      </c>
      <c r="K67" s="22">
        <f t="shared" si="20"/>
        <v>236569.97066544846</v>
      </c>
      <c r="L67" s="5">
        <f t="shared" ref="L67:L130" si="26">L66+D67*-1</f>
        <v>108010.48133292218</v>
      </c>
      <c r="M67" s="63">
        <f>L67/Assumptions!$D$6</f>
        <v>0.25414230901864043</v>
      </c>
      <c r="N67" s="24">
        <f t="shared" si="17"/>
        <v>0</v>
      </c>
      <c r="O67" s="5">
        <f>N67*Assumptions!$E$25*-1</f>
        <v>0</v>
      </c>
      <c r="P67" s="20">
        <f>Assumptions!$E$35*J67*-1</f>
        <v>-1140.2419136427636</v>
      </c>
      <c r="Q67" s="5">
        <f>J67*Assumptions!$E$36*-1</f>
        <v>-459.19869495932841</v>
      </c>
      <c r="R67" s="5">
        <f>(R55+(Model_30y!R55*Assumptions!$D$51))</f>
        <v>-414.68515101562502</v>
      </c>
      <c r="S67" s="5">
        <f>S55+(S55*Assumptions!$D$51)</f>
        <v>0</v>
      </c>
      <c r="T67" s="5">
        <f t="shared" si="12"/>
        <v>0</v>
      </c>
      <c r="U67" s="22">
        <f t="shared" si="21"/>
        <v>-2014.125759617717</v>
      </c>
      <c r="V67" s="5">
        <f>MAX(Assumptions!$E$18:$E$19)-U67</f>
        <v>4855.7587714164138</v>
      </c>
      <c r="W67" s="5">
        <f t="shared" si="22"/>
        <v>-2198.4576329329379</v>
      </c>
      <c r="X67" s="5">
        <f t="shared" ref="X67:X130" si="27">U67</f>
        <v>-2014.125759617717</v>
      </c>
      <c r="Y67" s="5">
        <f>C67*Assumptions!$D$44*-1</f>
        <v>266.62480120525959</v>
      </c>
      <c r="Z67" s="5">
        <f t="shared" si="23"/>
        <v>909.80018007101842</v>
      </c>
      <c r="AA67" s="5">
        <f t="shared" si="13"/>
        <v>73558.426964944272</v>
      </c>
      <c r="AB67" s="3">
        <f>Assumptions!$E$45</f>
        <v>6.9899151946608562E-3</v>
      </c>
      <c r="AC67" s="5">
        <f t="shared" si="14"/>
        <v>74982.394311352909</v>
      </c>
      <c r="AD67" s="5">
        <f>AC67*Assumptions!$E$43</f>
        <v>67.152395235826788</v>
      </c>
      <c r="AE67" s="2">
        <f>AD67*Assumptions!$D$44*-1</f>
        <v>-10.072859285374017</v>
      </c>
      <c r="AF67" s="2">
        <f>AC67*Assumptions!$E$46*-1</f>
        <v>-2.4989550350426946</v>
      </c>
      <c r="AG67" s="22">
        <f t="shared" si="15"/>
        <v>74969.822497032495</v>
      </c>
      <c r="AH67" s="5">
        <f>Model_30y[[#This Row],[Mortgage Payment]]+Model_30y[[#This Row],[Total Upkeep]]+Model_30y[[#This Row],[Monthly Investment]]</f>
        <v>-3302.7832124796364</v>
      </c>
      <c r="AI67" s="5">
        <f>Model_Renter!D67*-1</f>
        <v>3311.390751722578</v>
      </c>
      <c r="AJ67" s="5">
        <f t="shared" si="16"/>
        <v>8.6075392429415842</v>
      </c>
    </row>
    <row r="68" spans="1:36" x14ac:dyDescent="0.25">
      <c r="A68" s="17">
        <f t="shared" ref="A68:A131" si="28">A67+1</f>
        <v>66</v>
      </c>
      <c r="B68" s="17">
        <f t="shared" si="24"/>
        <v>6</v>
      </c>
      <c r="C68" s="23">
        <f>IFERROR(IPMT(Assumptions!$D$16/12,Model_30y!A68, 360,Assumptions!$D$8), 0)</f>
        <v>-1775.1413045356362</v>
      </c>
      <c r="D68" s="2">
        <f>IFERROR(PPMT(Assumptions!$D$16/12, Model_30y!A68, 360, Assumptions!$D$8), 0)</f>
        <v>-423.31632839730179</v>
      </c>
      <c r="E68" s="2">
        <f t="shared" si="18"/>
        <v>-2198.4576329329379</v>
      </c>
      <c r="F68" s="2">
        <f>IF(I67&gt;1, Assumptions!$E$18, 0)*-1</f>
        <v>-2198.4576329329379</v>
      </c>
      <c r="G68" s="24">
        <f t="shared" si="19"/>
        <v>1</v>
      </c>
      <c r="H68" s="20">
        <f t="shared" si="25"/>
        <v>23433.797661319441</v>
      </c>
      <c r="I68" s="2">
        <f>MAX(Assumptions!$D$8-SUM(Model_30y!H68), 0)</f>
        <v>316566.20233868057</v>
      </c>
      <c r="J68" s="2">
        <f>J67*(1+(Assumptions!$E$51))</f>
        <v>555814.75921368017</v>
      </c>
      <c r="K68" s="22">
        <f t="shared" si="20"/>
        <v>239248.5568749996</v>
      </c>
      <c r="L68" s="5">
        <f t="shared" si="26"/>
        <v>108433.79766131948</v>
      </c>
      <c r="M68" s="63">
        <f>L68/Assumptions!$D$6</f>
        <v>0.25513834743839875</v>
      </c>
      <c r="N68" s="24">
        <f t="shared" si="17"/>
        <v>0</v>
      </c>
      <c r="O68" s="5">
        <f>N68*Assumptions!$E$25*-1</f>
        <v>0</v>
      </c>
      <c r="P68" s="20">
        <f>Assumptions!$E$35*J68*-1</f>
        <v>-1144.8874003422482</v>
      </c>
      <c r="Q68" s="5">
        <f>J68*Assumptions!$E$36*-1</f>
        <v>-461.06952728388245</v>
      </c>
      <c r="R68" s="5">
        <f>(R56+(Model_30y!R56*Assumptions!$D$51))</f>
        <v>-414.68515101562502</v>
      </c>
      <c r="S68" s="5">
        <f>S56+(S56*Assumptions!$D$51)</f>
        <v>0</v>
      </c>
      <c r="T68" s="5">
        <f t="shared" ref="T68:T131" si="29">O68</f>
        <v>0</v>
      </c>
      <c r="U68" s="22">
        <f t="shared" si="21"/>
        <v>-2020.6420786417557</v>
      </c>
      <c r="V68" s="5">
        <f>MAX(Assumptions!$E$18:$E$19)-U68</f>
        <v>4862.2750904404529</v>
      </c>
      <c r="W68" s="5">
        <f t="shared" si="22"/>
        <v>-2198.4576329329379</v>
      </c>
      <c r="X68" s="5">
        <f t="shared" si="27"/>
        <v>-2020.6420786417557</v>
      </c>
      <c r="Y68" s="5">
        <f>C68*Assumptions!$D$44*-1</f>
        <v>266.27119568034544</v>
      </c>
      <c r="Z68" s="5">
        <f t="shared" si="23"/>
        <v>909.44657454610478</v>
      </c>
      <c r="AA68" s="5">
        <f t="shared" ref="AA68:AA131" si="30">AG67</f>
        <v>74969.822497032495</v>
      </c>
      <c r="AB68" s="3">
        <f>Assumptions!$E$45</f>
        <v>6.9899151946608562E-3</v>
      </c>
      <c r="AC68" s="5">
        <f t="shared" ref="AC68:AC131" si="31">(AA68+Z68)+(AA68*AB68)</f>
        <v>76403.301772991632</v>
      </c>
      <c r="AD68" s="5">
        <f>AC68*Assumptions!$E$43</f>
        <v>68.424925145465224</v>
      </c>
      <c r="AE68" s="2">
        <f>AD68*Assumptions!$D$44*-1</f>
        <v>-10.263738771819783</v>
      </c>
      <c r="AF68" s="2">
        <f>AC68*Assumptions!$E$46*-1</f>
        <v>-2.546309935992479</v>
      </c>
      <c r="AG68" s="22">
        <f t="shared" ref="AG68:AG131" si="32">AC68+SUM(AE68:AF68)</f>
        <v>76390.491724283813</v>
      </c>
      <c r="AH68" s="5">
        <f>Model_30y[[#This Row],[Mortgage Payment]]+Model_30y[[#This Row],[Total Upkeep]]+Model_30y[[#This Row],[Monthly Investment]]</f>
        <v>-3309.6531370285893</v>
      </c>
      <c r="AI68" s="5">
        <f>Model_Renter!D68*-1</f>
        <v>3311.390751722578</v>
      </c>
      <c r="AJ68" s="5">
        <f t="shared" ref="AJ68:AJ131" si="33">SUM(AH68:AI68)</f>
        <v>1.7376146939886894</v>
      </c>
    </row>
    <row r="69" spans="1:36" x14ac:dyDescent="0.25">
      <c r="A69" s="17">
        <f t="shared" si="28"/>
        <v>67</v>
      </c>
      <c r="B69" s="17">
        <f t="shared" si="24"/>
        <v>6</v>
      </c>
      <c r="C69" s="23">
        <f>IFERROR(IPMT(Assumptions!$D$16/12,Model_30y!A69, 360,Assumptions!$D$8), 0)</f>
        <v>-1772.7707330966111</v>
      </c>
      <c r="D69" s="2">
        <f>IFERROR(PPMT(Assumptions!$D$16/12, Model_30y!A69, 360, Assumptions!$D$8), 0)</f>
        <v>-425.68689983632675</v>
      </c>
      <c r="E69" s="2">
        <f t="shared" si="18"/>
        <v>-2198.4576329329379</v>
      </c>
      <c r="F69" s="2">
        <f>IF(I68&gt;1, Assumptions!$E$18, 0)*-1</f>
        <v>-2198.4576329329379</v>
      </c>
      <c r="G69" s="24">
        <f t="shared" si="19"/>
        <v>1</v>
      </c>
      <c r="H69" s="20">
        <f t="shared" si="25"/>
        <v>23859.484561155768</v>
      </c>
      <c r="I69" s="2">
        <f>MAX(Assumptions!$D$8-SUM(Model_30y!H69), 0)</f>
        <v>316140.51543884422</v>
      </c>
      <c r="J69" s="2">
        <f>J68*(1+(Assumptions!$E$51))</f>
        <v>558079.21734349546</v>
      </c>
      <c r="K69" s="22">
        <f t="shared" si="20"/>
        <v>241938.70190465124</v>
      </c>
      <c r="L69" s="5">
        <f t="shared" si="26"/>
        <v>108859.4845611558</v>
      </c>
      <c r="M69" s="63">
        <f>L69/Assumptions!$D$6</f>
        <v>0.25613996367330777</v>
      </c>
      <c r="N69" s="24">
        <f t="shared" si="17"/>
        <v>0</v>
      </c>
      <c r="O69" s="5">
        <f>N69*Assumptions!$E$25*-1</f>
        <v>0</v>
      </c>
      <c r="P69" s="20">
        <f>Assumptions!$E$35*J69*-1</f>
        <v>-1149.5518133295818</v>
      </c>
      <c r="Q69" s="5">
        <f>J69*Assumptions!$E$36*-1</f>
        <v>-462.94798161090523</v>
      </c>
      <c r="R69" s="5">
        <f>(R57+(Model_30y!R57*Assumptions!$D$51))</f>
        <v>-414.68515101562502</v>
      </c>
      <c r="S69" s="5">
        <f>S57+(S57*Assumptions!$D$51)</f>
        <v>0</v>
      </c>
      <c r="T69" s="5">
        <f t="shared" si="29"/>
        <v>0</v>
      </c>
      <c r="U69" s="22">
        <f t="shared" si="21"/>
        <v>-2027.184945956112</v>
      </c>
      <c r="V69" s="5">
        <f>MAX(Assumptions!$E$18:$E$19)-U69</f>
        <v>4868.817957754809</v>
      </c>
      <c r="W69" s="5">
        <f t="shared" si="22"/>
        <v>-2198.4576329329379</v>
      </c>
      <c r="X69" s="5">
        <f t="shared" si="27"/>
        <v>-2027.184945956112</v>
      </c>
      <c r="Y69" s="5">
        <f>C69*Assumptions!$D$44*-1</f>
        <v>265.91560996449164</v>
      </c>
      <c r="Z69" s="5">
        <f t="shared" si="23"/>
        <v>909.09098883025069</v>
      </c>
      <c r="AA69" s="5">
        <f t="shared" si="30"/>
        <v>76390.491724283813</v>
      </c>
      <c r="AB69" s="3">
        <f>Assumptions!$E$45</f>
        <v>6.9899151946608562E-3</v>
      </c>
      <c r="AC69" s="5">
        <f t="shared" si="31"/>
        <v>77833.545771945253</v>
      </c>
      <c r="AD69" s="5">
        <f>AC69*Assumptions!$E$43</f>
        <v>69.705816629172631</v>
      </c>
      <c r="AE69" s="2">
        <f>AD69*Assumptions!$D$44*-1</f>
        <v>-10.455872494375894</v>
      </c>
      <c r="AF69" s="2">
        <f>AC69*Assumptions!$E$46*-1</f>
        <v>-2.5939759978107211</v>
      </c>
      <c r="AG69" s="22">
        <f t="shared" si="32"/>
        <v>77820.495923453069</v>
      </c>
      <c r="AH69" s="5">
        <f>Model_30y[[#This Row],[Mortgage Payment]]+Model_30y[[#This Row],[Total Upkeep]]+Model_30y[[#This Row],[Monthly Investment]]</f>
        <v>-3316.5515900587993</v>
      </c>
      <c r="AI69" s="5">
        <f>Model_Renter!D69*-1</f>
        <v>3311.390751722578</v>
      </c>
      <c r="AJ69" s="5">
        <f t="shared" si="33"/>
        <v>-5.1608383362213317</v>
      </c>
    </row>
    <row r="70" spans="1:36" x14ac:dyDescent="0.25">
      <c r="A70" s="17">
        <f t="shared" si="28"/>
        <v>68</v>
      </c>
      <c r="B70" s="17">
        <f t="shared" si="24"/>
        <v>6</v>
      </c>
      <c r="C70" s="23">
        <f>IFERROR(IPMT(Assumptions!$D$16/12,Model_30y!A70, 360,Assumptions!$D$8), 0)</f>
        <v>-1770.3868864575277</v>
      </c>
      <c r="D70" s="2">
        <f>IFERROR(PPMT(Assumptions!$D$16/12, Model_30y!A70, 360, Assumptions!$D$8), 0)</f>
        <v>-428.07074647541015</v>
      </c>
      <c r="E70" s="2">
        <f t="shared" si="18"/>
        <v>-2198.4576329329379</v>
      </c>
      <c r="F70" s="2">
        <f>IF(I69&gt;1, Assumptions!$E$18, 0)*-1</f>
        <v>-2198.4576329329379</v>
      </c>
      <c r="G70" s="24">
        <f t="shared" si="19"/>
        <v>1</v>
      </c>
      <c r="H70" s="20">
        <f t="shared" si="25"/>
        <v>24287.555307631177</v>
      </c>
      <c r="I70" s="2">
        <f>MAX(Assumptions!$D$8-SUM(Model_30y!H70), 0)</f>
        <v>315712.44469236885</v>
      </c>
      <c r="J70" s="2">
        <f>J69*(1+(Assumptions!$E$51))</f>
        <v>560352.90115603444</v>
      </c>
      <c r="K70" s="22">
        <f t="shared" si="20"/>
        <v>244640.45646366559</v>
      </c>
      <c r="L70" s="5">
        <f t="shared" si="26"/>
        <v>109287.55530763121</v>
      </c>
      <c r="M70" s="63">
        <f>L70/Assumptions!$D$6</f>
        <v>0.25714718895913224</v>
      </c>
      <c r="N70" s="24">
        <f t="shared" si="17"/>
        <v>0</v>
      </c>
      <c r="O70" s="5">
        <f>N70*Assumptions!$E$25*-1</f>
        <v>0</v>
      </c>
      <c r="P70" s="20">
        <f>Assumptions!$E$35*J70*-1</f>
        <v>-1154.2352297128041</v>
      </c>
      <c r="Q70" s="5">
        <f>J70*Assumptions!$E$36*-1</f>
        <v>-464.8340889933782</v>
      </c>
      <c r="R70" s="5">
        <f>(R58+(Model_30y!R58*Assumptions!$D$51))</f>
        <v>-414.68515101562502</v>
      </c>
      <c r="S70" s="5">
        <f>S58+(S58*Assumptions!$D$51)</f>
        <v>0</v>
      </c>
      <c r="T70" s="5">
        <f t="shared" si="29"/>
        <v>0</v>
      </c>
      <c r="U70" s="22">
        <f t="shared" si="21"/>
        <v>-2033.7544697218073</v>
      </c>
      <c r="V70" s="5">
        <f>MAX(Assumptions!$E$18:$E$19)-U70</f>
        <v>4875.3874815205036</v>
      </c>
      <c r="W70" s="5">
        <f t="shared" si="22"/>
        <v>-2198.4576329329379</v>
      </c>
      <c r="X70" s="5">
        <f t="shared" si="27"/>
        <v>-2033.7544697218073</v>
      </c>
      <c r="Y70" s="5">
        <f>C70*Assumptions!$D$44*-1</f>
        <v>265.55803296862916</v>
      </c>
      <c r="Z70" s="5">
        <f t="shared" si="23"/>
        <v>908.73341183438754</v>
      </c>
      <c r="AA70" s="5">
        <f t="shared" si="30"/>
        <v>77820.495923453069</v>
      </c>
      <c r="AB70" s="3">
        <f>Assumptions!$E$45</f>
        <v>6.9899151946608562E-3</v>
      </c>
      <c r="AC70" s="5">
        <f t="shared" si="31"/>
        <v>79273.188002198847</v>
      </c>
      <c r="AD70" s="5">
        <f>AC70*Assumptions!$E$43</f>
        <v>70.995124938570527</v>
      </c>
      <c r="AE70" s="2">
        <f>AD70*Assumptions!$D$44*-1</f>
        <v>-10.649268740785578</v>
      </c>
      <c r="AF70" s="2">
        <f>AC70*Assumptions!$E$46*-1</f>
        <v>-2.6419552765866672</v>
      </c>
      <c r="AG70" s="22">
        <f t="shared" si="32"/>
        <v>79259.896778181472</v>
      </c>
      <c r="AH70" s="5">
        <f>Model_30y[[#This Row],[Mortgage Payment]]+Model_30y[[#This Row],[Total Upkeep]]+Model_30y[[#This Row],[Monthly Investment]]</f>
        <v>-3323.4786908203573</v>
      </c>
      <c r="AI70" s="5">
        <f>Model_Renter!D70*-1</f>
        <v>3311.390751722578</v>
      </c>
      <c r="AJ70" s="5">
        <f t="shared" si="33"/>
        <v>-12.087939097779326</v>
      </c>
    </row>
    <row r="71" spans="1:36" x14ac:dyDescent="0.25">
      <c r="A71" s="17">
        <f t="shared" si="28"/>
        <v>69</v>
      </c>
      <c r="B71" s="17">
        <f t="shared" si="24"/>
        <v>6</v>
      </c>
      <c r="C71" s="23">
        <f>IFERROR(IPMT(Assumptions!$D$16/12,Model_30y!A71, 360,Assumptions!$D$8), 0)</f>
        <v>-1767.9896902772655</v>
      </c>
      <c r="D71" s="2">
        <f>IFERROR(PPMT(Assumptions!$D$16/12, Model_30y!A71, 360, Assumptions!$D$8), 0)</f>
        <v>-430.46794265567246</v>
      </c>
      <c r="E71" s="2">
        <f t="shared" si="18"/>
        <v>-2198.4576329329379</v>
      </c>
      <c r="F71" s="2">
        <f>IF(I70&gt;1, Assumptions!$E$18, 0)*-1</f>
        <v>-2198.4576329329379</v>
      </c>
      <c r="G71" s="24">
        <f t="shared" si="19"/>
        <v>1</v>
      </c>
      <c r="H71" s="20">
        <f t="shared" si="25"/>
        <v>24718.023250286849</v>
      </c>
      <c r="I71" s="2">
        <f>MAX(Assumptions!$D$8-SUM(Model_30y!H71), 0)</f>
        <v>315281.97674971313</v>
      </c>
      <c r="J71" s="2">
        <f>J70*(1+(Assumptions!$E$51))</f>
        <v>562635.84823787061</v>
      </c>
      <c r="K71" s="22">
        <f t="shared" si="20"/>
        <v>247353.87148815749</v>
      </c>
      <c r="L71" s="5">
        <f t="shared" si="26"/>
        <v>109718.02325028687</v>
      </c>
      <c r="M71" s="63">
        <f>L71/Assumptions!$D$6</f>
        <v>0.25816005470655734</v>
      </c>
      <c r="N71" s="24">
        <f t="shared" si="17"/>
        <v>0</v>
      </c>
      <c r="O71" s="5">
        <f>N71*Assumptions!$E$25*-1</f>
        <v>0</v>
      </c>
      <c r="P71" s="20">
        <f>Assumptions!$E$35*J71*-1</f>
        <v>-1158.9377269141019</v>
      </c>
      <c r="Q71" s="5">
        <f>J71*Assumptions!$E$36*-1</f>
        <v>-466.72788061079666</v>
      </c>
      <c r="R71" s="5">
        <f>(R59+(Model_30y!R59*Assumptions!$D$51))</f>
        <v>-414.68515101562502</v>
      </c>
      <c r="S71" s="5">
        <f>S59+(S59*Assumptions!$D$51)</f>
        <v>0</v>
      </c>
      <c r="T71" s="5">
        <f t="shared" si="29"/>
        <v>0</v>
      </c>
      <c r="U71" s="22">
        <f t="shared" si="21"/>
        <v>-2040.3507585405234</v>
      </c>
      <c r="V71" s="5">
        <f>MAX(Assumptions!$E$18:$E$19)-U71</f>
        <v>4881.9837703392204</v>
      </c>
      <c r="W71" s="5">
        <f t="shared" si="22"/>
        <v>-2198.4576329329379</v>
      </c>
      <c r="X71" s="5">
        <f t="shared" si="27"/>
        <v>-2040.3507585405234</v>
      </c>
      <c r="Y71" s="5">
        <f>C71*Assumptions!$D$44*-1</f>
        <v>265.1984535415898</v>
      </c>
      <c r="Z71" s="5">
        <f t="shared" si="23"/>
        <v>908.3738324073488</v>
      </c>
      <c r="AA71" s="5">
        <f t="shared" si="30"/>
        <v>79259.896778181472</v>
      </c>
      <c r="AB71" s="3">
        <f>Assumptions!$E$45</f>
        <v>6.9899151946608562E-3</v>
      </c>
      <c r="AC71" s="5">
        <f t="shared" si="31"/>
        <v>80722.290567405886</v>
      </c>
      <c r="AD71" s="5">
        <f>AC71*Assumptions!$E$43</f>
        <v>72.29290569216937</v>
      </c>
      <c r="AE71" s="2">
        <f>AD71*Assumptions!$D$44*-1</f>
        <v>-10.843935853825405</v>
      </c>
      <c r="AF71" s="2">
        <f>AC71*Assumptions!$E$46*-1</f>
        <v>-2.6902498420626744</v>
      </c>
      <c r="AG71" s="22">
        <f t="shared" si="32"/>
        <v>80708.756381710002</v>
      </c>
      <c r="AH71" s="5">
        <f>Model_30y[[#This Row],[Mortgage Payment]]+Model_30y[[#This Row],[Total Upkeep]]+Model_30y[[#This Row],[Monthly Investment]]</f>
        <v>-3330.4345590661128</v>
      </c>
      <c r="AI71" s="5">
        <f>Model_Renter!D71*-1</f>
        <v>3311.390751722578</v>
      </c>
      <c r="AJ71" s="5">
        <f t="shared" si="33"/>
        <v>-19.043807343534809</v>
      </c>
    </row>
    <row r="72" spans="1:36" x14ac:dyDescent="0.25">
      <c r="A72" s="17">
        <f t="shared" si="28"/>
        <v>70</v>
      </c>
      <c r="B72" s="17">
        <f t="shared" si="24"/>
        <v>6</v>
      </c>
      <c r="C72" s="23">
        <f>IFERROR(IPMT(Assumptions!$D$16/12,Model_30y!A72, 360,Assumptions!$D$8), 0)</f>
        <v>-1765.5790697983939</v>
      </c>
      <c r="D72" s="2">
        <f>IFERROR(PPMT(Assumptions!$D$16/12, Model_30y!A72, 360, Assumptions!$D$8), 0)</f>
        <v>-432.87856313454427</v>
      </c>
      <c r="E72" s="2">
        <f t="shared" si="18"/>
        <v>-2198.4576329329384</v>
      </c>
      <c r="F72" s="2">
        <f>IF(I71&gt;1, Assumptions!$E$18, 0)*-1</f>
        <v>-2198.4576329329379</v>
      </c>
      <c r="G72" s="24">
        <f t="shared" si="19"/>
        <v>1</v>
      </c>
      <c r="H72" s="20">
        <f t="shared" si="25"/>
        <v>25150.901813421395</v>
      </c>
      <c r="I72" s="2">
        <f>MAX(Assumptions!$D$8-SUM(Model_30y!H72), 0)</f>
        <v>314849.0981865786</v>
      </c>
      <c r="J72" s="2">
        <f>J71*(1+(Assumptions!$E$51))</f>
        <v>564928.09632870974</v>
      </c>
      <c r="K72" s="22">
        <f t="shared" si="20"/>
        <v>250078.99814213114</v>
      </c>
      <c r="L72" s="5">
        <f t="shared" si="26"/>
        <v>110150.90181342141</v>
      </c>
      <c r="M72" s="63">
        <f>L72/Assumptions!$D$6</f>
        <v>0.25917859250216801</v>
      </c>
      <c r="N72" s="24">
        <f t="shared" si="17"/>
        <v>0</v>
      </c>
      <c r="O72" s="5">
        <f>N72*Assumptions!$E$25*-1</f>
        <v>0</v>
      </c>
      <c r="P72" s="20">
        <f>Assumptions!$E$35*J72*-1</f>
        <v>-1163.65938267109</v>
      </c>
      <c r="Q72" s="5">
        <f>J72*Assumptions!$E$36*-1</f>
        <v>-468.62938776968497</v>
      </c>
      <c r="R72" s="5">
        <f>(R60+(Model_30y!R60*Assumptions!$D$51))</f>
        <v>-414.68515101562502</v>
      </c>
      <c r="S72" s="5">
        <f>S60+(S60*Assumptions!$D$51)</f>
        <v>0</v>
      </c>
      <c r="T72" s="5">
        <f t="shared" si="29"/>
        <v>0</v>
      </c>
      <c r="U72" s="22">
        <f t="shared" si="21"/>
        <v>-2046.9739214563999</v>
      </c>
      <c r="V72" s="5">
        <f>MAX(Assumptions!$E$18:$E$19)-U72</f>
        <v>4888.6069332550969</v>
      </c>
      <c r="W72" s="5">
        <f t="shared" si="22"/>
        <v>-2198.4576329329379</v>
      </c>
      <c r="X72" s="5">
        <f t="shared" si="27"/>
        <v>-2046.9739214563999</v>
      </c>
      <c r="Y72" s="5">
        <f>C72*Assumptions!$D$44*-1</f>
        <v>264.83686046975907</v>
      </c>
      <c r="Z72" s="5">
        <f t="shared" si="23"/>
        <v>908.01223933551819</v>
      </c>
      <c r="AA72" s="5">
        <f t="shared" si="30"/>
        <v>80708.756381710002</v>
      </c>
      <c r="AB72" s="3">
        <f>Assumptions!$E$45</f>
        <v>6.9899151946608562E-3</v>
      </c>
      <c r="AC72" s="5">
        <f t="shared" si="31"/>
        <v>82180.915983620216</v>
      </c>
      <c r="AD72" s="5">
        <f>AC72*Assumptions!$E$43</f>
        <v>73.599214877815328</v>
      </c>
      <c r="AE72" s="2">
        <f>AD72*Assumptions!$D$44*-1</f>
        <v>-11.0398822316723</v>
      </c>
      <c r="AF72" s="2">
        <f>AC72*Assumptions!$E$46*-1</f>
        <v>-2.7388617777252593</v>
      </c>
      <c r="AG72" s="22">
        <f t="shared" si="32"/>
        <v>82167.13723961082</v>
      </c>
      <c r="AH72" s="5">
        <f>Model_30y[[#This Row],[Mortgage Payment]]+Model_30y[[#This Row],[Total Upkeep]]+Model_30y[[#This Row],[Monthly Investment]]</f>
        <v>-3337.4193150538199</v>
      </c>
      <c r="AI72" s="5">
        <f>Model_Renter!D72*-1</f>
        <v>3311.390751722578</v>
      </c>
      <c r="AJ72" s="5">
        <f t="shared" si="33"/>
        <v>-26.028563331241912</v>
      </c>
    </row>
    <row r="73" spans="1:36" x14ac:dyDescent="0.25">
      <c r="A73" s="17">
        <f t="shared" si="28"/>
        <v>71</v>
      </c>
      <c r="B73" s="17">
        <f t="shared" si="24"/>
        <v>6</v>
      </c>
      <c r="C73" s="23">
        <f>IFERROR(IPMT(Assumptions!$D$16/12,Model_30y!A73, 360,Assumptions!$D$8), 0)</f>
        <v>-1763.1549498448401</v>
      </c>
      <c r="D73" s="2">
        <f>IFERROR(PPMT(Assumptions!$D$16/12, Model_30y!A73, 360, Assumptions!$D$8), 0)</f>
        <v>-435.30268308809758</v>
      </c>
      <c r="E73" s="2">
        <f t="shared" si="18"/>
        <v>-2198.4576329329375</v>
      </c>
      <c r="F73" s="2">
        <f>IF(I72&gt;1, Assumptions!$E$18, 0)*-1</f>
        <v>-2198.4576329329379</v>
      </c>
      <c r="G73" s="24">
        <f t="shared" si="19"/>
        <v>1</v>
      </c>
      <c r="H73" s="20">
        <f t="shared" si="25"/>
        <v>25586.204496509494</v>
      </c>
      <c r="I73" s="2">
        <f>MAX(Assumptions!$D$8-SUM(Model_30y!H73), 0)</f>
        <v>314413.79550349049</v>
      </c>
      <c r="J73" s="2">
        <f>J72*(1+(Assumptions!$E$51))</f>
        <v>567229.68332201371</v>
      </c>
      <c r="K73" s="22">
        <f t="shared" si="20"/>
        <v>252815.88781852322</v>
      </c>
      <c r="L73" s="5">
        <f t="shared" si="26"/>
        <v>110586.20449650951</v>
      </c>
      <c r="M73" s="63">
        <f>L73/Assumptions!$D$6</f>
        <v>0.26020283410943412</v>
      </c>
      <c r="N73" s="24">
        <f t="shared" si="17"/>
        <v>0</v>
      </c>
      <c r="O73" s="5">
        <f>N73*Assumptions!$E$25*-1</f>
        <v>0</v>
      </c>
      <c r="P73" s="20">
        <f>Assumptions!$E$35*J73*-1</f>
        <v>-1168.4002750380957</v>
      </c>
      <c r="Q73" s="5">
        <f>J73*Assumptions!$E$36*-1</f>
        <v>-470.538641904114</v>
      </c>
      <c r="R73" s="5">
        <f>(R61+(Model_30y!R61*Assumptions!$D$51))</f>
        <v>-414.68515101562502</v>
      </c>
      <c r="S73" s="5">
        <f>S61+(S61*Assumptions!$D$51)</f>
        <v>0</v>
      </c>
      <c r="T73" s="5">
        <f t="shared" si="29"/>
        <v>0</v>
      </c>
      <c r="U73" s="22">
        <f t="shared" si="21"/>
        <v>-2053.624067957835</v>
      </c>
      <c r="V73" s="5">
        <f>MAX(Assumptions!$E$18:$E$19)-U73</f>
        <v>4895.2570797565313</v>
      </c>
      <c r="W73" s="5">
        <f t="shared" si="22"/>
        <v>-2198.4576329329379</v>
      </c>
      <c r="X73" s="5">
        <f t="shared" si="27"/>
        <v>-2053.624067957835</v>
      </c>
      <c r="Y73" s="5">
        <f>C73*Assumptions!$D$44*-1</f>
        <v>264.473242476726</v>
      </c>
      <c r="Z73" s="5">
        <f t="shared" si="23"/>
        <v>907.64862134248438</v>
      </c>
      <c r="AA73" s="5">
        <f t="shared" si="30"/>
        <v>82167.13723961082</v>
      </c>
      <c r="AB73" s="3">
        <f>Assumptions!$E$45</f>
        <v>6.9899151946608562E-3</v>
      </c>
      <c r="AC73" s="5">
        <f t="shared" si="31"/>
        <v>83649.127182046243</v>
      </c>
      <c r="AD73" s="5">
        <f>AC73*Assumptions!$E$43</f>
        <v>74.914108855153202</v>
      </c>
      <c r="AE73" s="2">
        <f>AD73*Assumptions!$D$44*-1</f>
        <v>-11.237116328272981</v>
      </c>
      <c r="AF73" s="2">
        <f>AC73*Assumptions!$E$46*-1</f>
        <v>-2.7877931808967538</v>
      </c>
      <c r="AG73" s="22">
        <f t="shared" si="32"/>
        <v>83635.102272537071</v>
      </c>
      <c r="AH73" s="5">
        <f>Model_30y[[#This Row],[Mortgage Payment]]+Model_30y[[#This Row],[Total Upkeep]]+Model_30y[[#This Row],[Monthly Investment]]</f>
        <v>-3344.4330795482883</v>
      </c>
      <c r="AI73" s="5">
        <f>Model_Renter!D73*-1</f>
        <v>3311.390751722578</v>
      </c>
      <c r="AJ73" s="5">
        <f t="shared" si="33"/>
        <v>-33.042327825710345</v>
      </c>
    </row>
    <row r="74" spans="1:36" x14ac:dyDescent="0.25">
      <c r="A74" s="17">
        <f t="shared" si="28"/>
        <v>72</v>
      </c>
      <c r="B74" s="17">
        <f t="shared" si="24"/>
        <v>6</v>
      </c>
      <c r="C74" s="23">
        <f>IFERROR(IPMT(Assumptions!$D$16/12,Model_30y!A74, 360,Assumptions!$D$8), 0)</f>
        <v>-1760.717254819547</v>
      </c>
      <c r="D74" s="2">
        <f>IFERROR(PPMT(Assumptions!$D$16/12, Model_30y!A74, 360, Assumptions!$D$8), 0)</f>
        <v>-437.74037811339105</v>
      </c>
      <c r="E74" s="2">
        <f t="shared" si="18"/>
        <v>-2198.4576329329379</v>
      </c>
      <c r="F74" s="2">
        <f>IF(I73&gt;1, Assumptions!$E$18, 0)*-1</f>
        <v>-2198.4576329329379</v>
      </c>
      <c r="G74" s="24">
        <f t="shared" si="19"/>
        <v>1</v>
      </c>
      <c r="H74" s="20">
        <f t="shared" si="25"/>
        <v>26023.944874622885</v>
      </c>
      <c r="I74" s="2">
        <f>MAX(Assumptions!$D$8-SUM(Model_30y!H74), 0)</f>
        <v>313976.05512537714</v>
      </c>
      <c r="J74" s="2">
        <f>J73*(1+(Assumptions!$E$51))</f>
        <v>569540.64726562728</v>
      </c>
      <c r="K74" s="22">
        <f t="shared" si="20"/>
        <v>255564.59214025014</v>
      </c>
      <c r="L74" s="5">
        <f t="shared" si="26"/>
        <v>111023.9448746229</v>
      </c>
      <c r="M74" s="63">
        <f>L74/Assumptions!$D$6</f>
        <v>0.26123281146970095</v>
      </c>
      <c r="N74" s="24">
        <f t="shared" si="17"/>
        <v>0</v>
      </c>
      <c r="O74" s="5">
        <f>N74*Assumptions!$E$25*-1</f>
        <v>0</v>
      </c>
      <c r="P74" s="20">
        <f>Assumptions!$E$35*J74*-1</f>
        <v>-1173.16048238745</v>
      </c>
      <c r="Q74" s="5">
        <f>J74*Assumptions!$E$36*-1</f>
        <v>-472.45567457622116</v>
      </c>
      <c r="R74" s="5">
        <f>(R62+(Model_30y!R62*Assumptions!$D$51))</f>
        <v>-414.68515101562502</v>
      </c>
      <c r="S74" s="5">
        <f>S62+(S62*Assumptions!$D$51)</f>
        <v>0</v>
      </c>
      <c r="T74" s="5">
        <f t="shared" si="29"/>
        <v>0</v>
      </c>
      <c r="U74" s="22">
        <f t="shared" si="21"/>
        <v>-2060.3013079792963</v>
      </c>
      <c r="V74" s="5">
        <f>MAX(Assumptions!$E$18:$E$19)-U74</f>
        <v>4901.9343197779926</v>
      </c>
      <c r="W74" s="5">
        <f t="shared" si="22"/>
        <v>-2198.4576329329379</v>
      </c>
      <c r="X74" s="5">
        <f t="shared" si="27"/>
        <v>-2060.3013079792963</v>
      </c>
      <c r="Y74" s="5">
        <f>C74*Assumptions!$D$44*-1</f>
        <v>264.10758822293201</v>
      </c>
      <c r="Z74" s="5">
        <f t="shared" si="23"/>
        <v>907.28296708869038</v>
      </c>
      <c r="AA74" s="5">
        <f t="shared" si="30"/>
        <v>83635.102272537071</v>
      </c>
      <c r="AB74" s="3">
        <f>Assumptions!$E$45</f>
        <v>6.9899151946608562E-3</v>
      </c>
      <c r="AC74" s="5">
        <f t="shared" si="31"/>
        <v>85126.987511807572</v>
      </c>
      <c r="AD74" s="5">
        <f>AC74*Assumptions!$E$43</f>
        <v>76.237644358105996</v>
      </c>
      <c r="AE74" s="2">
        <f>AD74*Assumptions!$D$44*-1</f>
        <v>-11.435646653715899</v>
      </c>
      <c r="AF74" s="2">
        <f>AC74*Assumptions!$E$46*-1</f>
        <v>-2.8370461628275772</v>
      </c>
      <c r="AG74" s="22">
        <f t="shared" si="32"/>
        <v>85112.714818991022</v>
      </c>
      <c r="AH74" s="5">
        <f>Model_30y[[#This Row],[Mortgage Payment]]+Model_30y[[#This Row],[Total Upkeep]]+Model_30y[[#This Row],[Monthly Investment]]</f>
        <v>-3351.4759738235434</v>
      </c>
      <c r="AI74" s="5">
        <f>Model_Renter!D74*-1</f>
        <v>3311.390751722578</v>
      </c>
      <c r="AJ74" s="5">
        <f t="shared" si="33"/>
        <v>-40.085222100965439</v>
      </c>
    </row>
    <row r="75" spans="1:36" x14ac:dyDescent="0.25">
      <c r="A75" s="17">
        <f t="shared" si="28"/>
        <v>73</v>
      </c>
      <c r="B75" s="17">
        <f t="shared" si="24"/>
        <v>7</v>
      </c>
      <c r="C75" s="23">
        <f>IFERROR(IPMT(Assumptions!$D$16/12,Model_30y!A75, 360,Assumptions!$D$8), 0)</f>
        <v>-1758.2659087021116</v>
      </c>
      <c r="D75" s="2">
        <f>IFERROR(PPMT(Assumptions!$D$16/12, Model_30y!A75, 360, Assumptions!$D$8), 0)</f>
        <v>-440.19172423082603</v>
      </c>
      <c r="E75" s="2">
        <f t="shared" si="18"/>
        <v>-2198.4576329329375</v>
      </c>
      <c r="F75" s="2">
        <f>IF(I74&gt;1, Assumptions!$E$18, 0)*-1</f>
        <v>-2198.4576329329379</v>
      </c>
      <c r="G75" s="24">
        <f t="shared" si="19"/>
        <v>1</v>
      </c>
      <c r="H75" s="20">
        <f t="shared" si="25"/>
        <v>26464.136598853711</v>
      </c>
      <c r="I75" s="2">
        <f>MAX(Assumptions!$D$8-SUM(Model_30y!H75), 0)</f>
        <v>313535.86340114631</v>
      </c>
      <c r="J75" s="2">
        <f>J74*(1+(Assumptions!$E$51))</f>
        <v>571861.02636240667</v>
      </c>
      <c r="K75" s="22">
        <f t="shared" si="20"/>
        <v>258325.16296126036</v>
      </c>
      <c r="L75" s="5">
        <f t="shared" si="26"/>
        <v>111464.13659885373</v>
      </c>
      <c r="M75" s="63">
        <f>L75/Assumptions!$D$6</f>
        <v>0.26226855670318522</v>
      </c>
      <c r="N75" s="24">
        <f t="shared" si="17"/>
        <v>0</v>
      </c>
      <c r="O75" s="5">
        <f>N75*Assumptions!$E$25*-1</f>
        <v>0</v>
      </c>
      <c r="P75" s="20">
        <f>Assumptions!$E$35*J75*-1</f>
        <v>-1177.940083410781</v>
      </c>
      <c r="Q75" s="5">
        <f>J75*Assumptions!$E$36*-1</f>
        <v>-474.38051747673177</v>
      </c>
      <c r="R75" s="5">
        <f>(R63+(Model_30y!R63*Assumptions!$D$51))</f>
        <v>-435.41940856640628</v>
      </c>
      <c r="S75" s="5">
        <f>S63+(S63*Assumptions!$D$51)</f>
        <v>0</v>
      </c>
      <c r="T75" s="5">
        <f t="shared" si="29"/>
        <v>0</v>
      </c>
      <c r="U75" s="22">
        <f t="shared" si="21"/>
        <v>-2087.7400094539189</v>
      </c>
      <c r="V75" s="5">
        <f>MAX(Assumptions!$E$18:$E$19)-U75</f>
        <v>4929.3730212526152</v>
      </c>
      <c r="W75" s="5">
        <f t="shared" si="22"/>
        <v>-2198.4576329329379</v>
      </c>
      <c r="X75" s="5">
        <f t="shared" si="27"/>
        <v>-2087.7400094539189</v>
      </c>
      <c r="Y75" s="5">
        <f>C75*Assumptions!$D$44*-1</f>
        <v>263.7398863053167</v>
      </c>
      <c r="Z75" s="5">
        <f t="shared" si="23"/>
        <v>906.91526517107513</v>
      </c>
      <c r="AA75" s="5">
        <f t="shared" si="30"/>
        <v>85112.714818991022</v>
      </c>
      <c r="AB75" s="3">
        <f>Assumptions!$E$45</f>
        <v>6.9899151946608562E-3</v>
      </c>
      <c r="AC75" s="5">
        <f t="shared" si="31"/>
        <v>86614.560742734204</v>
      </c>
      <c r="AD75" s="5">
        <f>AC75*Assumptions!$E$43</f>
        <v>77.569878497371093</v>
      </c>
      <c r="AE75" s="2">
        <f>AD75*Assumptions!$D$44*-1</f>
        <v>-11.635481774605664</v>
      </c>
      <c r="AF75" s="2">
        <f>AC75*Assumptions!$E$46*-1</f>
        <v>-2.8866228487891239</v>
      </c>
      <c r="AG75" s="22">
        <f t="shared" si="32"/>
        <v>86600.038638110811</v>
      </c>
      <c r="AH75" s="5">
        <f>Model_30y[[#This Row],[Mortgage Payment]]+Model_30y[[#This Row],[Total Upkeep]]+Model_30y[[#This Row],[Monthly Investment]]</f>
        <v>-3379.2823772157813</v>
      </c>
      <c r="AI75" s="5">
        <f>Model_Renter!D75*-1</f>
        <v>3435.2367658370026</v>
      </c>
      <c r="AJ75" s="5">
        <f t="shared" si="33"/>
        <v>55.954388621221369</v>
      </c>
    </row>
    <row r="76" spans="1:36" x14ac:dyDescent="0.25">
      <c r="A76" s="17">
        <f t="shared" si="28"/>
        <v>74</v>
      </c>
      <c r="B76" s="17">
        <f t="shared" si="24"/>
        <v>7</v>
      </c>
      <c r="C76" s="23">
        <f>IFERROR(IPMT(Assumptions!$D$16/12,Model_30y!A76, 360,Assumptions!$D$8), 0)</f>
        <v>-1755.8008350464193</v>
      </c>
      <c r="D76" s="2">
        <f>IFERROR(PPMT(Assumptions!$D$16/12, Model_30y!A76, 360, Assumptions!$D$8), 0)</f>
        <v>-442.65679788651858</v>
      </c>
      <c r="E76" s="2">
        <f t="shared" si="18"/>
        <v>-2198.4576329329379</v>
      </c>
      <c r="F76" s="2">
        <f>IF(I75&gt;1, Assumptions!$E$18, 0)*-1</f>
        <v>-2198.4576329329379</v>
      </c>
      <c r="G76" s="24">
        <f t="shared" si="19"/>
        <v>1</v>
      </c>
      <c r="H76" s="20">
        <f t="shared" si="25"/>
        <v>26906.793396740228</v>
      </c>
      <c r="I76" s="2">
        <f>MAX(Assumptions!$D$8-SUM(Model_30y!H76), 0)</f>
        <v>313093.20660325978</v>
      </c>
      <c r="J76" s="2">
        <f>J75*(1+(Assumptions!$E$51))</f>
        <v>574190.85897085129</v>
      </c>
      <c r="K76" s="22">
        <f t="shared" si="20"/>
        <v>261097.65236759151</v>
      </c>
      <c r="L76" s="5">
        <f t="shared" si="26"/>
        <v>111906.79339674025</v>
      </c>
      <c r="M76" s="63">
        <f>L76/Assumptions!$D$6</f>
        <v>0.26331010210997707</v>
      </c>
      <c r="N76" s="24">
        <f t="shared" si="17"/>
        <v>0</v>
      </c>
      <c r="O76" s="5">
        <f>N76*Assumptions!$E$25*-1</f>
        <v>0</v>
      </c>
      <c r="P76" s="20">
        <f>Assumptions!$E$35*J76*-1</f>
        <v>-1182.7391571203175</v>
      </c>
      <c r="Q76" s="5">
        <f>J76*Assumptions!$E$36*-1</f>
        <v>-476.31320242548315</v>
      </c>
      <c r="R76" s="5">
        <f>(R64+(Model_30y!R64*Assumptions!$D$51))</f>
        <v>-435.41940856640628</v>
      </c>
      <c r="S76" s="5">
        <f>S64+(S64*Assumptions!$D$51)</f>
        <v>0</v>
      </c>
      <c r="T76" s="5">
        <f t="shared" si="29"/>
        <v>0</v>
      </c>
      <c r="U76" s="22">
        <f t="shared" si="21"/>
        <v>-2094.471768112207</v>
      </c>
      <c r="V76" s="5">
        <f>MAX(Assumptions!$E$18:$E$19)-U76</f>
        <v>4936.1047799109037</v>
      </c>
      <c r="W76" s="5">
        <f t="shared" si="22"/>
        <v>-2198.4576329329379</v>
      </c>
      <c r="X76" s="5">
        <f t="shared" si="27"/>
        <v>-2094.471768112207</v>
      </c>
      <c r="Y76" s="5">
        <f>C76*Assumptions!$D$44*-1</f>
        <v>263.37012525696287</v>
      </c>
      <c r="Z76" s="5">
        <f t="shared" si="23"/>
        <v>906.5455041227217</v>
      </c>
      <c r="AA76" s="5">
        <f t="shared" si="30"/>
        <v>86600.038638110811</v>
      </c>
      <c r="AB76" s="3">
        <f>Assumptions!$E$45</f>
        <v>6.9899151946608562E-3</v>
      </c>
      <c r="AC76" s="5">
        <f t="shared" si="31"/>
        <v>88111.91106816828</v>
      </c>
      <c r="AD76" s="5">
        <f>AC76*Assumptions!$E$43</f>
        <v>78.910868762932921</v>
      </c>
      <c r="AE76" s="2">
        <f>AD76*Assumptions!$D$44*-1</f>
        <v>-11.836630314439939</v>
      </c>
      <c r="AF76" s="2">
        <f>AC76*Assumptions!$E$46*-1</f>
        <v>-2.936525378167274</v>
      </c>
      <c r="AG76" s="22">
        <f t="shared" si="32"/>
        <v>88097.137912475679</v>
      </c>
      <c r="AH76" s="5">
        <f>Model_30y[[#This Row],[Mortgage Payment]]+Model_30y[[#This Row],[Total Upkeep]]+Model_30y[[#This Row],[Monthly Investment]]</f>
        <v>-3386.3838969224234</v>
      </c>
      <c r="AI76" s="5">
        <f>Model_Renter!D76*-1</f>
        <v>3435.2367658370026</v>
      </c>
      <c r="AJ76" s="5">
        <f t="shared" si="33"/>
        <v>48.852868914579176</v>
      </c>
    </row>
    <row r="77" spans="1:36" x14ac:dyDescent="0.25">
      <c r="A77" s="17">
        <f t="shared" si="28"/>
        <v>75</v>
      </c>
      <c r="B77" s="17">
        <f t="shared" si="24"/>
        <v>7</v>
      </c>
      <c r="C77" s="23">
        <f>IFERROR(IPMT(Assumptions!$D$16/12,Model_30y!A77, 360,Assumptions!$D$8), 0)</f>
        <v>-1753.3219569782548</v>
      </c>
      <c r="D77" s="2">
        <f>IFERROR(PPMT(Assumptions!$D$16/12, Model_30y!A77, 360, Assumptions!$D$8), 0)</f>
        <v>-445.13567595468317</v>
      </c>
      <c r="E77" s="2">
        <f t="shared" si="18"/>
        <v>-2198.4576329329379</v>
      </c>
      <c r="F77" s="2">
        <f>IF(I76&gt;1, Assumptions!$E$18, 0)*-1</f>
        <v>-2198.4576329329379</v>
      </c>
      <c r="G77" s="24">
        <f t="shared" si="19"/>
        <v>1</v>
      </c>
      <c r="H77" s="20">
        <f t="shared" si="25"/>
        <v>27351.929072694911</v>
      </c>
      <c r="I77" s="2">
        <f>MAX(Assumptions!$D$8-SUM(Model_30y!H77), 0)</f>
        <v>312648.07092730509</v>
      </c>
      <c r="J77" s="2">
        <f>J76*(1+(Assumptions!$E$51))</f>
        <v>576530.18360573787</v>
      </c>
      <c r="K77" s="22">
        <f t="shared" si="20"/>
        <v>263882.11267843278</v>
      </c>
      <c r="L77" s="5">
        <f t="shared" si="26"/>
        <v>112351.92907269493</v>
      </c>
      <c r="M77" s="63">
        <f>L77/Assumptions!$D$6</f>
        <v>0.26435748017104688</v>
      </c>
      <c r="N77" s="24">
        <f t="shared" si="17"/>
        <v>0</v>
      </c>
      <c r="O77" s="5">
        <f>N77*Assumptions!$E$25*-1</f>
        <v>0</v>
      </c>
      <c r="P77" s="20">
        <f>Assumptions!$E$35*J77*-1</f>
        <v>-1187.5577828501937</v>
      </c>
      <c r="Q77" s="5">
        <f>J77*Assumptions!$E$36*-1</f>
        <v>-478.25376137195047</v>
      </c>
      <c r="R77" s="5">
        <f>(R65+(Model_30y!R65*Assumptions!$D$51))</f>
        <v>-435.41940856640628</v>
      </c>
      <c r="S77" s="5">
        <f>S65+(S65*Assumptions!$D$51)</f>
        <v>0</v>
      </c>
      <c r="T77" s="5">
        <f t="shared" si="29"/>
        <v>0</v>
      </c>
      <c r="U77" s="22">
        <f t="shared" si="21"/>
        <v>-2101.2309527885504</v>
      </c>
      <c r="V77" s="5">
        <f>MAX(Assumptions!$E$18:$E$19)-U77</f>
        <v>4942.8639645872472</v>
      </c>
      <c r="W77" s="5">
        <f t="shared" si="22"/>
        <v>-2198.4576329329379</v>
      </c>
      <c r="X77" s="5">
        <f t="shared" si="27"/>
        <v>-2101.2309527885504</v>
      </c>
      <c r="Y77" s="5">
        <f>C77*Assumptions!$D$44*-1</f>
        <v>262.99829354673818</v>
      </c>
      <c r="Z77" s="5">
        <f t="shared" si="23"/>
        <v>906.17367241249701</v>
      </c>
      <c r="AA77" s="5">
        <f t="shared" si="30"/>
        <v>88097.137912475679</v>
      </c>
      <c r="AB77" s="3">
        <f>Assumptions!$E$45</f>
        <v>6.9899151946608562E-3</v>
      </c>
      <c r="AC77" s="5">
        <f t="shared" si="31"/>
        <v>89619.103107788716</v>
      </c>
      <c r="AD77" s="5">
        <f>AC77*Assumptions!$E$43</f>
        <v>80.260673026592713</v>
      </c>
      <c r="AE77" s="2">
        <f>AD77*Assumptions!$D$44*-1</f>
        <v>-12.039100953988907</v>
      </c>
      <c r="AF77" s="2">
        <f>AC77*Assumptions!$E$46*-1</f>
        <v>-2.9867559045565266</v>
      </c>
      <c r="AG77" s="22">
        <f t="shared" si="32"/>
        <v>89604.077250930175</v>
      </c>
      <c r="AH77" s="5">
        <f>Model_30y[[#This Row],[Mortgage Payment]]+Model_30y[[#This Row],[Total Upkeep]]+Model_30y[[#This Row],[Monthly Investment]]</f>
        <v>-3393.5149133089913</v>
      </c>
      <c r="AI77" s="5">
        <f>Model_Renter!D77*-1</f>
        <v>3435.2367658370026</v>
      </c>
      <c r="AJ77" s="5">
        <f t="shared" si="33"/>
        <v>41.721852528011368</v>
      </c>
    </row>
    <row r="78" spans="1:36" x14ac:dyDescent="0.25">
      <c r="A78" s="17">
        <f t="shared" si="28"/>
        <v>76</v>
      </c>
      <c r="B78" s="17">
        <f t="shared" si="24"/>
        <v>7</v>
      </c>
      <c r="C78" s="23">
        <f>IFERROR(IPMT(Assumptions!$D$16/12,Model_30y!A78, 360,Assumptions!$D$8), 0)</f>
        <v>-1750.8291971929089</v>
      </c>
      <c r="D78" s="2">
        <f>IFERROR(PPMT(Assumptions!$D$16/12, Model_30y!A78, 360, Assumptions!$D$8), 0)</f>
        <v>-447.62843574002937</v>
      </c>
      <c r="E78" s="2">
        <f t="shared" si="18"/>
        <v>-2198.4576329329384</v>
      </c>
      <c r="F78" s="2">
        <f>IF(I77&gt;1, Assumptions!$E$18, 0)*-1</f>
        <v>-2198.4576329329379</v>
      </c>
      <c r="G78" s="24">
        <f t="shared" si="19"/>
        <v>1</v>
      </c>
      <c r="H78" s="20">
        <f t="shared" si="25"/>
        <v>27799.55750843494</v>
      </c>
      <c r="I78" s="2">
        <f>MAX(Assumptions!$D$8-SUM(Model_30y!H78), 0)</f>
        <v>312200.44249156507</v>
      </c>
      <c r="J78" s="2">
        <f>J77*(1+(Assumptions!$E$51))</f>
        <v>578879.03893875715</v>
      </c>
      <c r="K78" s="22">
        <f t="shared" si="20"/>
        <v>266678.59644719207</v>
      </c>
      <c r="L78" s="5">
        <f t="shared" si="26"/>
        <v>112799.55750843495</v>
      </c>
      <c r="M78" s="63">
        <f>L78/Assumptions!$D$6</f>
        <v>0.26541072354925871</v>
      </c>
      <c r="N78" s="24">
        <f t="shared" si="17"/>
        <v>0</v>
      </c>
      <c r="O78" s="5">
        <f>N78*Assumptions!$E$25*-1</f>
        <v>0</v>
      </c>
      <c r="P78" s="20">
        <f>Assumptions!$E$35*J78*-1</f>
        <v>-1192.3960402577602</v>
      </c>
      <c r="Q78" s="5">
        <f>J78*Assumptions!$E$36*-1</f>
        <v>-480.2022263957752</v>
      </c>
      <c r="R78" s="5">
        <f>(R66+(Model_30y!R66*Assumptions!$D$51))</f>
        <v>-435.41940856640628</v>
      </c>
      <c r="S78" s="5">
        <f>S66+(S66*Assumptions!$D$51)</f>
        <v>0</v>
      </c>
      <c r="T78" s="5">
        <f t="shared" si="29"/>
        <v>0</v>
      </c>
      <c r="U78" s="22">
        <f t="shared" si="21"/>
        <v>-2108.0176752199418</v>
      </c>
      <c r="V78" s="5">
        <f>MAX(Assumptions!$E$18:$E$19)-U78</f>
        <v>4949.6506870186386</v>
      </c>
      <c r="W78" s="5">
        <f t="shared" si="22"/>
        <v>-2198.4576329329379</v>
      </c>
      <c r="X78" s="5">
        <f t="shared" si="27"/>
        <v>-2108.0176752199418</v>
      </c>
      <c r="Y78" s="5">
        <f>C78*Assumptions!$D$44*-1</f>
        <v>262.62437957893633</v>
      </c>
      <c r="Z78" s="5">
        <f t="shared" si="23"/>
        <v>905.79975844469516</v>
      </c>
      <c r="AA78" s="5">
        <f t="shared" si="30"/>
        <v>89604.077250930175</v>
      </c>
      <c r="AB78" s="3">
        <f>Assumptions!$E$45</f>
        <v>6.9899151946608562E-3</v>
      </c>
      <c r="AC78" s="5">
        <f t="shared" si="31"/>
        <v>91136.201910454722</v>
      </c>
      <c r="AD78" s="5">
        <f>AC78*Assumptions!$E$43</f>
        <v>81.619349544515032</v>
      </c>
      <c r="AE78" s="2">
        <f>AD78*Assumptions!$D$44*-1</f>
        <v>-12.242902431677255</v>
      </c>
      <c r="AF78" s="2">
        <f>AC78*Assumptions!$E$46*-1</f>
        <v>-3.0373165958547697</v>
      </c>
      <c r="AG78" s="22">
        <f t="shared" si="32"/>
        <v>91120.921691427196</v>
      </c>
      <c r="AH78" s="5">
        <f>Model_30y[[#This Row],[Mortgage Payment]]+Model_30y[[#This Row],[Total Upkeep]]+Model_30y[[#This Row],[Monthly Investment]]</f>
        <v>-3400.6755497081845</v>
      </c>
      <c r="AI78" s="5">
        <f>Model_Renter!D78*-1</f>
        <v>3435.2367658370026</v>
      </c>
      <c r="AJ78" s="5">
        <f t="shared" si="33"/>
        <v>34.56121612881816</v>
      </c>
    </row>
    <row r="79" spans="1:36" x14ac:dyDescent="0.25">
      <c r="A79" s="17">
        <f t="shared" si="28"/>
        <v>77</v>
      </c>
      <c r="B79" s="17">
        <f t="shared" si="24"/>
        <v>7</v>
      </c>
      <c r="C79" s="23">
        <f>IFERROR(IPMT(Assumptions!$D$16/12,Model_30y!A79, 360,Assumptions!$D$8), 0)</f>
        <v>-1748.3224779527643</v>
      </c>
      <c r="D79" s="2">
        <f>IFERROR(PPMT(Assumptions!$D$16/12, Model_30y!A79, 360, Assumptions!$D$8), 0)</f>
        <v>-450.13515498017352</v>
      </c>
      <c r="E79" s="2">
        <f t="shared" si="18"/>
        <v>-2198.4576329329379</v>
      </c>
      <c r="F79" s="2">
        <f>IF(I78&gt;1, Assumptions!$E$18, 0)*-1</f>
        <v>-2198.4576329329379</v>
      </c>
      <c r="G79" s="24">
        <f t="shared" si="19"/>
        <v>1</v>
      </c>
      <c r="H79" s="20">
        <f t="shared" si="25"/>
        <v>28249.692663415113</v>
      </c>
      <c r="I79" s="2">
        <f>MAX(Assumptions!$D$8-SUM(Model_30y!H79), 0)</f>
        <v>311750.3073365849</v>
      </c>
      <c r="J79" s="2">
        <f>J78*(1+(Assumptions!$E$51))</f>
        <v>581237.46379915299</v>
      </c>
      <c r="K79" s="22">
        <f t="shared" si="20"/>
        <v>269487.15646256809</v>
      </c>
      <c r="L79" s="5">
        <f t="shared" si="26"/>
        <v>113249.69266341513</v>
      </c>
      <c r="M79" s="63">
        <f>L79/Assumptions!$D$6</f>
        <v>0.26646986509038856</v>
      </c>
      <c r="N79" s="24">
        <f t="shared" si="17"/>
        <v>0</v>
      </c>
      <c r="O79" s="5">
        <f>N79*Assumptions!$E$25*-1</f>
        <v>0</v>
      </c>
      <c r="P79" s="20">
        <f>Assumptions!$E$35*J79*-1</f>
        <v>-1197.2540093249024</v>
      </c>
      <c r="Q79" s="5">
        <f>J79*Assumptions!$E$36*-1</f>
        <v>-482.15862970729506</v>
      </c>
      <c r="R79" s="5">
        <f>(R67+(Model_30y!R67*Assumptions!$D$51))</f>
        <v>-435.41940856640628</v>
      </c>
      <c r="S79" s="5">
        <f>S67+(S67*Assumptions!$D$51)</f>
        <v>0</v>
      </c>
      <c r="T79" s="5">
        <f t="shared" si="29"/>
        <v>0</v>
      </c>
      <c r="U79" s="22">
        <f t="shared" si="21"/>
        <v>-2114.8320475986038</v>
      </c>
      <c r="V79" s="5">
        <f>MAX(Assumptions!$E$18:$E$19)-U79</f>
        <v>4956.4650593973001</v>
      </c>
      <c r="W79" s="5">
        <f t="shared" si="22"/>
        <v>-2198.4576329329379</v>
      </c>
      <c r="X79" s="5">
        <f t="shared" si="27"/>
        <v>-2114.8320475986038</v>
      </c>
      <c r="Y79" s="5">
        <f>C79*Assumptions!$D$44*-1</f>
        <v>262.24837169291465</v>
      </c>
      <c r="Z79" s="5">
        <f t="shared" si="23"/>
        <v>905.42375055867296</v>
      </c>
      <c r="AA79" s="5">
        <f t="shared" si="30"/>
        <v>91120.921691427196</v>
      </c>
      <c r="AB79" s="3">
        <f>Assumptions!$E$45</f>
        <v>6.9899151946608562E-3</v>
      </c>
      <c r="AC79" s="5">
        <f t="shared" si="31"/>
        <v>92663.272957068286</v>
      </c>
      <c r="AD79" s="5">
        <f>AC79*Assumptions!$E$43</f>
        <v>82.986956959791385</v>
      </c>
      <c r="AE79" s="2">
        <f>AD79*Assumptions!$D$44*-1</f>
        <v>-12.448043543968707</v>
      </c>
      <c r="AF79" s="2">
        <f>AC79*Assumptions!$E$46*-1</f>
        <v>-3.0882096343586776</v>
      </c>
      <c r="AG79" s="22">
        <f t="shared" si="32"/>
        <v>92647.736703889954</v>
      </c>
      <c r="AH79" s="5">
        <f>Model_30y[[#This Row],[Mortgage Payment]]+Model_30y[[#This Row],[Total Upkeep]]+Model_30y[[#This Row],[Monthly Investment]]</f>
        <v>-3407.8659299728683</v>
      </c>
      <c r="AI79" s="5">
        <f>Model_Renter!D79*-1</f>
        <v>3435.2367658370026</v>
      </c>
      <c r="AJ79" s="5">
        <f t="shared" si="33"/>
        <v>27.370835864134278</v>
      </c>
    </row>
    <row r="80" spans="1:36" x14ac:dyDescent="0.25">
      <c r="A80" s="17">
        <f t="shared" si="28"/>
        <v>78</v>
      </c>
      <c r="B80" s="17">
        <f t="shared" si="24"/>
        <v>7</v>
      </c>
      <c r="C80" s="23">
        <f>IFERROR(IPMT(Assumptions!$D$16/12,Model_30y!A80, 360,Assumptions!$D$8), 0)</f>
        <v>-1745.8017210848755</v>
      </c>
      <c r="D80" s="2">
        <f>IFERROR(PPMT(Assumptions!$D$16/12, Model_30y!A80, 360, Assumptions!$D$8), 0)</f>
        <v>-452.65591184806249</v>
      </c>
      <c r="E80" s="2">
        <f t="shared" si="18"/>
        <v>-2198.4576329329379</v>
      </c>
      <c r="F80" s="2">
        <f>IF(I79&gt;1, Assumptions!$E$18, 0)*-1</f>
        <v>-2198.4576329329379</v>
      </c>
      <c r="G80" s="24">
        <f t="shared" si="19"/>
        <v>1</v>
      </c>
      <c r="H80" s="20">
        <f t="shared" si="25"/>
        <v>28702.348575263175</v>
      </c>
      <c r="I80" s="2">
        <f>MAX(Assumptions!$D$8-SUM(Model_30y!H80), 0)</f>
        <v>311297.65142473683</v>
      </c>
      <c r="J80" s="2">
        <f>J79*(1+(Assumptions!$E$51))</f>
        <v>583605.49717436451</v>
      </c>
      <c r="K80" s="22">
        <f t="shared" si="20"/>
        <v>272307.84574962768</v>
      </c>
      <c r="L80" s="5">
        <f t="shared" si="26"/>
        <v>113702.3485752632</v>
      </c>
      <c r="M80" s="63">
        <f>L80/Assumptions!$D$6</f>
        <v>0.26753493782414872</v>
      </c>
      <c r="N80" s="24">
        <f t="shared" si="17"/>
        <v>0</v>
      </c>
      <c r="O80" s="5">
        <f>N80*Assumptions!$E$25*-1</f>
        <v>0</v>
      </c>
      <c r="P80" s="20">
        <f>Assumptions!$E$35*J80*-1</f>
        <v>-1202.1317703593613</v>
      </c>
      <c r="Q80" s="5">
        <f>J80*Assumptions!$E$36*-1</f>
        <v>-484.12300364807686</v>
      </c>
      <c r="R80" s="5">
        <f>(R68+(Model_30y!R68*Assumptions!$D$51))</f>
        <v>-435.41940856640628</v>
      </c>
      <c r="S80" s="5">
        <f>S68+(S68*Assumptions!$D$51)</f>
        <v>0</v>
      </c>
      <c r="T80" s="5">
        <f t="shared" si="29"/>
        <v>0</v>
      </c>
      <c r="U80" s="22">
        <f t="shared" si="21"/>
        <v>-2121.6741825738445</v>
      </c>
      <c r="V80" s="5">
        <f>MAX(Assumptions!$E$18:$E$19)-U80</f>
        <v>4963.3071943725408</v>
      </c>
      <c r="W80" s="5">
        <f t="shared" si="22"/>
        <v>-2198.4576329329379</v>
      </c>
      <c r="X80" s="5">
        <f t="shared" si="27"/>
        <v>-2121.6741825738445</v>
      </c>
      <c r="Y80" s="5">
        <f>C80*Assumptions!$D$44*-1</f>
        <v>261.87025816273132</v>
      </c>
      <c r="Z80" s="5">
        <f t="shared" si="23"/>
        <v>905.04563702848964</v>
      </c>
      <c r="AA80" s="5">
        <f t="shared" si="30"/>
        <v>92647.736703889954</v>
      </c>
      <c r="AB80" s="3">
        <f>Assumptions!$E$45</f>
        <v>6.9899151946608562E-3</v>
      </c>
      <c r="AC80" s="5">
        <f t="shared" si="31"/>
        <v>94200.382163455914</v>
      </c>
      <c r="AD80" s="5">
        <f>AC80*Assumptions!$E$43</f>
        <v>84.363554305021012</v>
      </c>
      <c r="AE80" s="2">
        <f>AD80*Assumptions!$D$44*-1</f>
        <v>-12.654533145753151</v>
      </c>
      <c r="AF80" s="2">
        <f>AC80*Assumptions!$E$46*-1</f>
        <v>-3.1394372168597506</v>
      </c>
      <c r="AG80" s="22">
        <f t="shared" si="32"/>
        <v>94184.588193093296</v>
      </c>
      <c r="AH80" s="5">
        <f>Model_30y[[#This Row],[Mortgage Payment]]+Model_30y[[#This Row],[Total Upkeep]]+Model_30y[[#This Row],[Monthly Investment]]</f>
        <v>-3415.0861784782924</v>
      </c>
      <c r="AI80" s="5">
        <f>Model_Renter!D80*-1</f>
        <v>3435.2367658370026</v>
      </c>
      <c r="AJ80" s="5">
        <f t="shared" si="33"/>
        <v>20.150587358710254</v>
      </c>
    </row>
    <row r="81" spans="1:36" x14ac:dyDescent="0.25">
      <c r="A81" s="17">
        <f t="shared" si="28"/>
        <v>79</v>
      </c>
      <c r="B81" s="17">
        <f t="shared" si="24"/>
        <v>7</v>
      </c>
      <c r="C81" s="23">
        <f>IFERROR(IPMT(Assumptions!$D$16/12,Model_30y!A81, 360,Assumptions!$D$8), 0)</f>
        <v>-1743.2668479785261</v>
      </c>
      <c r="D81" s="2">
        <f>IFERROR(PPMT(Assumptions!$D$16/12, Model_30y!A81, 360, Assumptions!$D$8), 0)</f>
        <v>-455.1907849544117</v>
      </c>
      <c r="E81" s="2">
        <f t="shared" si="18"/>
        <v>-2198.4576329329379</v>
      </c>
      <c r="F81" s="2">
        <f>IF(I80&gt;1, Assumptions!$E$18, 0)*-1</f>
        <v>-2198.4576329329379</v>
      </c>
      <c r="G81" s="24">
        <f t="shared" si="19"/>
        <v>1</v>
      </c>
      <c r="H81" s="20">
        <f t="shared" si="25"/>
        <v>29157.539360217586</v>
      </c>
      <c r="I81" s="2">
        <f>MAX(Assumptions!$D$8-SUM(Model_30y!H81), 0)</f>
        <v>310842.46063978242</v>
      </c>
      <c r="J81" s="2">
        <f>J80*(1+(Assumptions!$E$51))</f>
        <v>585983.17821067048</v>
      </c>
      <c r="K81" s="22">
        <f t="shared" si="20"/>
        <v>275140.71757088805</v>
      </c>
      <c r="L81" s="5">
        <f t="shared" si="26"/>
        <v>114157.5393602176</v>
      </c>
      <c r="M81" s="63">
        <f>L81/Assumptions!$D$6</f>
        <v>0.26860597496521788</v>
      </c>
      <c r="N81" s="24">
        <f t="shared" si="17"/>
        <v>0</v>
      </c>
      <c r="O81" s="5">
        <f>N81*Assumptions!$E$25*-1</f>
        <v>0</v>
      </c>
      <c r="P81" s="20">
        <f>Assumptions!$E$35*J81*-1</f>
        <v>-1207.0294039960615</v>
      </c>
      <c r="Q81" s="5">
        <f>J81*Assumptions!$E$36*-1</f>
        <v>-486.09538069145071</v>
      </c>
      <c r="R81" s="5">
        <f>(R69+(Model_30y!R69*Assumptions!$D$51))</f>
        <v>-435.41940856640628</v>
      </c>
      <c r="S81" s="5">
        <f>S69+(S69*Assumptions!$D$51)</f>
        <v>0</v>
      </c>
      <c r="T81" s="5">
        <f t="shared" si="29"/>
        <v>0</v>
      </c>
      <c r="U81" s="22">
        <f t="shared" si="21"/>
        <v>-2128.5441932539184</v>
      </c>
      <c r="V81" s="5">
        <f>MAX(Assumptions!$E$18:$E$19)-U81</f>
        <v>4970.1772050526151</v>
      </c>
      <c r="W81" s="5">
        <f t="shared" si="22"/>
        <v>-2198.4576329329379</v>
      </c>
      <c r="X81" s="5">
        <f t="shared" si="27"/>
        <v>-2128.5441932539184</v>
      </c>
      <c r="Y81" s="5">
        <f>C81*Assumptions!$D$44*-1</f>
        <v>261.4900271967789</v>
      </c>
      <c r="Z81" s="5">
        <f t="shared" si="23"/>
        <v>904.66540606253773</v>
      </c>
      <c r="AA81" s="5">
        <f t="shared" si="30"/>
        <v>94184.588193093296</v>
      </c>
      <c r="AB81" s="3">
        <f>Assumptions!$E$45</f>
        <v>6.9899151946608562E-3</v>
      </c>
      <c r="AC81" s="5">
        <f t="shared" si="31"/>
        <v>95747.59588326962</v>
      </c>
      <c r="AD81" s="5">
        <f>AC81*Assumptions!$E$43</f>
        <v>85.749201004908969</v>
      </c>
      <c r="AE81" s="2">
        <f>AD81*Assumptions!$D$44*-1</f>
        <v>-12.862380150736344</v>
      </c>
      <c r="AF81" s="2">
        <f>AC81*Assumptions!$E$46*-1</f>
        <v>-3.1910015547409989</v>
      </c>
      <c r="AG81" s="22">
        <f t="shared" si="32"/>
        <v>95731.542501564138</v>
      </c>
      <c r="AH81" s="5">
        <f>Model_30y[[#This Row],[Mortgage Payment]]+Model_30y[[#This Row],[Total Upkeep]]+Model_30y[[#This Row],[Monthly Investment]]</f>
        <v>-3422.3364201243185</v>
      </c>
      <c r="AI81" s="5">
        <f>Model_Renter!D81*-1</f>
        <v>3435.2367658370026</v>
      </c>
      <c r="AJ81" s="5">
        <f t="shared" si="33"/>
        <v>12.900345712684157</v>
      </c>
    </row>
    <row r="82" spans="1:36" x14ac:dyDescent="0.25">
      <c r="A82" s="17">
        <f t="shared" si="28"/>
        <v>80</v>
      </c>
      <c r="B82" s="17">
        <f t="shared" si="24"/>
        <v>7</v>
      </c>
      <c r="C82" s="23">
        <f>IFERROR(IPMT(Assumptions!$D$16/12,Model_30y!A82, 360,Assumptions!$D$8), 0)</f>
        <v>-1740.7177795827815</v>
      </c>
      <c r="D82" s="2">
        <f>IFERROR(PPMT(Assumptions!$D$16/12, Model_30y!A82, 360, Assumptions!$D$8), 0)</f>
        <v>-457.73985335015635</v>
      </c>
      <c r="E82" s="2">
        <f t="shared" si="18"/>
        <v>-2198.4576329329379</v>
      </c>
      <c r="F82" s="2">
        <f>IF(I81&gt;1, Assumptions!$E$18, 0)*-1</f>
        <v>-2198.4576329329379</v>
      </c>
      <c r="G82" s="24">
        <f t="shared" si="19"/>
        <v>1</v>
      </c>
      <c r="H82" s="20">
        <f t="shared" si="25"/>
        <v>29615.279213567741</v>
      </c>
      <c r="I82" s="2">
        <f>MAX(Assumptions!$D$8-SUM(Model_30y!H82), 0)</f>
        <v>310384.72078643227</v>
      </c>
      <c r="J82" s="2">
        <f>J81*(1+(Assumptions!$E$51))</f>
        <v>588370.54621383641</v>
      </c>
      <c r="K82" s="22">
        <f t="shared" si="20"/>
        <v>277985.82542740414</v>
      </c>
      <c r="L82" s="5">
        <f t="shared" si="26"/>
        <v>114615.27921356776</v>
      </c>
      <c r="M82" s="63">
        <f>L82/Assumptions!$D$6</f>
        <v>0.26968300991427707</v>
      </c>
      <c r="N82" s="24">
        <f t="shared" ref="N82:N145" si="34">IF(M82&lt;0.2, 1, 0)</f>
        <v>0</v>
      </c>
      <c r="O82" s="5">
        <f>N82*Assumptions!$E$25*-1</f>
        <v>0</v>
      </c>
      <c r="P82" s="20">
        <f>Assumptions!$E$35*J82*-1</f>
        <v>-1211.9469911984447</v>
      </c>
      <c r="Q82" s="5">
        <f>J82*Assumptions!$E$36*-1</f>
        <v>-488.07579344304736</v>
      </c>
      <c r="R82" s="5">
        <f>(R70+(Model_30y!R70*Assumptions!$D$51))</f>
        <v>-435.41940856640628</v>
      </c>
      <c r="S82" s="5">
        <f>S70+(S70*Assumptions!$D$51)</f>
        <v>0</v>
      </c>
      <c r="T82" s="5">
        <f t="shared" si="29"/>
        <v>0</v>
      </c>
      <c r="U82" s="22">
        <f t="shared" si="21"/>
        <v>-2135.4421932078985</v>
      </c>
      <c r="V82" s="5">
        <f>MAX(Assumptions!$E$18:$E$19)-U82</f>
        <v>4977.0752050065948</v>
      </c>
      <c r="W82" s="5">
        <f t="shared" si="22"/>
        <v>-2198.4576329329379</v>
      </c>
      <c r="X82" s="5">
        <f t="shared" si="27"/>
        <v>-2135.4421932078985</v>
      </c>
      <c r="Y82" s="5">
        <f>C82*Assumptions!$D$44*-1</f>
        <v>261.10766693741721</v>
      </c>
      <c r="Z82" s="5">
        <f t="shared" si="23"/>
        <v>904.28304580317558</v>
      </c>
      <c r="AA82" s="5">
        <f t="shared" si="30"/>
        <v>95731.542501564138</v>
      </c>
      <c r="AB82" s="3">
        <f>Assumptions!$E$45</f>
        <v>6.9899151946608562E-3</v>
      </c>
      <c r="AC82" s="5">
        <f t="shared" si="31"/>
        <v>97304.980910907325</v>
      </c>
      <c r="AD82" s="5">
        <f>AC82*Assumptions!$E$43</f>
        <v>87.143956878881539</v>
      </c>
      <c r="AE82" s="2">
        <f>AD82*Assumptions!$D$44*-1</f>
        <v>-13.07159353183223</v>
      </c>
      <c r="AF82" s="2">
        <f>AC82*Assumptions!$E$46*-1</f>
        <v>-3.2429048740742696</v>
      </c>
      <c r="AG82" s="22">
        <f t="shared" si="32"/>
        <v>97288.666412501421</v>
      </c>
      <c r="AH82" s="5">
        <f>Model_30y[[#This Row],[Mortgage Payment]]+Model_30y[[#This Row],[Total Upkeep]]+Model_30y[[#This Row],[Monthly Investment]]</f>
        <v>-3429.6167803376602</v>
      </c>
      <c r="AI82" s="5">
        <f>Model_Renter!D82*-1</f>
        <v>3435.2367658370026</v>
      </c>
      <c r="AJ82" s="5">
        <f t="shared" si="33"/>
        <v>5.6199854993424196</v>
      </c>
    </row>
    <row r="83" spans="1:36" x14ac:dyDescent="0.25">
      <c r="A83" s="17">
        <f t="shared" si="28"/>
        <v>81</v>
      </c>
      <c r="B83" s="17">
        <f t="shared" si="24"/>
        <v>7</v>
      </c>
      <c r="C83" s="23">
        <f>IFERROR(IPMT(Assumptions!$D$16/12,Model_30y!A83, 360,Assumptions!$D$8), 0)</f>
        <v>-1738.1544364040208</v>
      </c>
      <c r="D83" s="2">
        <f>IFERROR(PPMT(Assumptions!$D$16/12, Model_30y!A83, 360, Assumptions!$D$8), 0)</f>
        <v>-460.30319652891723</v>
      </c>
      <c r="E83" s="2">
        <f t="shared" si="18"/>
        <v>-2198.4576329329379</v>
      </c>
      <c r="F83" s="2">
        <f>IF(I82&gt;1, Assumptions!$E$18, 0)*-1</f>
        <v>-2198.4576329329379</v>
      </c>
      <c r="G83" s="24">
        <f t="shared" si="19"/>
        <v>1</v>
      </c>
      <c r="H83" s="20">
        <f t="shared" si="25"/>
        <v>30075.582410096657</v>
      </c>
      <c r="I83" s="2">
        <f>MAX(Assumptions!$D$8-SUM(Model_30y!H83), 0)</f>
        <v>309924.41758990334</v>
      </c>
      <c r="J83" s="2">
        <f>J82*(1+(Assumptions!$E$51))</f>
        <v>590767.64064976433</v>
      </c>
      <c r="K83" s="22">
        <f t="shared" si="20"/>
        <v>280843.22305986099</v>
      </c>
      <c r="L83" s="5">
        <f t="shared" si="26"/>
        <v>115075.58241009667</v>
      </c>
      <c r="M83" s="63">
        <f>L83/Assumptions!$D$6</f>
        <v>0.27076607625905097</v>
      </c>
      <c r="N83" s="24">
        <f t="shared" si="34"/>
        <v>0</v>
      </c>
      <c r="O83" s="5">
        <f>N83*Assumptions!$E$25*-1</f>
        <v>0</v>
      </c>
      <c r="P83" s="20">
        <f>Assumptions!$E$35*J83*-1</f>
        <v>-1216.8846132598073</v>
      </c>
      <c r="Q83" s="5">
        <f>J83*Assumptions!$E$36*-1</f>
        <v>-490.06427464133668</v>
      </c>
      <c r="R83" s="5">
        <f>(R71+(Model_30y!R71*Assumptions!$D$51))</f>
        <v>-435.41940856640628</v>
      </c>
      <c r="S83" s="5">
        <f>S71+(S71*Assumptions!$D$51)</f>
        <v>0</v>
      </c>
      <c r="T83" s="5">
        <f t="shared" si="29"/>
        <v>0</v>
      </c>
      <c r="U83" s="22">
        <f t="shared" si="21"/>
        <v>-2142.3682964675504</v>
      </c>
      <c r="V83" s="5">
        <f>MAX(Assumptions!$E$18:$E$19)-U83</f>
        <v>4984.0013082662472</v>
      </c>
      <c r="W83" s="5">
        <f t="shared" si="22"/>
        <v>-2198.4576329329379</v>
      </c>
      <c r="X83" s="5">
        <f t="shared" si="27"/>
        <v>-2142.3682964675504</v>
      </c>
      <c r="Y83" s="5">
        <f>C83*Assumptions!$D$44*-1</f>
        <v>260.72316546060313</v>
      </c>
      <c r="Z83" s="5">
        <f t="shared" si="23"/>
        <v>903.89854432636196</v>
      </c>
      <c r="AA83" s="5">
        <f t="shared" si="30"/>
        <v>97288.666412501421</v>
      </c>
      <c r="AB83" s="3">
        <f>Assumptions!$E$45</f>
        <v>6.9899151946608562E-3</v>
      </c>
      <c r="AC83" s="5">
        <f t="shared" si="31"/>
        <v>98872.604484452822</v>
      </c>
      <c r="AD83" s="5">
        <f>AC83*Assumptions!$E$43</f>
        <v>88.547882143719178</v>
      </c>
      <c r="AE83" s="2">
        <f>AD83*Assumptions!$D$44*-1</f>
        <v>-13.282182321557876</v>
      </c>
      <c r="AF83" s="2">
        <f>AC83*Assumptions!$E$46*-1</f>
        <v>-3.2951494157182273</v>
      </c>
      <c r="AG83" s="22">
        <f t="shared" si="32"/>
        <v>98856.027152715542</v>
      </c>
      <c r="AH83" s="5">
        <f>Model_30y[[#This Row],[Mortgage Payment]]+Model_30y[[#This Row],[Total Upkeep]]+Model_30y[[#This Row],[Monthly Investment]]</f>
        <v>-3436.9273850741265</v>
      </c>
      <c r="AI83" s="5">
        <f>Model_Renter!D83*-1</f>
        <v>3435.2367658370026</v>
      </c>
      <c r="AJ83" s="5">
        <f t="shared" si="33"/>
        <v>-1.6906192371238831</v>
      </c>
    </row>
    <row r="84" spans="1:36" x14ac:dyDescent="0.25">
      <c r="A84" s="17">
        <f t="shared" si="28"/>
        <v>82</v>
      </c>
      <c r="B84" s="17">
        <f t="shared" si="24"/>
        <v>7</v>
      </c>
      <c r="C84" s="23">
        <f>IFERROR(IPMT(Assumptions!$D$16/12,Model_30y!A84, 360,Assumptions!$D$8), 0)</f>
        <v>-1735.576738503459</v>
      </c>
      <c r="D84" s="2">
        <f>IFERROR(PPMT(Assumptions!$D$16/12, Model_30y!A84, 360, Assumptions!$D$8), 0)</f>
        <v>-462.8808944294791</v>
      </c>
      <c r="E84" s="2">
        <f t="shared" si="18"/>
        <v>-2198.4576329329379</v>
      </c>
      <c r="F84" s="2">
        <f>IF(I83&gt;1, Assumptions!$E$18, 0)*-1</f>
        <v>-2198.4576329329379</v>
      </c>
      <c r="G84" s="24">
        <f t="shared" si="19"/>
        <v>1</v>
      </c>
      <c r="H84" s="20">
        <f t="shared" si="25"/>
        <v>30538.463304526136</v>
      </c>
      <c r="I84" s="2">
        <f>MAX(Assumptions!$D$8-SUM(Model_30y!H84), 0)</f>
        <v>309461.53669547389</v>
      </c>
      <c r="J84" s="2">
        <f>J83*(1+(Assumptions!$E$51))</f>
        <v>593174.50114514539</v>
      </c>
      <c r="K84" s="22">
        <f t="shared" si="20"/>
        <v>283712.9644496715</v>
      </c>
      <c r="L84" s="5">
        <f t="shared" si="26"/>
        <v>115538.46330452614</v>
      </c>
      <c r="M84" s="63">
        <f>L84/Assumptions!$D$6</f>
        <v>0.27185520777535566</v>
      </c>
      <c r="N84" s="24">
        <f t="shared" si="34"/>
        <v>0</v>
      </c>
      <c r="O84" s="5">
        <f>N84*Assumptions!$E$25*-1</f>
        <v>0</v>
      </c>
      <c r="P84" s="20">
        <f>Assumptions!$E$35*J84*-1</f>
        <v>-1221.842351804645</v>
      </c>
      <c r="Q84" s="5">
        <f>J84*Assumptions!$E$36*-1</f>
        <v>-492.06085715816931</v>
      </c>
      <c r="R84" s="5">
        <f>(R72+(Model_30y!R72*Assumptions!$D$51))</f>
        <v>-435.41940856640628</v>
      </c>
      <c r="S84" s="5">
        <f>S72+(S72*Assumptions!$D$51)</f>
        <v>0</v>
      </c>
      <c r="T84" s="5">
        <f t="shared" si="29"/>
        <v>0</v>
      </c>
      <c r="U84" s="22">
        <f t="shared" si="21"/>
        <v>-2149.3226175292207</v>
      </c>
      <c r="V84" s="5">
        <f>MAX(Assumptions!$E$18:$E$19)-U84</f>
        <v>4990.9556293279174</v>
      </c>
      <c r="W84" s="5">
        <f t="shared" si="22"/>
        <v>-2198.4576329329379</v>
      </c>
      <c r="X84" s="5">
        <f t="shared" si="27"/>
        <v>-2149.3226175292207</v>
      </c>
      <c r="Y84" s="5">
        <f>C84*Assumptions!$D$44*-1</f>
        <v>260.33651077551883</v>
      </c>
      <c r="Z84" s="5">
        <f t="shared" si="23"/>
        <v>903.51188964127766</v>
      </c>
      <c r="AA84" s="5">
        <f t="shared" si="30"/>
        <v>98856.027152715542</v>
      </c>
      <c r="AB84" s="3">
        <f>Assumptions!$E$45</f>
        <v>6.9899151946608562E-3</v>
      </c>
      <c r="AC84" s="5">
        <f t="shared" si="31"/>
        <v>100450.53428863539</v>
      </c>
      <c r="AD84" s="5">
        <f>AC84*Assumptions!$E$43</f>
        <v>89.96103741620712</v>
      </c>
      <c r="AE84" s="2">
        <f>AD84*Assumptions!$D$44*-1</f>
        <v>-13.494155612431067</v>
      </c>
      <c r="AF84" s="2">
        <f>AC84*Assumptions!$E$46*-1</f>
        <v>-3.3477374354169918</v>
      </c>
      <c r="AG84" s="22">
        <f t="shared" si="32"/>
        <v>100433.69239558754</v>
      </c>
      <c r="AH84" s="5">
        <f>Model_30y[[#This Row],[Mortgage Payment]]+Model_30y[[#This Row],[Total Upkeep]]+Model_30y[[#This Row],[Monthly Investment]]</f>
        <v>-3444.2683608208808</v>
      </c>
      <c r="AI84" s="5">
        <f>Model_Renter!D84*-1</f>
        <v>3435.2367658370026</v>
      </c>
      <c r="AJ84" s="5">
        <f t="shared" si="33"/>
        <v>-9.0315949838782217</v>
      </c>
    </row>
    <row r="85" spans="1:36" x14ac:dyDescent="0.25">
      <c r="A85" s="17">
        <f t="shared" si="28"/>
        <v>83</v>
      </c>
      <c r="B85" s="17">
        <f t="shared" si="24"/>
        <v>7</v>
      </c>
      <c r="C85" s="23">
        <f>IFERROR(IPMT(Assumptions!$D$16/12,Model_30y!A85, 360,Assumptions!$D$8), 0)</f>
        <v>-1732.9846054946538</v>
      </c>
      <c r="D85" s="2">
        <f>IFERROR(PPMT(Assumptions!$D$16/12, Model_30y!A85, 360, Assumptions!$D$8), 0)</f>
        <v>-465.47302743828425</v>
      </c>
      <c r="E85" s="2">
        <f t="shared" si="18"/>
        <v>-2198.4576329329379</v>
      </c>
      <c r="F85" s="2">
        <f>IF(I84&gt;1, Assumptions!$E$18, 0)*-1</f>
        <v>-2198.4576329329379</v>
      </c>
      <c r="G85" s="24">
        <f t="shared" si="19"/>
        <v>1</v>
      </c>
      <c r="H85" s="20">
        <f t="shared" si="25"/>
        <v>31003.936331964422</v>
      </c>
      <c r="I85" s="2">
        <f>MAX(Assumptions!$D$8-SUM(Model_30y!H85), 0)</f>
        <v>308996.06366803555</v>
      </c>
      <c r="J85" s="2">
        <f>J84*(1+(Assumptions!$E$51))</f>
        <v>595591.16748811456</v>
      </c>
      <c r="K85" s="22">
        <f t="shared" si="20"/>
        <v>286595.10382007901</v>
      </c>
      <c r="L85" s="5">
        <f t="shared" si="26"/>
        <v>116003.93633196443</v>
      </c>
      <c r="M85" s="63">
        <f>L85/Assumptions!$D$6</f>
        <v>0.27295043842815159</v>
      </c>
      <c r="N85" s="24">
        <f t="shared" si="34"/>
        <v>0</v>
      </c>
      <c r="O85" s="5">
        <f>N85*Assumptions!$E$25*-1</f>
        <v>0</v>
      </c>
      <c r="P85" s="20">
        <f>Assumptions!$E$35*J85*-1</f>
        <v>-1226.8202887900011</v>
      </c>
      <c r="Q85" s="5">
        <f>J85*Assumptions!$E$36*-1</f>
        <v>-494.06557399931984</v>
      </c>
      <c r="R85" s="5">
        <f>(R73+(Model_30y!R73*Assumptions!$D$51))</f>
        <v>-435.41940856640628</v>
      </c>
      <c r="S85" s="5">
        <f>S73+(S73*Assumptions!$D$51)</f>
        <v>0</v>
      </c>
      <c r="T85" s="5">
        <f t="shared" si="29"/>
        <v>0</v>
      </c>
      <c r="U85" s="22">
        <f t="shared" si="21"/>
        <v>-2156.3052713557272</v>
      </c>
      <c r="V85" s="5">
        <f>MAX(Assumptions!$E$18:$E$19)-U85</f>
        <v>4997.9382831544244</v>
      </c>
      <c r="W85" s="5">
        <f t="shared" si="22"/>
        <v>-2198.4576329329379</v>
      </c>
      <c r="X85" s="5">
        <f t="shared" si="27"/>
        <v>-2156.3052713557272</v>
      </c>
      <c r="Y85" s="5">
        <f>C85*Assumptions!$D$44*-1</f>
        <v>259.94769082419805</v>
      </c>
      <c r="Z85" s="5">
        <f t="shared" si="23"/>
        <v>903.12306968995733</v>
      </c>
      <c r="AA85" s="5">
        <f t="shared" si="30"/>
        <v>100433.69239558754</v>
      </c>
      <c r="AB85" s="3">
        <f>Assumptions!$E$45</f>
        <v>6.9899151946608562E-3</v>
      </c>
      <c r="AC85" s="5">
        <f t="shared" si="31"/>
        <v>102038.83845780931</v>
      </c>
      <c r="AD85" s="5">
        <f>AC85*Assumptions!$E$43</f>
        <v>91.383483715803735</v>
      </c>
      <c r="AE85" s="2">
        <f>AD85*Assumptions!$D$44*-1</f>
        <v>-13.707522557370559</v>
      </c>
      <c r="AF85" s="2">
        <f>AC85*Assumptions!$E$46*-1</f>
        <v>-3.400671203899436</v>
      </c>
      <c r="AG85" s="22">
        <f t="shared" si="32"/>
        <v>102021.73026404803</v>
      </c>
      <c r="AH85" s="5">
        <f>Model_30y[[#This Row],[Mortgage Payment]]+Model_30y[[#This Row],[Total Upkeep]]+Model_30y[[#This Row],[Monthly Investment]]</f>
        <v>-3451.6398345987081</v>
      </c>
      <c r="AI85" s="5">
        <f>Model_Renter!D85*-1</f>
        <v>3435.2367658370026</v>
      </c>
      <c r="AJ85" s="5">
        <f t="shared" si="33"/>
        <v>-16.403068761705526</v>
      </c>
    </row>
    <row r="86" spans="1:36" x14ac:dyDescent="0.25">
      <c r="A86" s="17">
        <f t="shared" si="28"/>
        <v>84</v>
      </c>
      <c r="B86" s="17">
        <f t="shared" si="24"/>
        <v>7</v>
      </c>
      <c r="C86" s="23">
        <f>IFERROR(IPMT(Assumptions!$D$16/12,Model_30y!A86, 360,Assumptions!$D$8), 0)</f>
        <v>-1730.3779565409993</v>
      </c>
      <c r="D86" s="2">
        <f>IFERROR(PPMT(Assumptions!$D$16/12, Model_30y!A86, 360, Assumptions!$D$8), 0)</f>
        <v>-468.07967639193862</v>
      </c>
      <c r="E86" s="2">
        <f t="shared" si="18"/>
        <v>-2198.4576329329379</v>
      </c>
      <c r="F86" s="2">
        <f>IF(I85&gt;1, Assumptions!$E$18, 0)*-1</f>
        <v>-2198.4576329329379</v>
      </c>
      <c r="G86" s="24">
        <f t="shared" si="19"/>
        <v>1</v>
      </c>
      <c r="H86" s="20">
        <f t="shared" si="25"/>
        <v>31472.016008356361</v>
      </c>
      <c r="I86" s="2">
        <f>MAX(Assumptions!$D$8-SUM(Model_30y!H86), 0)</f>
        <v>308527.98399164365</v>
      </c>
      <c r="J86" s="2">
        <f>J85*(1+(Assumptions!$E$51))</f>
        <v>598017.67962890875</v>
      </c>
      <c r="K86" s="22">
        <f t="shared" si="20"/>
        <v>289489.6956372651</v>
      </c>
      <c r="L86" s="5">
        <f t="shared" si="26"/>
        <v>116472.01600835637</v>
      </c>
      <c r="M86" s="63">
        <f>L86/Assumptions!$D$6</f>
        <v>0.27405180237260324</v>
      </c>
      <c r="N86" s="24">
        <f t="shared" si="34"/>
        <v>0</v>
      </c>
      <c r="O86" s="5">
        <f>N86*Assumptions!$E$25*-1</f>
        <v>0</v>
      </c>
      <c r="P86" s="20">
        <f>Assumptions!$E$35*J86*-1</f>
        <v>-1231.8185065068226</v>
      </c>
      <c r="Q86" s="5">
        <f>J86*Assumptions!$E$36*-1</f>
        <v>-496.07845830503231</v>
      </c>
      <c r="R86" s="5">
        <f>(R74+(Model_30y!R74*Assumptions!$D$51))</f>
        <v>-435.41940856640628</v>
      </c>
      <c r="S86" s="5">
        <f>S74+(S74*Assumptions!$D$51)</f>
        <v>0</v>
      </c>
      <c r="T86" s="5">
        <f t="shared" si="29"/>
        <v>0</v>
      </c>
      <c r="U86" s="22">
        <f t="shared" si="21"/>
        <v>-2163.3163733782612</v>
      </c>
      <c r="V86" s="5">
        <f>MAX(Assumptions!$E$18:$E$19)-U86</f>
        <v>5004.9493851769585</v>
      </c>
      <c r="W86" s="5">
        <f t="shared" si="22"/>
        <v>-2198.4576329329379</v>
      </c>
      <c r="X86" s="5">
        <f t="shared" si="27"/>
        <v>-2163.3163733782612</v>
      </c>
      <c r="Y86" s="5">
        <f>C86*Assumptions!$D$44*-1</f>
        <v>259.55669348114986</v>
      </c>
      <c r="Z86" s="5">
        <f t="shared" si="23"/>
        <v>902.73207234690915</v>
      </c>
      <c r="AA86" s="5">
        <f t="shared" si="30"/>
        <v>102021.73026404803</v>
      </c>
      <c r="AB86" s="3">
        <f>Assumptions!$E$45</f>
        <v>6.9899151946608562E-3</v>
      </c>
      <c r="AC86" s="5">
        <f t="shared" si="31"/>
        <v>103637.58557895319</v>
      </c>
      <c r="AD86" s="5">
        <f>AC86*Assumptions!$E$43</f>
        <v>92.815282467326654</v>
      </c>
      <c r="AE86" s="2">
        <f>AD86*Assumptions!$D$44*-1</f>
        <v>-13.922292370098997</v>
      </c>
      <c r="AF86" s="2">
        <f>AC86*Assumptions!$E$46*-1</f>
        <v>-3.4539530069791438</v>
      </c>
      <c r="AG86" s="22">
        <f t="shared" si="32"/>
        <v>103620.20933357612</v>
      </c>
      <c r="AH86" s="5">
        <f>Model_30y[[#This Row],[Mortgage Payment]]+Model_30y[[#This Row],[Total Upkeep]]+Model_30y[[#This Row],[Monthly Investment]]</f>
        <v>-3459.0419339642904</v>
      </c>
      <c r="AI86" s="5">
        <f>Model_Renter!D86*-1</f>
        <v>3435.2367658370026</v>
      </c>
      <c r="AJ86" s="5">
        <f t="shared" si="33"/>
        <v>-23.805168127287743</v>
      </c>
    </row>
    <row r="87" spans="1:36" x14ac:dyDescent="0.25">
      <c r="A87" s="17">
        <f t="shared" si="28"/>
        <v>85</v>
      </c>
      <c r="B87" s="17">
        <f t="shared" si="24"/>
        <v>8</v>
      </c>
      <c r="C87" s="23">
        <f>IFERROR(IPMT(Assumptions!$D$16/12,Model_30y!A87, 360,Assumptions!$D$8), 0)</f>
        <v>-1727.7567103532044</v>
      </c>
      <c r="D87" s="2">
        <f>IFERROR(PPMT(Assumptions!$D$16/12, Model_30y!A87, 360, Assumptions!$D$8), 0)</f>
        <v>-470.7009225797334</v>
      </c>
      <c r="E87" s="2">
        <f t="shared" si="18"/>
        <v>-2198.4576329329379</v>
      </c>
      <c r="F87" s="2">
        <f>IF(I86&gt;1, Assumptions!$E$18, 0)*-1</f>
        <v>-2198.4576329329379</v>
      </c>
      <c r="G87" s="24">
        <f t="shared" si="19"/>
        <v>1</v>
      </c>
      <c r="H87" s="20">
        <f t="shared" si="25"/>
        <v>31942.716930936094</v>
      </c>
      <c r="I87" s="2">
        <f>MAX(Assumptions!$D$8-SUM(Model_30y!H87), 0)</f>
        <v>308057.28306906391</v>
      </c>
      <c r="J87" s="2">
        <f>J86*(1+(Assumptions!$E$51))</f>
        <v>600454.07768052712</v>
      </c>
      <c r="K87" s="22">
        <f t="shared" si="20"/>
        <v>292396.79461146321</v>
      </c>
      <c r="L87" s="5">
        <f t="shared" si="26"/>
        <v>116942.71693093611</v>
      </c>
      <c r="M87" s="63">
        <f>L87/Assumptions!$D$6</f>
        <v>0.2751593339551438</v>
      </c>
      <c r="N87" s="24">
        <f t="shared" si="34"/>
        <v>0</v>
      </c>
      <c r="O87" s="5">
        <f>N87*Assumptions!$E$25*-1</f>
        <v>0</v>
      </c>
      <c r="P87" s="20">
        <f>Assumptions!$E$35*J87*-1</f>
        <v>-1236.8370875813202</v>
      </c>
      <c r="Q87" s="5">
        <f>J87*Assumptions!$E$36*-1</f>
        <v>-498.09954335056847</v>
      </c>
      <c r="R87" s="5">
        <f>(R75+(Model_30y!R75*Assumptions!$D$51))</f>
        <v>-457.19037899472659</v>
      </c>
      <c r="S87" s="5">
        <f>S75+(S75*Assumptions!$D$51)</f>
        <v>0</v>
      </c>
      <c r="T87" s="5">
        <f t="shared" si="29"/>
        <v>0</v>
      </c>
      <c r="U87" s="22">
        <f t="shared" si="21"/>
        <v>-2192.1270099266153</v>
      </c>
      <c r="V87" s="5">
        <f>MAX(Assumptions!$E$18:$E$19)-U87</f>
        <v>5033.7600217253121</v>
      </c>
      <c r="W87" s="5">
        <f t="shared" si="22"/>
        <v>-2198.4576329329379</v>
      </c>
      <c r="X87" s="5">
        <f t="shared" si="27"/>
        <v>-2192.1270099266153</v>
      </c>
      <c r="Y87" s="5">
        <f>C87*Assumptions!$D$44*-1</f>
        <v>259.16350655298066</v>
      </c>
      <c r="Z87" s="5">
        <f t="shared" si="23"/>
        <v>902.33888541873944</v>
      </c>
      <c r="AA87" s="5">
        <f t="shared" si="30"/>
        <v>103620.20933357612</v>
      </c>
      <c r="AB87" s="3">
        <f>Assumptions!$E$45</f>
        <v>6.9899151946608562E-3</v>
      </c>
      <c r="AC87" s="5">
        <f t="shared" si="31"/>
        <v>105246.84469468956</v>
      </c>
      <c r="AD87" s="5">
        <f>AC87*Assumptions!$E$43</f>
        <v>94.256495503657021</v>
      </c>
      <c r="AE87" s="2">
        <f>AD87*Assumptions!$D$44*-1</f>
        <v>-14.138474325548552</v>
      </c>
      <c r="AF87" s="2">
        <f>AC87*Assumptions!$E$46*-1</f>
        <v>-3.5075851456550469</v>
      </c>
      <c r="AG87" s="22">
        <f t="shared" si="32"/>
        <v>105229.19863521836</v>
      </c>
      <c r="AH87" s="5">
        <f>Model_30y[[#This Row],[Mortgage Payment]]+Model_30y[[#This Row],[Total Upkeep]]+Model_30y[[#This Row],[Monthly Investment]]</f>
        <v>-3488.2457574408136</v>
      </c>
      <c r="AI87" s="5">
        <f>Model_Renter!D87*-1</f>
        <v>3563.7146208793069</v>
      </c>
      <c r="AJ87" s="5">
        <f t="shared" si="33"/>
        <v>75.468863438493372</v>
      </c>
    </row>
    <row r="88" spans="1:36" x14ac:dyDescent="0.25">
      <c r="A88" s="17">
        <f t="shared" si="28"/>
        <v>86</v>
      </c>
      <c r="B88" s="17">
        <f t="shared" si="24"/>
        <v>8</v>
      </c>
      <c r="C88" s="23">
        <f>IFERROR(IPMT(Assumptions!$D$16/12,Model_30y!A88, 360,Assumptions!$D$8), 0)</f>
        <v>-1725.120785186758</v>
      </c>
      <c r="D88" s="2">
        <f>IFERROR(PPMT(Assumptions!$D$16/12, Model_30y!A88, 360, Assumptions!$D$8), 0)</f>
        <v>-473.33684774618001</v>
      </c>
      <c r="E88" s="2">
        <f t="shared" si="18"/>
        <v>-2198.4576329329379</v>
      </c>
      <c r="F88" s="2">
        <f>IF(I87&gt;1, Assumptions!$E$18, 0)*-1</f>
        <v>-2198.4576329329379</v>
      </c>
      <c r="G88" s="24">
        <f t="shared" si="19"/>
        <v>1</v>
      </c>
      <c r="H88" s="20">
        <f t="shared" si="25"/>
        <v>32416.053778682275</v>
      </c>
      <c r="I88" s="2">
        <f>MAX(Assumptions!$D$8-SUM(Model_30y!H88), 0)</f>
        <v>307583.94622131775</v>
      </c>
      <c r="J88" s="2">
        <f>J87*(1+(Assumptions!$E$51))</f>
        <v>602900.40191939403</v>
      </c>
      <c r="K88" s="22">
        <f t="shared" si="20"/>
        <v>295316.45569807629</v>
      </c>
      <c r="L88" s="5">
        <f t="shared" si="26"/>
        <v>117416.05377868228</v>
      </c>
      <c r="M88" s="63">
        <f>L88/Assumptions!$D$6</f>
        <v>0.27627306771454657</v>
      </c>
      <c r="N88" s="24">
        <f t="shared" si="34"/>
        <v>0</v>
      </c>
      <c r="O88" s="5">
        <f>N88*Assumptions!$E$25*-1</f>
        <v>0</v>
      </c>
      <c r="P88" s="20">
        <f>Assumptions!$E$35*J88*-1</f>
        <v>-1241.8761149763338</v>
      </c>
      <c r="Q88" s="5">
        <f>J88*Assumptions!$E$36*-1</f>
        <v>-500.12886254675743</v>
      </c>
      <c r="R88" s="5">
        <f>(R76+(Model_30y!R76*Assumptions!$D$51))</f>
        <v>-457.19037899472659</v>
      </c>
      <c r="S88" s="5">
        <f>S76+(S76*Assumptions!$D$51)</f>
        <v>0</v>
      </c>
      <c r="T88" s="5">
        <f t="shared" si="29"/>
        <v>0</v>
      </c>
      <c r="U88" s="22">
        <f t="shared" si="21"/>
        <v>-2199.1953565178178</v>
      </c>
      <c r="V88" s="5">
        <f>MAX(Assumptions!$E$18:$E$19)-U88</f>
        <v>5040.8283683165146</v>
      </c>
      <c r="W88" s="5">
        <f t="shared" si="22"/>
        <v>-2198.4576329329379</v>
      </c>
      <c r="X88" s="5">
        <f t="shared" si="27"/>
        <v>-2199.1953565178178</v>
      </c>
      <c r="Y88" s="5">
        <f>C88*Assumptions!$D$44*-1</f>
        <v>258.76811777801367</v>
      </c>
      <c r="Z88" s="5">
        <f t="shared" si="23"/>
        <v>901.94349664377251</v>
      </c>
      <c r="AA88" s="5">
        <f t="shared" si="30"/>
        <v>105229.19863521836</v>
      </c>
      <c r="AB88" s="3">
        <f>Assumptions!$E$45</f>
        <v>6.9899151946608562E-3</v>
      </c>
      <c r="AC88" s="5">
        <f t="shared" si="31"/>
        <v>106866.68530632442</v>
      </c>
      <c r="AD88" s="5">
        <f>AC88*Assumptions!$E$43</f>
        <v>95.707185068461683</v>
      </c>
      <c r="AE88" s="2">
        <f>AD88*Assumptions!$D$44*-1</f>
        <v>-14.356077760269253</v>
      </c>
      <c r="AF88" s="2">
        <f>AC88*Assumptions!$E$46*-1</f>
        <v>-3.5615699362127247</v>
      </c>
      <c r="AG88" s="22">
        <f t="shared" si="32"/>
        <v>106848.76765862794</v>
      </c>
      <c r="AH88" s="5">
        <f>Model_30y[[#This Row],[Mortgage Payment]]+Model_30y[[#This Row],[Total Upkeep]]+Model_30y[[#This Row],[Monthly Investment]]</f>
        <v>-3495.7094928069832</v>
      </c>
      <c r="AI88" s="5">
        <f>Model_Renter!D88*-1</f>
        <v>3563.7146208793069</v>
      </c>
      <c r="AJ88" s="5">
        <f t="shared" si="33"/>
        <v>68.005128072323714</v>
      </c>
    </row>
    <row r="89" spans="1:36" x14ac:dyDescent="0.25">
      <c r="A89" s="17">
        <f t="shared" si="28"/>
        <v>87</v>
      </c>
      <c r="B89" s="17">
        <f t="shared" si="24"/>
        <v>8</v>
      </c>
      <c r="C89" s="23">
        <f>IFERROR(IPMT(Assumptions!$D$16/12,Model_30y!A89, 360,Assumptions!$D$8), 0)</f>
        <v>-1722.4700988393793</v>
      </c>
      <c r="D89" s="2">
        <f>IFERROR(PPMT(Assumptions!$D$16/12, Model_30y!A89, 360, Assumptions!$D$8), 0)</f>
        <v>-475.98753409355857</v>
      </c>
      <c r="E89" s="2">
        <f t="shared" si="18"/>
        <v>-2198.4576329329379</v>
      </c>
      <c r="F89" s="2">
        <f>IF(I88&gt;1, Assumptions!$E$18, 0)*-1</f>
        <v>-2198.4576329329379</v>
      </c>
      <c r="G89" s="24">
        <f t="shared" si="19"/>
        <v>1</v>
      </c>
      <c r="H89" s="20">
        <f t="shared" si="25"/>
        <v>32892.041312775837</v>
      </c>
      <c r="I89" s="2">
        <f>MAX(Assumptions!$D$8-SUM(Model_30y!H89), 0)</f>
        <v>307107.95868722419</v>
      </c>
      <c r="J89" s="2">
        <f>J88*(1+(Assumptions!$E$51))</f>
        <v>605356.692786025</v>
      </c>
      <c r="K89" s="22">
        <f t="shared" si="20"/>
        <v>298248.73409880081</v>
      </c>
      <c r="L89" s="5">
        <f t="shared" si="26"/>
        <v>117892.04131277584</v>
      </c>
      <c r="M89" s="63">
        <f>L89/Assumptions!$D$6</f>
        <v>0.27739303838300194</v>
      </c>
      <c r="N89" s="24">
        <f t="shared" si="34"/>
        <v>0</v>
      </c>
      <c r="O89" s="5">
        <f>N89*Assumptions!$E$25*-1</f>
        <v>0</v>
      </c>
      <c r="P89" s="20">
        <f>Assumptions!$E$35*J89*-1</f>
        <v>-1246.9356719927036</v>
      </c>
      <c r="Q89" s="5">
        <f>J89*Assumptions!$E$36*-1</f>
        <v>-502.16644944054821</v>
      </c>
      <c r="R89" s="5">
        <f>(R77+(Model_30y!R77*Assumptions!$D$51))</f>
        <v>-457.19037899472659</v>
      </c>
      <c r="S89" s="5">
        <f>S77+(S77*Assumptions!$D$51)</f>
        <v>0</v>
      </c>
      <c r="T89" s="5">
        <f t="shared" si="29"/>
        <v>0</v>
      </c>
      <c r="U89" s="22">
        <f t="shared" si="21"/>
        <v>-2206.2925004279782</v>
      </c>
      <c r="V89" s="5">
        <f>MAX(Assumptions!$E$18:$E$19)-U89</f>
        <v>5047.925512226675</v>
      </c>
      <c r="W89" s="5">
        <f t="shared" si="22"/>
        <v>-2198.4576329329379</v>
      </c>
      <c r="X89" s="5">
        <f t="shared" si="27"/>
        <v>-2206.2925004279782</v>
      </c>
      <c r="Y89" s="5">
        <f>C89*Assumptions!$D$44*-1</f>
        <v>258.37051482590687</v>
      </c>
      <c r="Z89" s="5">
        <f t="shared" si="23"/>
        <v>901.5458936916657</v>
      </c>
      <c r="AA89" s="5">
        <f t="shared" si="30"/>
        <v>106848.76765862794</v>
      </c>
      <c r="AB89" s="3">
        <f>Assumptions!$E$45</f>
        <v>6.9899151946608562E-3</v>
      </c>
      <c r="AC89" s="5">
        <f t="shared" si="31"/>
        <v>108497.17737690744</v>
      </c>
      <c r="AD89" s="5">
        <f>AC89*Assumptions!$E$43</f>
        <v>97.167413818933767</v>
      </c>
      <c r="AE89" s="2">
        <f>AD89*Assumptions!$D$44*-1</f>
        <v>-14.575112072840064</v>
      </c>
      <c r="AF89" s="2">
        <f>AC89*Assumptions!$E$46*-1</f>
        <v>-3.6159097103263886</v>
      </c>
      <c r="AG89" s="22">
        <f t="shared" si="32"/>
        <v>108478.98635512427</v>
      </c>
      <c r="AH89" s="5">
        <f>Model_30y[[#This Row],[Mortgage Payment]]+Model_30y[[#This Row],[Total Upkeep]]+Model_30y[[#This Row],[Monthly Investment]]</f>
        <v>-3503.2042396692505</v>
      </c>
      <c r="AI89" s="5">
        <f>Model_Renter!D89*-1</f>
        <v>3563.7146208793069</v>
      </c>
      <c r="AJ89" s="5">
        <f t="shared" si="33"/>
        <v>60.510381210056494</v>
      </c>
    </row>
    <row r="90" spans="1:36" x14ac:dyDescent="0.25">
      <c r="A90" s="17">
        <f t="shared" si="28"/>
        <v>88</v>
      </c>
      <c r="B90" s="17">
        <f t="shared" si="24"/>
        <v>8</v>
      </c>
      <c r="C90" s="23">
        <f>IFERROR(IPMT(Assumptions!$D$16/12,Model_30y!A90, 360,Assumptions!$D$8), 0)</f>
        <v>-1719.8045686484554</v>
      </c>
      <c r="D90" s="2">
        <f>IFERROR(PPMT(Assumptions!$D$16/12, Model_30y!A90, 360, Assumptions!$D$8), 0)</f>
        <v>-478.65306428448253</v>
      </c>
      <c r="E90" s="2">
        <f t="shared" si="18"/>
        <v>-2198.4576329329379</v>
      </c>
      <c r="F90" s="2">
        <f>IF(I89&gt;1, Assumptions!$E$18, 0)*-1</f>
        <v>-2198.4576329329379</v>
      </c>
      <c r="G90" s="24">
        <f t="shared" si="19"/>
        <v>1</v>
      </c>
      <c r="H90" s="20">
        <f t="shared" si="25"/>
        <v>33370.694377060317</v>
      </c>
      <c r="I90" s="2">
        <f>MAX(Assumptions!$D$8-SUM(Model_30y!H90), 0)</f>
        <v>306629.30562293966</v>
      </c>
      <c r="J90" s="2">
        <f>J89*(1+(Assumptions!$E$51))</f>
        <v>607822.99088569521</v>
      </c>
      <c r="K90" s="22">
        <f t="shared" si="20"/>
        <v>301193.68526275555</v>
      </c>
      <c r="L90" s="5">
        <f t="shared" si="26"/>
        <v>118370.69437706032</v>
      </c>
      <c r="M90" s="63">
        <f>L90/Assumptions!$D$6</f>
        <v>0.27851928088720074</v>
      </c>
      <c r="N90" s="24">
        <f t="shared" si="34"/>
        <v>0</v>
      </c>
      <c r="O90" s="5">
        <f>N90*Assumptions!$E$25*-1</f>
        <v>0</v>
      </c>
      <c r="P90" s="20">
        <f>Assumptions!$E$35*J90*-1</f>
        <v>-1252.0158422706486</v>
      </c>
      <c r="Q90" s="5">
        <f>J90*Assumptions!$E$36*-1</f>
        <v>-504.21233771556416</v>
      </c>
      <c r="R90" s="5">
        <f>(R78+(Model_30y!R78*Assumptions!$D$51))</f>
        <v>-457.19037899472659</v>
      </c>
      <c r="S90" s="5">
        <f>S78+(S78*Assumptions!$D$51)</f>
        <v>0</v>
      </c>
      <c r="T90" s="5">
        <f t="shared" si="29"/>
        <v>0</v>
      </c>
      <c r="U90" s="22">
        <f t="shared" si="21"/>
        <v>-2213.4185589809395</v>
      </c>
      <c r="V90" s="5">
        <f>MAX(Assumptions!$E$18:$E$19)-U90</f>
        <v>5055.0515707796367</v>
      </c>
      <c r="W90" s="5">
        <f t="shared" si="22"/>
        <v>-2198.4576329329379</v>
      </c>
      <c r="X90" s="5">
        <f t="shared" si="27"/>
        <v>-2213.4185589809395</v>
      </c>
      <c r="Y90" s="5">
        <f>C90*Assumptions!$D$44*-1</f>
        <v>257.97068529726829</v>
      </c>
      <c r="Z90" s="5">
        <f t="shared" si="23"/>
        <v>901.14606416302763</v>
      </c>
      <c r="AA90" s="5">
        <f t="shared" si="30"/>
        <v>108478.98635512427</v>
      </c>
      <c r="AB90" s="3">
        <f>Assumptions!$E$45</f>
        <v>6.9899151946608562E-3</v>
      </c>
      <c r="AC90" s="5">
        <f t="shared" si="31"/>
        <v>110138.39133431239</v>
      </c>
      <c r="AD90" s="5">
        <f>AC90*Assumptions!$E$43</f>
        <v>98.63724482855153</v>
      </c>
      <c r="AE90" s="2">
        <f>AD90*Assumptions!$D$44*-1</f>
        <v>-14.795586724282728</v>
      </c>
      <c r="AF90" s="2">
        <f>AC90*Assumptions!$E$46*-1</f>
        <v>-3.6706068151615496</v>
      </c>
      <c r="AG90" s="22">
        <f t="shared" si="32"/>
        <v>110119.92514077295</v>
      </c>
      <c r="AH90" s="5">
        <f>Model_30y[[#This Row],[Mortgage Payment]]+Model_30y[[#This Row],[Total Upkeep]]+Model_30y[[#This Row],[Monthly Investment]]</f>
        <v>-3510.7301277508504</v>
      </c>
      <c r="AI90" s="5">
        <f>Model_Renter!D90*-1</f>
        <v>3563.7146208793069</v>
      </c>
      <c r="AJ90" s="5">
        <f t="shared" si="33"/>
        <v>52.984493128456506</v>
      </c>
    </row>
    <row r="91" spans="1:36" x14ac:dyDescent="0.25">
      <c r="A91" s="17">
        <f t="shared" si="28"/>
        <v>89</v>
      </c>
      <c r="B91" s="17">
        <f t="shared" si="24"/>
        <v>8</v>
      </c>
      <c r="C91" s="23">
        <f>IFERROR(IPMT(Assumptions!$D$16/12,Model_30y!A91, 360,Assumptions!$D$8), 0)</f>
        <v>-1717.1241114884624</v>
      </c>
      <c r="D91" s="2">
        <f>IFERROR(PPMT(Assumptions!$D$16/12, Model_30y!A91, 360, Assumptions!$D$8), 0)</f>
        <v>-481.33352144447565</v>
      </c>
      <c r="E91" s="2">
        <f t="shared" si="18"/>
        <v>-2198.4576329329379</v>
      </c>
      <c r="F91" s="2">
        <f>IF(I90&gt;1, Assumptions!$E$18, 0)*-1</f>
        <v>-2198.4576329329379</v>
      </c>
      <c r="G91" s="24">
        <f t="shared" si="19"/>
        <v>1</v>
      </c>
      <c r="H91" s="20">
        <f t="shared" si="25"/>
        <v>33852.027898504792</v>
      </c>
      <c r="I91" s="2">
        <f>MAX(Assumptions!$D$8-SUM(Model_30y!H91), 0)</f>
        <v>306147.97210149519</v>
      </c>
      <c r="J91" s="2">
        <f>J90*(1+(Assumptions!$E$51))</f>
        <v>610299.33698911092</v>
      </c>
      <c r="K91" s="22">
        <f t="shared" si="20"/>
        <v>304151.36488761572</v>
      </c>
      <c r="L91" s="5">
        <f t="shared" si="26"/>
        <v>118852.02789850481</v>
      </c>
      <c r="M91" s="63">
        <f>L91/Assumptions!$D$6</f>
        <v>0.27965183034942309</v>
      </c>
      <c r="N91" s="24">
        <f t="shared" si="34"/>
        <v>0</v>
      </c>
      <c r="O91" s="5">
        <f>N91*Assumptions!$E$25*-1</f>
        <v>0</v>
      </c>
      <c r="P91" s="20">
        <f>Assumptions!$E$35*J91*-1</f>
        <v>-1257.1167097911482</v>
      </c>
      <c r="Q91" s="5">
        <f>J91*Assumptions!$E$36*-1</f>
        <v>-506.26656119266005</v>
      </c>
      <c r="R91" s="5">
        <f>(R79+(Model_30y!R79*Assumptions!$D$51))</f>
        <v>-457.19037899472659</v>
      </c>
      <c r="S91" s="5">
        <f>S79+(S79*Assumptions!$D$51)</f>
        <v>0</v>
      </c>
      <c r="T91" s="5">
        <f t="shared" si="29"/>
        <v>0</v>
      </c>
      <c r="U91" s="22">
        <f t="shared" si="21"/>
        <v>-2220.5736499785348</v>
      </c>
      <c r="V91" s="5">
        <f>MAX(Assumptions!$E$18:$E$19)-U91</f>
        <v>5062.2066617772316</v>
      </c>
      <c r="W91" s="5">
        <f t="shared" si="22"/>
        <v>-2198.4576329329379</v>
      </c>
      <c r="X91" s="5">
        <f t="shared" si="27"/>
        <v>-2220.5736499785348</v>
      </c>
      <c r="Y91" s="5">
        <f>C91*Assumptions!$D$44*-1</f>
        <v>257.56861672326937</v>
      </c>
      <c r="Z91" s="5">
        <f t="shared" si="23"/>
        <v>900.74399558902815</v>
      </c>
      <c r="AA91" s="5">
        <f t="shared" si="30"/>
        <v>110119.92514077295</v>
      </c>
      <c r="AB91" s="3">
        <f>Assumptions!$E$45</f>
        <v>6.9899151946608562E-3</v>
      </c>
      <c r="AC91" s="5">
        <f t="shared" si="31"/>
        <v>111790.39807433839</v>
      </c>
      <c r="AD91" s="5">
        <f>AC91*Assumptions!$E$43</f>
        <v>100.11674158985565</v>
      </c>
      <c r="AE91" s="2">
        <f>AD91*Assumptions!$D$44*-1</f>
        <v>-15.017511238478347</v>
      </c>
      <c r="AF91" s="2">
        <f>AC91*Assumptions!$E$46*-1</f>
        <v>-3.7256636134783698</v>
      </c>
      <c r="AG91" s="22">
        <f t="shared" si="32"/>
        <v>111771.65489948643</v>
      </c>
      <c r="AH91" s="5">
        <f>Model_30y[[#This Row],[Mortgage Payment]]+Model_30y[[#This Row],[Total Upkeep]]+Model_30y[[#This Row],[Monthly Investment]]</f>
        <v>-3518.2872873224446</v>
      </c>
      <c r="AI91" s="5">
        <f>Model_Renter!D91*-1</f>
        <v>3563.7146208793069</v>
      </c>
      <c r="AJ91" s="5">
        <f t="shared" si="33"/>
        <v>45.427333556862322</v>
      </c>
    </row>
    <row r="92" spans="1:36" x14ac:dyDescent="0.25">
      <c r="A92" s="17">
        <f t="shared" si="28"/>
        <v>90</v>
      </c>
      <c r="B92" s="17">
        <f t="shared" si="24"/>
        <v>8</v>
      </c>
      <c r="C92" s="23">
        <f>IFERROR(IPMT(Assumptions!$D$16/12,Model_30y!A92, 360,Assumptions!$D$8), 0)</f>
        <v>-1714.4286437683731</v>
      </c>
      <c r="D92" s="2">
        <f>IFERROR(PPMT(Assumptions!$D$16/12, Model_30y!A92, 360, Assumptions!$D$8), 0)</f>
        <v>-484.02898916456479</v>
      </c>
      <c r="E92" s="2">
        <f t="shared" si="18"/>
        <v>-2198.4576329329379</v>
      </c>
      <c r="F92" s="2">
        <f>IF(I91&gt;1, Assumptions!$E$18, 0)*-1</f>
        <v>-2198.4576329329379</v>
      </c>
      <c r="G92" s="24">
        <f t="shared" si="19"/>
        <v>1</v>
      </c>
      <c r="H92" s="20">
        <f t="shared" si="25"/>
        <v>34336.056887669358</v>
      </c>
      <c r="I92" s="2">
        <f>MAX(Assumptions!$D$8-SUM(Model_30y!H92), 0)</f>
        <v>305663.94311233063</v>
      </c>
      <c r="J92" s="2">
        <f>J91*(1+(Assumptions!$E$51))</f>
        <v>612785.77203308302</v>
      </c>
      <c r="K92" s="22">
        <f t="shared" si="20"/>
        <v>307121.82892075239</v>
      </c>
      <c r="L92" s="5">
        <f t="shared" si="26"/>
        <v>119336.05688766937</v>
      </c>
      <c r="M92" s="63">
        <f>L92/Assumptions!$D$6</f>
        <v>0.28079072208863382</v>
      </c>
      <c r="N92" s="24">
        <f t="shared" si="34"/>
        <v>0</v>
      </c>
      <c r="O92" s="5">
        <f>N92*Assumptions!$E$25*-1</f>
        <v>0</v>
      </c>
      <c r="P92" s="20">
        <f>Assumptions!$E$35*J92*-1</f>
        <v>-1262.2383588773298</v>
      </c>
      <c r="Q92" s="5">
        <f>J92*Assumptions!$E$36*-1</f>
        <v>-508.32915383048089</v>
      </c>
      <c r="R92" s="5">
        <f>(R80+(Model_30y!R80*Assumptions!$D$51))</f>
        <v>-457.19037899472659</v>
      </c>
      <c r="S92" s="5">
        <f>S80+(S80*Assumptions!$D$51)</f>
        <v>0</v>
      </c>
      <c r="T92" s="5">
        <f t="shared" si="29"/>
        <v>0</v>
      </c>
      <c r="U92" s="22">
        <f t="shared" si="21"/>
        <v>-2227.7578917025371</v>
      </c>
      <c r="V92" s="5">
        <f>MAX(Assumptions!$E$18:$E$19)-U92</f>
        <v>5069.3909035012339</v>
      </c>
      <c r="W92" s="5">
        <f t="shared" si="22"/>
        <v>-2198.4576329329379</v>
      </c>
      <c r="X92" s="5">
        <f t="shared" si="27"/>
        <v>-2227.7578917025371</v>
      </c>
      <c r="Y92" s="5">
        <f>C92*Assumptions!$D$44*-1</f>
        <v>257.16429656525594</v>
      </c>
      <c r="Z92" s="5">
        <f t="shared" si="23"/>
        <v>900.33967543101471</v>
      </c>
      <c r="AA92" s="5">
        <f t="shared" si="30"/>
        <v>111771.65489948643</v>
      </c>
      <c r="AB92" s="3">
        <f>Assumptions!$E$45</f>
        <v>6.9899151946608562E-3</v>
      </c>
      <c r="AC92" s="5">
        <f t="shared" si="31"/>
        <v>113453.26896383175</v>
      </c>
      <c r="AD92" s="5">
        <f>AC92*Assumptions!$E$43</f>
        <v>101.60596801724519</v>
      </c>
      <c r="AE92" s="2">
        <f>AD92*Assumptions!$D$44*-1</f>
        <v>-15.240895202586778</v>
      </c>
      <c r="AF92" s="2">
        <f>AC92*Assumptions!$E$46*-1</f>
        <v>-3.7810824837357071</v>
      </c>
      <c r="AG92" s="22">
        <f t="shared" si="32"/>
        <v>113434.24698614543</v>
      </c>
      <c r="AH92" s="5">
        <f>Model_30y[[#This Row],[Mortgage Payment]]+Model_30y[[#This Row],[Total Upkeep]]+Model_30y[[#This Row],[Monthly Investment]]</f>
        <v>-3525.8758492044603</v>
      </c>
      <c r="AI92" s="5">
        <f>Model_Renter!D92*-1</f>
        <v>3563.7146208793069</v>
      </c>
      <c r="AJ92" s="5">
        <f t="shared" si="33"/>
        <v>37.838771674846612</v>
      </c>
    </row>
    <row r="93" spans="1:36" x14ac:dyDescent="0.25">
      <c r="A93" s="17">
        <f t="shared" si="28"/>
        <v>91</v>
      </c>
      <c r="B93" s="17">
        <f t="shared" si="24"/>
        <v>8</v>
      </c>
      <c r="C93" s="23">
        <f>IFERROR(IPMT(Assumptions!$D$16/12,Model_30y!A93, 360,Assumptions!$D$8), 0)</f>
        <v>-1711.7180814290518</v>
      </c>
      <c r="D93" s="2">
        <f>IFERROR(PPMT(Assumptions!$D$16/12, Model_30y!A93, 360, Assumptions!$D$8), 0)</f>
        <v>-486.73955150388628</v>
      </c>
      <c r="E93" s="2">
        <f t="shared" si="18"/>
        <v>-2198.4576329329379</v>
      </c>
      <c r="F93" s="2">
        <f>IF(I92&gt;1, Assumptions!$E$18, 0)*-1</f>
        <v>-2198.4576329329379</v>
      </c>
      <c r="G93" s="24">
        <f t="shared" si="19"/>
        <v>1</v>
      </c>
      <c r="H93" s="20">
        <f t="shared" si="25"/>
        <v>34822.796439173246</v>
      </c>
      <c r="I93" s="2">
        <f>MAX(Assumptions!$D$8-SUM(Model_30y!H93), 0)</f>
        <v>305177.20356082678</v>
      </c>
      <c r="J93" s="2">
        <f>J92*(1+(Assumptions!$E$51))</f>
        <v>615282.33712120436</v>
      </c>
      <c r="K93" s="22">
        <f t="shared" si="20"/>
        <v>310105.13356037758</v>
      </c>
      <c r="L93" s="5">
        <f t="shared" si="26"/>
        <v>119822.79643917325</v>
      </c>
      <c r="M93" s="63">
        <f>L93/Assumptions!$D$6</f>
        <v>0.28193599162158411</v>
      </c>
      <c r="N93" s="24">
        <f t="shared" si="34"/>
        <v>0</v>
      </c>
      <c r="O93" s="5">
        <f>N93*Assumptions!$E$25*-1</f>
        <v>0</v>
      </c>
      <c r="P93" s="20">
        <f>Assumptions!$E$35*J93*-1</f>
        <v>-1267.3808741958653</v>
      </c>
      <c r="Q93" s="5">
        <f>J93*Assumptions!$E$36*-1</f>
        <v>-510.40014972602353</v>
      </c>
      <c r="R93" s="5">
        <f>(R81+(Model_30y!R81*Assumptions!$D$51))</f>
        <v>-457.19037899472659</v>
      </c>
      <c r="S93" s="5">
        <f>S81+(S81*Assumptions!$D$51)</f>
        <v>0</v>
      </c>
      <c r="T93" s="5">
        <f t="shared" si="29"/>
        <v>0</v>
      </c>
      <c r="U93" s="22">
        <f t="shared" si="21"/>
        <v>-2234.9714029166153</v>
      </c>
      <c r="V93" s="5">
        <f>MAX(Assumptions!$E$18:$E$19)-U93</f>
        <v>5076.6044147153116</v>
      </c>
      <c r="W93" s="5">
        <f t="shared" si="22"/>
        <v>-2198.4576329329379</v>
      </c>
      <c r="X93" s="5">
        <f t="shared" si="27"/>
        <v>-2234.9714029166153</v>
      </c>
      <c r="Y93" s="5">
        <f>C93*Assumptions!$D$44*-1</f>
        <v>256.75771221435775</v>
      </c>
      <c r="Z93" s="5">
        <f t="shared" si="23"/>
        <v>899.93309108011613</v>
      </c>
      <c r="AA93" s="5">
        <f t="shared" si="30"/>
        <v>113434.24698614543</v>
      </c>
      <c r="AB93" s="3">
        <f>Assumptions!$E$45</f>
        <v>6.9899151946608562E-3</v>
      </c>
      <c r="AC93" s="5">
        <f t="shared" si="31"/>
        <v>115127.07584382892</v>
      </c>
      <c r="AD93" s="5">
        <f>AC93*Assumptions!$E$43</f>
        <v>103.10498844979222</v>
      </c>
      <c r="AE93" s="2">
        <f>AD93*Assumptions!$D$44*-1</f>
        <v>-15.465748267468832</v>
      </c>
      <c r="AF93" s="2">
        <f>AC93*Assumptions!$E$46*-1</f>
        <v>-3.8368658201958596</v>
      </c>
      <c r="AG93" s="22">
        <f t="shared" si="32"/>
        <v>115107.77322974126</v>
      </c>
      <c r="AH93" s="5">
        <f>Model_30y[[#This Row],[Mortgage Payment]]+Model_30y[[#This Row],[Total Upkeep]]+Model_30y[[#This Row],[Monthly Investment]]</f>
        <v>-3533.4959447694364</v>
      </c>
      <c r="AI93" s="5">
        <f>Model_Renter!D93*-1</f>
        <v>3563.7146208793069</v>
      </c>
      <c r="AJ93" s="5">
        <f t="shared" si="33"/>
        <v>30.218676109870557</v>
      </c>
    </row>
    <row r="94" spans="1:36" x14ac:dyDescent="0.25">
      <c r="A94" s="17">
        <f t="shared" si="28"/>
        <v>92</v>
      </c>
      <c r="B94" s="17">
        <f t="shared" si="24"/>
        <v>8</v>
      </c>
      <c r="C94" s="23">
        <f>IFERROR(IPMT(Assumptions!$D$16/12,Model_30y!A94, 360,Assumptions!$D$8), 0)</f>
        <v>-1708.99233994063</v>
      </c>
      <c r="D94" s="2">
        <f>IFERROR(PPMT(Assumptions!$D$16/12, Model_30y!A94, 360, Assumptions!$D$8), 0)</f>
        <v>-489.46529299230798</v>
      </c>
      <c r="E94" s="2">
        <f t="shared" si="18"/>
        <v>-2198.4576329329379</v>
      </c>
      <c r="F94" s="2">
        <f>IF(I93&gt;1, Assumptions!$E$18, 0)*-1</f>
        <v>-2198.4576329329379</v>
      </c>
      <c r="G94" s="24">
        <f t="shared" si="19"/>
        <v>1</v>
      </c>
      <c r="H94" s="20">
        <f t="shared" si="25"/>
        <v>35312.261732165556</v>
      </c>
      <c r="I94" s="2">
        <f>MAX(Assumptions!$D$8-SUM(Model_30y!H94), 0)</f>
        <v>304687.73826783441</v>
      </c>
      <c r="J94" s="2">
        <f>J93*(1+(Assumptions!$E$51))</f>
        <v>617789.07352452865</v>
      </c>
      <c r="K94" s="22">
        <f t="shared" si="20"/>
        <v>313101.33525669423</v>
      </c>
      <c r="L94" s="5">
        <f t="shared" si="26"/>
        <v>120312.26173216556</v>
      </c>
      <c r="M94" s="63">
        <f>L94/Assumptions!$D$6</f>
        <v>0.28308767466391893</v>
      </c>
      <c r="N94" s="24">
        <f t="shared" si="34"/>
        <v>0</v>
      </c>
      <c r="O94" s="5">
        <f>N94*Assumptions!$E$25*-1</f>
        <v>0</v>
      </c>
      <c r="P94" s="20">
        <f>Assumptions!$E$35*J94*-1</f>
        <v>-1272.5443407583678</v>
      </c>
      <c r="Q94" s="5">
        <f>J94*Assumptions!$E$36*-1</f>
        <v>-512.47958311520006</v>
      </c>
      <c r="R94" s="5">
        <f>(R82+(Model_30y!R82*Assumptions!$D$51))</f>
        <v>-457.19037899472659</v>
      </c>
      <c r="S94" s="5">
        <f>S82+(S82*Assumptions!$D$51)</f>
        <v>0</v>
      </c>
      <c r="T94" s="5">
        <f t="shared" si="29"/>
        <v>0</v>
      </c>
      <c r="U94" s="22">
        <f t="shared" si="21"/>
        <v>-2242.2143028682945</v>
      </c>
      <c r="V94" s="5">
        <f>MAX(Assumptions!$E$18:$E$19)-U94</f>
        <v>5083.8473146669912</v>
      </c>
      <c r="W94" s="5">
        <f t="shared" si="22"/>
        <v>-2198.4576329329379</v>
      </c>
      <c r="X94" s="5">
        <f t="shared" si="27"/>
        <v>-2242.2143028682945</v>
      </c>
      <c r="Y94" s="5">
        <f>C94*Assumptions!$D$44*-1</f>
        <v>256.34885099109448</v>
      </c>
      <c r="Z94" s="5">
        <f t="shared" si="23"/>
        <v>899.52422985685325</v>
      </c>
      <c r="AA94" s="5">
        <f t="shared" si="30"/>
        <v>115107.77322974126</v>
      </c>
      <c r="AB94" s="3">
        <f>Assumptions!$E$45</f>
        <v>6.9899151946608562E-3</v>
      </c>
      <c r="AC94" s="5">
        <f t="shared" si="31"/>
        <v>116811.89103272025</v>
      </c>
      <c r="AD94" s="5">
        <f>AC94*Assumptions!$E$43</f>
        <v>104.61386765407529</v>
      </c>
      <c r="AE94" s="2">
        <f>AD94*Assumptions!$D$44*-1</f>
        <v>-15.692080148111293</v>
      </c>
      <c r="AF94" s="2">
        <f>AC94*Assumptions!$E$46*-1</f>
        <v>-3.8930160330300065</v>
      </c>
      <c r="AG94" s="22">
        <f t="shared" si="32"/>
        <v>116792.30593653911</v>
      </c>
      <c r="AH94" s="5">
        <f>Model_30y[[#This Row],[Mortgage Payment]]+Model_30y[[#This Row],[Total Upkeep]]+Model_30y[[#This Row],[Monthly Investment]]</f>
        <v>-3541.1477059443791</v>
      </c>
      <c r="AI94" s="5">
        <f>Model_Renter!D94*-1</f>
        <v>3563.7146208793069</v>
      </c>
      <c r="AJ94" s="5">
        <f t="shared" si="33"/>
        <v>22.566914934927809</v>
      </c>
    </row>
    <row r="95" spans="1:36" x14ac:dyDescent="0.25">
      <c r="A95" s="17">
        <f t="shared" si="28"/>
        <v>93</v>
      </c>
      <c r="B95" s="17">
        <f t="shared" si="24"/>
        <v>8</v>
      </c>
      <c r="C95" s="23">
        <f>IFERROR(IPMT(Assumptions!$D$16/12,Model_30y!A95, 360,Assumptions!$D$8), 0)</f>
        <v>-1706.251334299873</v>
      </c>
      <c r="D95" s="2">
        <f>IFERROR(PPMT(Assumptions!$D$16/12, Model_30y!A95, 360, Assumptions!$D$8), 0)</f>
        <v>-492.20629863306499</v>
      </c>
      <c r="E95" s="2">
        <f t="shared" si="18"/>
        <v>-2198.4576329329379</v>
      </c>
      <c r="F95" s="2">
        <f>IF(I94&gt;1, Assumptions!$E$18, 0)*-1</f>
        <v>-2198.4576329329379</v>
      </c>
      <c r="G95" s="24">
        <f t="shared" si="19"/>
        <v>1</v>
      </c>
      <c r="H95" s="20">
        <f t="shared" si="25"/>
        <v>35804.46803079862</v>
      </c>
      <c r="I95" s="2">
        <f>MAX(Assumptions!$D$8-SUM(Model_30y!H95), 0)</f>
        <v>304195.5319692014</v>
      </c>
      <c r="J95" s="2">
        <f>J94*(1+(Assumptions!$E$51))</f>
        <v>620306.02268225304</v>
      </c>
      <c r="K95" s="22">
        <f t="shared" si="20"/>
        <v>316110.49071305164</v>
      </c>
      <c r="L95" s="5">
        <f t="shared" si="26"/>
        <v>120804.46803079863</v>
      </c>
      <c r="M95" s="63">
        <f>L95/Assumptions!$D$6</f>
        <v>0.28424580713129088</v>
      </c>
      <c r="N95" s="24">
        <f t="shared" si="34"/>
        <v>0</v>
      </c>
      <c r="O95" s="5">
        <f>N95*Assumptions!$E$25*-1</f>
        <v>0</v>
      </c>
      <c r="P95" s="20">
        <f>Assumptions!$E$35*J95*-1</f>
        <v>-1277.7288439227987</v>
      </c>
      <c r="Q95" s="5">
        <f>J95*Assumptions!$E$36*-1</f>
        <v>-514.56748837340388</v>
      </c>
      <c r="R95" s="5">
        <f>(R83+(Model_30y!R83*Assumptions!$D$51))</f>
        <v>-457.19037899472659</v>
      </c>
      <c r="S95" s="5">
        <f>S83+(S83*Assumptions!$D$51)</f>
        <v>0</v>
      </c>
      <c r="T95" s="5">
        <f t="shared" si="29"/>
        <v>0</v>
      </c>
      <c r="U95" s="22">
        <f t="shared" si="21"/>
        <v>-2249.4867112909292</v>
      </c>
      <c r="V95" s="5">
        <f>MAX(Assumptions!$E$18:$E$19)-U95</f>
        <v>5091.1197230896259</v>
      </c>
      <c r="W95" s="5">
        <f t="shared" si="22"/>
        <v>-2198.4576329329379</v>
      </c>
      <c r="X95" s="5">
        <f t="shared" si="27"/>
        <v>-2249.4867112909292</v>
      </c>
      <c r="Y95" s="5">
        <f>C95*Assumptions!$D$44*-1</f>
        <v>255.93770014498094</v>
      </c>
      <c r="Z95" s="5">
        <f t="shared" si="23"/>
        <v>899.11307901073974</v>
      </c>
      <c r="AA95" s="5">
        <f t="shared" si="30"/>
        <v>116792.30593653911</v>
      </c>
      <c r="AB95" s="3">
        <f>Assumptions!$E$45</f>
        <v>6.9899151946608562E-3</v>
      </c>
      <c r="AC95" s="5">
        <f t="shared" si="31"/>
        <v>118507.78732943514</v>
      </c>
      <c r="AD95" s="5">
        <f>AC95*Assumptions!$E$43</f>
        <v>106.132670827032</v>
      </c>
      <c r="AE95" s="2">
        <f>AD95*Assumptions!$D$44*-1</f>
        <v>-15.919900624054799</v>
      </c>
      <c r="AF95" s="2">
        <f>AC95*Assumptions!$E$46*-1</f>
        <v>-3.9495355484243593</v>
      </c>
      <c r="AG95" s="22">
        <f t="shared" si="32"/>
        <v>118487.91789326267</v>
      </c>
      <c r="AH95" s="5">
        <f>Model_30y[[#This Row],[Mortgage Payment]]+Model_30y[[#This Row],[Total Upkeep]]+Model_30y[[#This Row],[Monthly Investment]]</f>
        <v>-3548.8312652131272</v>
      </c>
      <c r="AI95" s="5">
        <f>Model_Renter!D95*-1</f>
        <v>3563.7146208793069</v>
      </c>
      <c r="AJ95" s="5">
        <f t="shared" si="33"/>
        <v>14.883355666179796</v>
      </c>
    </row>
    <row r="96" spans="1:36" x14ac:dyDescent="0.25">
      <c r="A96" s="17">
        <f t="shared" si="28"/>
        <v>94</v>
      </c>
      <c r="B96" s="17">
        <f t="shared" si="24"/>
        <v>8</v>
      </c>
      <c r="C96" s="23">
        <f>IFERROR(IPMT(Assumptions!$D$16/12,Model_30y!A96, 360,Assumptions!$D$8), 0)</f>
        <v>-1703.4949790275277</v>
      </c>
      <c r="D96" s="2">
        <f>IFERROR(PPMT(Assumptions!$D$16/12, Model_30y!A96, 360, Assumptions!$D$8), 0)</f>
        <v>-494.96265390541009</v>
      </c>
      <c r="E96" s="2">
        <f t="shared" si="18"/>
        <v>-2198.4576329329379</v>
      </c>
      <c r="F96" s="2">
        <f>IF(I95&gt;1, Assumptions!$E$18, 0)*-1</f>
        <v>-2198.4576329329379</v>
      </c>
      <c r="G96" s="24">
        <f t="shared" si="19"/>
        <v>1</v>
      </c>
      <c r="H96" s="20">
        <f t="shared" si="25"/>
        <v>36299.430684704028</v>
      </c>
      <c r="I96" s="2">
        <f>MAX(Assumptions!$D$8-SUM(Model_30y!H96), 0)</f>
        <v>303700.56931529596</v>
      </c>
      <c r="J96" s="2">
        <f>J95*(1+(Assumptions!$E$51))</f>
        <v>622833.22620240308</v>
      </c>
      <c r="K96" s="22">
        <f t="shared" si="20"/>
        <v>319132.65688710712</v>
      </c>
      <c r="L96" s="5">
        <f t="shared" si="26"/>
        <v>121299.43068470404</v>
      </c>
      <c r="M96" s="63">
        <f>L96/Assumptions!$D$6</f>
        <v>0.2854104251404801</v>
      </c>
      <c r="N96" s="24">
        <f t="shared" si="34"/>
        <v>0</v>
      </c>
      <c r="O96" s="5">
        <f>N96*Assumptions!$E$25*-1</f>
        <v>0</v>
      </c>
      <c r="P96" s="20">
        <f>Assumptions!$E$35*J96*-1</f>
        <v>-1282.9344693948781</v>
      </c>
      <c r="Q96" s="5">
        <f>J96*Assumptions!$E$36*-1</f>
        <v>-516.66390001607817</v>
      </c>
      <c r="R96" s="5">
        <f>(R84+(Model_30y!R84*Assumptions!$D$51))</f>
        <v>-457.19037899472659</v>
      </c>
      <c r="S96" s="5">
        <f>S84+(S84*Assumptions!$D$51)</f>
        <v>0</v>
      </c>
      <c r="T96" s="5">
        <f t="shared" si="29"/>
        <v>0</v>
      </c>
      <c r="U96" s="22">
        <f t="shared" si="21"/>
        <v>-2256.7887484056828</v>
      </c>
      <c r="V96" s="5">
        <f>MAX(Assumptions!$E$18:$E$19)-U96</f>
        <v>5098.4217602043791</v>
      </c>
      <c r="W96" s="5">
        <f t="shared" si="22"/>
        <v>-2198.4576329329379</v>
      </c>
      <c r="X96" s="5">
        <f t="shared" si="27"/>
        <v>-2256.7887484056828</v>
      </c>
      <c r="Y96" s="5">
        <f>C96*Assumptions!$D$44*-1</f>
        <v>255.52424685412916</v>
      </c>
      <c r="Z96" s="5">
        <f t="shared" si="23"/>
        <v>898.69962571988754</v>
      </c>
      <c r="AA96" s="5">
        <f t="shared" si="30"/>
        <v>118487.91789326267</v>
      </c>
      <c r="AB96" s="3">
        <f>Assumptions!$E$45</f>
        <v>6.9899151946608562E-3</v>
      </c>
      <c r="AC96" s="5">
        <f t="shared" si="31"/>
        <v>120214.8380166484</v>
      </c>
      <c r="AD96" s="5">
        <f>AC96*Assumptions!$E$43</f>
        <v>107.66146359883041</v>
      </c>
      <c r="AE96" s="2">
        <f>AD96*Assumptions!$D$44*-1</f>
        <v>-16.149219539824561</v>
      </c>
      <c r="AF96" s="2">
        <f>AC96*Assumptions!$E$46*-1</f>
        <v>-4.0064268086870207</v>
      </c>
      <c r="AG96" s="22">
        <f t="shared" si="32"/>
        <v>120194.68237029988</v>
      </c>
      <c r="AH96" s="5">
        <f>Model_30y[[#This Row],[Mortgage Payment]]+Model_30y[[#This Row],[Total Upkeep]]+Model_30y[[#This Row],[Monthly Investment]]</f>
        <v>-3556.5467556187327</v>
      </c>
      <c r="AI96" s="5">
        <f>Model_Renter!D96*-1</f>
        <v>3563.7146208793069</v>
      </c>
      <c r="AJ96" s="5">
        <f t="shared" si="33"/>
        <v>7.1678652605742172</v>
      </c>
    </row>
    <row r="97" spans="1:36" x14ac:dyDescent="0.25">
      <c r="A97" s="17">
        <f t="shared" si="28"/>
        <v>95</v>
      </c>
      <c r="B97" s="17">
        <f t="shared" si="24"/>
        <v>8</v>
      </c>
      <c r="C97" s="23">
        <f>IFERROR(IPMT(Assumptions!$D$16/12,Model_30y!A97, 360,Assumptions!$D$8), 0)</f>
        <v>-1700.7231881656576</v>
      </c>
      <c r="D97" s="2">
        <f>IFERROR(PPMT(Assumptions!$D$16/12, Model_30y!A97, 360, Assumptions!$D$8), 0)</f>
        <v>-497.73444476728042</v>
      </c>
      <c r="E97" s="2">
        <f t="shared" si="18"/>
        <v>-2198.4576329329379</v>
      </c>
      <c r="F97" s="2">
        <f>IF(I96&gt;1, Assumptions!$E$18, 0)*-1</f>
        <v>-2198.4576329329379</v>
      </c>
      <c r="G97" s="24">
        <f t="shared" si="19"/>
        <v>1</v>
      </c>
      <c r="H97" s="20">
        <f t="shared" si="25"/>
        <v>36797.165129471308</v>
      </c>
      <c r="I97" s="2">
        <f>MAX(Assumptions!$D$8-SUM(Model_30y!H97), 0)</f>
        <v>303202.83487052866</v>
      </c>
      <c r="J97" s="2">
        <f>J96*(1+(Assumptions!$E$51))</f>
        <v>625370.72586252075</v>
      </c>
      <c r="K97" s="22">
        <f t="shared" si="20"/>
        <v>322167.89099199208</v>
      </c>
      <c r="L97" s="5">
        <f t="shared" si="26"/>
        <v>121797.16512947132</v>
      </c>
      <c r="M97" s="63">
        <f>L97/Assumptions!$D$6</f>
        <v>0.28658156501052073</v>
      </c>
      <c r="N97" s="24">
        <f t="shared" si="34"/>
        <v>0</v>
      </c>
      <c r="O97" s="5">
        <f>N97*Assumptions!$E$25*-1</f>
        <v>0</v>
      </c>
      <c r="P97" s="20">
        <f>Assumptions!$E$35*J97*-1</f>
        <v>-1288.161303229502</v>
      </c>
      <c r="Q97" s="5">
        <f>J97*Assumptions!$E$36*-1</f>
        <v>-518.76885269928619</v>
      </c>
      <c r="R97" s="5">
        <f>(R85+(Model_30y!R85*Assumptions!$D$51))</f>
        <v>-457.19037899472659</v>
      </c>
      <c r="S97" s="5">
        <f>S85+(S85*Assumptions!$D$51)</f>
        <v>0</v>
      </c>
      <c r="T97" s="5">
        <f t="shared" si="29"/>
        <v>0</v>
      </c>
      <c r="U97" s="22">
        <f t="shared" si="21"/>
        <v>-2264.1205349235147</v>
      </c>
      <c r="V97" s="5">
        <f>MAX(Assumptions!$E$18:$E$19)-U97</f>
        <v>5105.7535467222115</v>
      </c>
      <c r="W97" s="5">
        <f t="shared" si="22"/>
        <v>-2198.4576329329379</v>
      </c>
      <c r="X97" s="5">
        <f t="shared" si="27"/>
        <v>-2264.1205349235147</v>
      </c>
      <c r="Y97" s="5">
        <f>C97*Assumptions!$D$44*-1</f>
        <v>255.10847822484862</v>
      </c>
      <c r="Z97" s="5">
        <f t="shared" si="23"/>
        <v>898.2838570906074</v>
      </c>
      <c r="AA97" s="5">
        <f t="shared" si="30"/>
        <v>120194.68237029988</v>
      </c>
      <c r="AB97" s="3">
        <f>Assumptions!$E$45</f>
        <v>6.9899151946608562E-3</v>
      </c>
      <c r="AC97" s="5">
        <f t="shared" si="31"/>
        <v>121933.11686400807</v>
      </c>
      <c r="AD97" s="5">
        <f>AC97*Assumptions!$E$43</f>
        <v>109.20031203575992</v>
      </c>
      <c r="AE97" s="2">
        <f>AD97*Assumptions!$D$44*-1</f>
        <v>-16.380046805363989</v>
      </c>
      <c r="AF97" s="2">
        <f>AC97*Assumptions!$E$46*-1</f>
        <v>-4.0636922723555591</v>
      </c>
      <c r="AG97" s="22">
        <f t="shared" si="32"/>
        <v>121912.67312493036</v>
      </c>
      <c r="AH97" s="5">
        <f>Model_30y[[#This Row],[Mortgage Payment]]+Model_30y[[#This Row],[Total Upkeep]]+Model_30y[[#This Row],[Monthly Investment]]</f>
        <v>-3564.2943107658452</v>
      </c>
      <c r="AI97" s="5">
        <f>Model_Renter!D97*-1</f>
        <v>3563.7146208793069</v>
      </c>
      <c r="AJ97" s="5">
        <f t="shared" si="33"/>
        <v>-0.57968988653829001</v>
      </c>
    </row>
    <row r="98" spans="1:36" x14ac:dyDescent="0.25">
      <c r="A98" s="17">
        <f t="shared" si="28"/>
        <v>96</v>
      </c>
      <c r="B98" s="17">
        <f t="shared" si="24"/>
        <v>8</v>
      </c>
      <c r="C98" s="23">
        <f>IFERROR(IPMT(Assumptions!$D$16/12,Model_30y!A98, 360,Assumptions!$D$8), 0)</f>
        <v>-1697.9358752749608</v>
      </c>
      <c r="D98" s="2">
        <f>IFERROR(PPMT(Assumptions!$D$16/12, Model_30y!A98, 360, Assumptions!$D$8), 0)</f>
        <v>-500.52175765797716</v>
      </c>
      <c r="E98" s="2">
        <f t="shared" si="18"/>
        <v>-2198.4576329329379</v>
      </c>
      <c r="F98" s="2">
        <f>IF(I97&gt;1, Assumptions!$E$18, 0)*-1</f>
        <v>-2198.4576329329379</v>
      </c>
      <c r="G98" s="24">
        <f t="shared" si="19"/>
        <v>1</v>
      </c>
      <c r="H98" s="20">
        <f t="shared" si="25"/>
        <v>37297.686887129283</v>
      </c>
      <c r="I98" s="2">
        <f>MAX(Assumptions!$D$8-SUM(Model_30y!H98), 0)</f>
        <v>302702.31311287073</v>
      </c>
      <c r="J98" s="2">
        <f>J97*(1+(Assumptions!$E$51))</f>
        <v>627918.56361035467</v>
      </c>
      <c r="K98" s="22">
        <f t="shared" si="20"/>
        <v>325216.25049748394</v>
      </c>
      <c r="L98" s="5">
        <f t="shared" si="26"/>
        <v>122297.6868871293</v>
      </c>
      <c r="M98" s="63">
        <f>L98/Assumptions!$D$6</f>
        <v>0.28775926326383366</v>
      </c>
      <c r="N98" s="24">
        <f t="shared" si="34"/>
        <v>0</v>
      </c>
      <c r="O98" s="5">
        <f>N98*Assumptions!$E$25*-1</f>
        <v>0</v>
      </c>
      <c r="P98" s="20">
        <f>Assumptions!$E$35*J98*-1</f>
        <v>-1293.4094318321647</v>
      </c>
      <c r="Q98" s="5">
        <f>J98*Assumptions!$E$36*-1</f>
        <v>-520.88238122028429</v>
      </c>
      <c r="R98" s="5">
        <f>(R86+(Model_30y!R86*Assumptions!$D$51))</f>
        <v>-457.19037899472659</v>
      </c>
      <c r="S98" s="5">
        <f>S86+(S86*Assumptions!$D$51)</f>
        <v>0</v>
      </c>
      <c r="T98" s="5">
        <f t="shared" si="29"/>
        <v>0</v>
      </c>
      <c r="U98" s="22">
        <f t="shared" si="21"/>
        <v>-2271.4821920471754</v>
      </c>
      <c r="V98" s="5">
        <f>MAX(Assumptions!$E$18:$E$19)-U98</f>
        <v>5113.1152038458722</v>
      </c>
      <c r="W98" s="5">
        <f t="shared" si="22"/>
        <v>-2198.4576329329379</v>
      </c>
      <c r="X98" s="5">
        <f t="shared" si="27"/>
        <v>-2271.4821920471754</v>
      </c>
      <c r="Y98" s="5">
        <f>C98*Assumptions!$D$44*-1</f>
        <v>254.69038129124411</v>
      </c>
      <c r="Z98" s="5">
        <f t="shared" si="23"/>
        <v>897.86576015700291</v>
      </c>
      <c r="AA98" s="5">
        <f t="shared" si="30"/>
        <v>121912.67312493036</v>
      </c>
      <c r="AB98" s="3">
        <f>Assumptions!$E$45</f>
        <v>6.9899151946608562E-3</v>
      </c>
      <c r="AC98" s="5">
        <f t="shared" si="31"/>
        <v>123662.69813138503</v>
      </c>
      <c r="AD98" s="5">
        <f>AC98*Assumptions!$E$43</f>
        <v>110.74928264314147</v>
      </c>
      <c r="AE98" s="2">
        <f>AD98*Assumptions!$D$44*-1</f>
        <v>-16.612392396471218</v>
      </c>
      <c r="AF98" s="2">
        <f>AC98*Assumptions!$E$46*-1</f>
        <v>-4.1213344143053092</v>
      </c>
      <c r="AG98" s="22">
        <f t="shared" si="32"/>
        <v>123641.96440457425</v>
      </c>
      <c r="AH98" s="5">
        <f>Model_30y[[#This Row],[Mortgage Payment]]+Model_30y[[#This Row],[Total Upkeep]]+Model_30y[[#This Row],[Monthly Investment]]</f>
        <v>-3572.0740648231103</v>
      </c>
      <c r="AI98" s="5">
        <f>Model_Renter!D98*-1</f>
        <v>3563.7146208793069</v>
      </c>
      <c r="AJ98" s="5">
        <f t="shared" si="33"/>
        <v>-8.3594439438033987</v>
      </c>
    </row>
    <row r="99" spans="1:36" x14ac:dyDescent="0.25">
      <c r="A99" s="17">
        <f t="shared" si="28"/>
        <v>97</v>
      </c>
      <c r="B99" s="17">
        <f t="shared" si="24"/>
        <v>9</v>
      </c>
      <c r="C99" s="23">
        <f>IFERROR(IPMT(Assumptions!$D$16/12,Model_30y!A99, 360,Assumptions!$D$8), 0)</f>
        <v>-1695.1329534320762</v>
      </c>
      <c r="D99" s="2">
        <f>IFERROR(PPMT(Assumptions!$D$16/12, Model_30y!A99, 360, Assumptions!$D$8), 0)</f>
        <v>-503.32467950086181</v>
      </c>
      <c r="E99" s="2">
        <f t="shared" si="18"/>
        <v>-2198.4576329329379</v>
      </c>
      <c r="F99" s="2">
        <f>IF(I98&gt;1, Assumptions!$E$18, 0)*-1</f>
        <v>-2198.4576329329379</v>
      </c>
      <c r="G99" s="24">
        <f t="shared" si="19"/>
        <v>1</v>
      </c>
      <c r="H99" s="20">
        <f t="shared" si="25"/>
        <v>37801.011566630143</v>
      </c>
      <c r="I99" s="2">
        <f>MAX(Assumptions!$D$8-SUM(Model_30y!H99), 0)</f>
        <v>302198.98843336984</v>
      </c>
      <c r="J99" s="2">
        <f>J98*(1+(Assumptions!$E$51))</f>
        <v>630476.78156455397</v>
      </c>
      <c r="K99" s="22">
        <f t="shared" si="20"/>
        <v>328277.79313118412</v>
      </c>
      <c r="L99" s="5">
        <f t="shared" si="26"/>
        <v>122801.01156663016</v>
      </c>
      <c r="M99" s="63">
        <f>L99/Assumptions!$D$6</f>
        <v>0.28894355662736509</v>
      </c>
      <c r="N99" s="24">
        <f t="shared" si="34"/>
        <v>0</v>
      </c>
      <c r="O99" s="5">
        <f>N99*Assumptions!$E$25*-1</f>
        <v>0</v>
      </c>
      <c r="P99" s="20">
        <f>Assumptions!$E$35*J99*-1</f>
        <v>-1298.6789419603874</v>
      </c>
      <c r="Q99" s="5">
        <f>J99*Assumptions!$E$36*-1</f>
        <v>-523.00452051809725</v>
      </c>
      <c r="R99" s="5">
        <f>(R87+(Model_30y!R87*Assumptions!$D$51))</f>
        <v>-480.04989794446294</v>
      </c>
      <c r="S99" s="5">
        <f>S87+(S87*Assumptions!$D$51)</f>
        <v>0</v>
      </c>
      <c r="T99" s="5">
        <f t="shared" si="29"/>
        <v>0</v>
      </c>
      <c r="U99" s="22">
        <f t="shared" si="21"/>
        <v>-2301.7333604229475</v>
      </c>
      <c r="V99" s="5">
        <f>MAX(Assumptions!$E$18:$E$19)-U99</f>
        <v>5143.3663722216443</v>
      </c>
      <c r="W99" s="5">
        <f t="shared" si="22"/>
        <v>-2198.4576329329379</v>
      </c>
      <c r="X99" s="5">
        <f t="shared" si="27"/>
        <v>-2301.7333604229475</v>
      </c>
      <c r="Y99" s="5">
        <f>C99*Assumptions!$D$44*-1</f>
        <v>254.26994301481142</v>
      </c>
      <c r="Z99" s="5">
        <f t="shared" si="23"/>
        <v>897.44532188057019</v>
      </c>
      <c r="AA99" s="5">
        <f t="shared" si="30"/>
        <v>123641.96440457425</v>
      </c>
      <c r="AB99" s="3">
        <f>Assumptions!$E$45</f>
        <v>6.9899151946608562E-3</v>
      </c>
      <c r="AC99" s="5">
        <f t="shared" si="31"/>
        <v>125403.65657214407</v>
      </c>
      <c r="AD99" s="5">
        <f>AC99*Assumptions!$E$43</f>
        <v>112.30844236825709</v>
      </c>
      <c r="AE99" s="2">
        <f>AD99*Assumptions!$D$44*-1</f>
        <v>-16.846266355238562</v>
      </c>
      <c r="AF99" s="2">
        <f>AC99*Assumptions!$E$46*-1</f>
        <v>-4.1793557258583895</v>
      </c>
      <c r="AG99" s="22">
        <f t="shared" si="32"/>
        <v>125382.63095006297</v>
      </c>
      <c r="AH99" s="5">
        <f>Model_30y[[#This Row],[Mortgage Payment]]+Model_30y[[#This Row],[Total Upkeep]]+Model_30y[[#This Row],[Monthly Investment]]</f>
        <v>-3602.7456714753152</v>
      </c>
      <c r="AI99" s="5">
        <f>Model_Renter!D99*-1</f>
        <v>3696.9975477001935</v>
      </c>
      <c r="AJ99" s="5">
        <f t="shared" si="33"/>
        <v>94.251876224878288</v>
      </c>
    </row>
    <row r="100" spans="1:36" x14ac:dyDescent="0.25">
      <c r="A100" s="17">
        <f t="shared" si="28"/>
        <v>98</v>
      </c>
      <c r="B100" s="17">
        <f t="shared" si="24"/>
        <v>9</v>
      </c>
      <c r="C100" s="23">
        <f>IFERROR(IPMT(Assumptions!$D$16/12,Model_30y!A100, 360,Assumptions!$D$8), 0)</f>
        <v>-1692.3143352268712</v>
      </c>
      <c r="D100" s="2">
        <f>IFERROR(PPMT(Assumptions!$D$16/12, Model_30y!A100, 360, Assumptions!$D$8), 0)</f>
        <v>-506.14329770606668</v>
      </c>
      <c r="E100" s="2">
        <f t="shared" si="18"/>
        <v>-2198.4576329329379</v>
      </c>
      <c r="F100" s="2">
        <f>IF(I99&gt;1, Assumptions!$E$18, 0)*-1</f>
        <v>-2198.4576329329379</v>
      </c>
      <c r="G100" s="24">
        <f t="shared" si="19"/>
        <v>1</v>
      </c>
      <c r="H100" s="20">
        <f t="shared" si="25"/>
        <v>38307.154864336211</v>
      </c>
      <c r="I100" s="2">
        <f>MAX(Assumptions!$D$8-SUM(Model_30y!H100), 0)</f>
        <v>301692.84513566381</v>
      </c>
      <c r="J100" s="2">
        <f>J99*(1+(Assumptions!$E$51))</f>
        <v>633045.42201536417</v>
      </c>
      <c r="K100" s="22">
        <f t="shared" si="20"/>
        <v>331352.57687970035</v>
      </c>
      <c r="L100" s="5">
        <f t="shared" si="26"/>
        <v>123307.15486433622</v>
      </c>
      <c r="M100" s="63">
        <f>L100/Assumptions!$D$6</f>
        <v>0.29013448203373227</v>
      </c>
      <c r="N100" s="24">
        <f t="shared" si="34"/>
        <v>0</v>
      </c>
      <c r="O100" s="5">
        <f>N100*Assumptions!$E$25*-1</f>
        <v>0</v>
      </c>
      <c r="P100" s="20">
        <f>Assumptions!$E$35*J100*-1</f>
        <v>-1303.9699207251515</v>
      </c>
      <c r="Q100" s="5">
        <f>J100*Assumptions!$E$36*-1</f>
        <v>-525.13530567409566</v>
      </c>
      <c r="R100" s="5">
        <f>(R88+(Model_30y!R88*Assumptions!$D$51))</f>
        <v>-480.04989794446294</v>
      </c>
      <c r="S100" s="5">
        <f>S88+(S88*Assumptions!$D$51)</f>
        <v>0</v>
      </c>
      <c r="T100" s="5">
        <f t="shared" si="29"/>
        <v>0</v>
      </c>
      <c r="U100" s="22">
        <f t="shared" si="21"/>
        <v>-2309.1551243437102</v>
      </c>
      <c r="V100" s="5">
        <f>MAX(Assumptions!$E$18:$E$19)-U100</f>
        <v>5150.788136142407</v>
      </c>
      <c r="W100" s="5">
        <f t="shared" si="22"/>
        <v>-2198.4576329329379</v>
      </c>
      <c r="X100" s="5">
        <f t="shared" si="27"/>
        <v>-2309.1551243437102</v>
      </c>
      <c r="Y100" s="5">
        <f>C100*Assumptions!$D$44*-1</f>
        <v>253.84715028403068</v>
      </c>
      <c r="Z100" s="5">
        <f t="shared" si="23"/>
        <v>897.02252914978953</v>
      </c>
      <c r="AA100" s="5">
        <f t="shared" si="30"/>
        <v>125382.63095006297</v>
      </c>
      <c r="AB100" s="3">
        <f>Assumptions!$E$45</f>
        <v>6.9899151946608562E-3</v>
      </c>
      <c r="AC100" s="5">
        <f t="shared" si="31"/>
        <v>127156.06743643717</v>
      </c>
      <c r="AD100" s="5">
        <f>AC100*Assumptions!$E$43</f>
        <v>113.8778586032992</v>
      </c>
      <c r="AE100" s="2">
        <f>AD100*Assumptions!$D$44*-1</f>
        <v>-17.08167879049488</v>
      </c>
      <c r="AF100" s="2">
        <f>AC100*Assumptions!$E$46*-1</f>
        <v>-4.2377587148934532</v>
      </c>
      <c r="AG100" s="22">
        <f t="shared" si="32"/>
        <v>127134.74799893178</v>
      </c>
      <c r="AH100" s="5">
        <f>Model_30y[[#This Row],[Mortgage Payment]]+Model_30y[[#This Row],[Total Upkeep]]+Model_30y[[#This Row],[Monthly Investment]]</f>
        <v>-3610.5902281268586</v>
      </c>
      <c r="AI100" s="5">
        <f>Model_Renter!D100*-1</f>
        <v>3696.9975477001935</v>
      </c>
      <c r="AJ100" s="5">
        <f t="shared" si="33"/>
        <v>86.407319573334917</v>
      </c>
    </row>
    <row r="101" spans="1:36" x14ac:dyDescent="0.25">
      <c r="A101" s="17">
        <f t="shared" si="28"/>
        <v>99</v>
      </c>
      <c r="B101" s="17">
        <f t="shared" si="24"/>
        <v>9</v>
      </c>
      <c r="C101" s="23">
        <f>IFERROR(IPMT(Assumptions!$D$16/12,Model_30y!A101, 360,Assumptions!$D$8), 0)</f>
        <v>-1689.4799327597173</v>
      </c>
      <c r="D101" s="2">
        <f>IFERROR(PPMT(Assumptions!$D$16/12, Model_30y!A101, 360, Assumptions!$D$8), 0)</f>
        <v>-508.97770017322068</v>
      </c>
      <c r="E101" s="2">
        <f t="shared" si="18"/>
        <v>-2198.4576329329379</v>
      </c>
      <c r="F101" s="2">
        <f>IF(I100&gt;1, Assumptions!$E$18, 0)*-1</f>
        <v>-2198.4576329329379</v>
      </c>
      <c r="G101" s="24">
        <f t="shared" si="19"/>
        <v>1</v>
      </c>
      <c r="H101" s="20">
        <f t="shared" si="25"/>
        <v>38816.132564509433</v>
      </c>
      <c r="I101" s="2">
        <f>MAX(Assumptions!$D$8-SUM(Model_30y!H101), 0)</f>
        <v>301183.8674354906</v>
      </c>
      <c r="J101" s="2">
        <f>J100*(1+(Assumptions!$E$51))</f>
        <v>635624.52742532664</v>
      </c>
      <c r="K101" s="22">
        <f t="shared" si="20"/>
        <v>334440.65998983604</v>
      </c>
      <c r="L101" s="5">
        <f t="shared" si="26"/>
        <v>123816.13256450943</v>
      </c>
      <c r="M101" s="63">
        <f>L101/Assumptions!$D$6</f>
        <v>0.29133207662237515</v>
      </c>
      <c r="N101" s="24">
        <f t="shared" si="34"/>
        <v>0</v>
      </c>
      <c r="O101" s="5">
        <f>N101*Assumptions!$E$25*-1</f>
        <v>0</v>
      </c>
      <c r="P101" s="20">
        <f>Assumptions!$E$35*J101*-1</f>
        <v>-1309.2824555923398</v>
      </c>
      <c r="Q101" s="5">
        <f>J101*Assumptions!$E$36*-1</f>
        <v>-527.27477191257594</v>
      </c>
      <c r="R101" s="5">
        <f>(R89+(Model_30y!R89*Assumptions!$D$51))</f>
        <v>-480.04989794446294</v>
      </c>
      <c r="S101" s="5">
        <f>S89+(S89*Assumptions!$D$51)</f>
        <v>0</v>
      </c>
      <c r="T101" s="5">
        <f t="shared" si="29"/>
        <v>0</v>
      </c>
      <c r="U101" s="22">
        <f t="shared" si="21"/>
        <v>-2316.6071254493786</v>
      </c>
      <c r="V101" s="5">
        <f>MAX(Assumptions!$E$18:$E$19)-U101</f>
        <v>5158.2401372480754</v>
      </c>
      <c r="W101" s="5">
        <f t="shared" si="22"/>
        <v>-2198.4576329329379</v>
      </c>
      <c r="X101" s="5">
        <f t="shared" si="27"/>
        <v>-2316.6071254493786</v>
      </c>
      <c r="Y101" s="5">
        <f>C101*Assumptions!$D$44*-1</f>
        <v>253.42198991395759</v>
      </c>
      <c r="Z101" s="5">
        <f t="shared" si="23"/>
        <v>896.59736877971636</v>
      </c>
      <c r="AA101" s="5">
        <f t="shared" si="30"/>
        <v>127134.74799893178</v>
      </c>
      <c r="AB101" s="3">
        <f>Assumptions!$E$45</f>
        <v>6.9899151946608562E-3</v>
      </c>
      <c r="AC101" s="5">
        <f t="shared" si="31"/>
        <v>128920.00647451861</v>
      </c>
      <c r="AD101" s="5">
        <f>AC101*Assumptions!$E$43</f>
        <v>115.45759918833964</v>
      </c>
      <c r="AE101" s="2">
        <f>AD101*Assumptions!$D$44*-1</f>
        <v>-17.318639878250945</v>
      </c>
      <c r="AF101" s="2">
        <f>AC101*Assumptions!$E$46*-1</f>
        <v>-4.2965459059561768</v>
      </c>
      <c r="AG101" s="22">
        <f t="shared" si="32"/>
        <v>128898.3912887344</v>
      </c>
      <c r="AH101" s="5">
        <f>Model_30y[[#This Row],[Mortgage Payment]]+Model_30y[[#This Row],[Total Upkeep]]+Model_30y[[#This Row],[Monthly Investment]]</f>
        <v>-3618.4673896026002</v>
      </c>
      <c r="AI101" s="5">
        <f>Model_Renter!D101*-1</f>
        <v>3696.9975477001935</v>
      </c>
      <c r="AJ101" s="5">
        <f t="shared" si="33"/>
        <v>78.530158097593358</v>
      </c>
    </row>
    <row r="102" spans="1:36" x14ac:dyDescent="0.25">
      <c r="A102" s="17">
        <f t="shared" si="28"/>
        <v>100</v>
      </c>
      <c r="B102" s="17">
        <f t="shared" si="24"/>
        <v>9</v>
      </c>
      <c r="C102" s="23">
        <f>IFERROR(IPMT(Assumptions!$D$16/12,Model_30y!A102, 360,Assumptions!$D$8), 0)</f>
        <v>-1686.6296576387474</v>
      </c>
      <c r="D102" s="2">
        <f>IFERROR(PPMT(Assumptions!$D$16/12, Model_30y!A102, 360, Assumptions!$D$8), 0)</f>
        <v>-511.82797529419076</v>
      </c>
      <c r="E102" s="2">
        <f t="shared" si="18"/>
        <v>-2198.4576329329384</v>
      </c>
      <c r="F102" s="2">
        <f>IF(I101&gt;1, Assumptions!$E$18, 0)*-1</f>
        <v>-2198.4576329329379</v>
      </c>
      <c r="G102" s="24">
        <f t="shared" si="19"/>
        <v>1</v>
      </c>
      <c r="H102" s="20">
        <f t="shared" si="25"/>
        <v>39327.960539803622</v>
      </c>
      <c r="I102" s="2">
        <f>MAX(Assumptions!$D$8-SUM(Model_30y!H102), 0)</f>
        <v>300672.03946019639</v>
      </c>
      <c r="J102" s="2">
        <f>J101*(1+(Assumptions!$E$51))</f>
        <v>638214.14042998035</v>
      </c>
      <c r="K102" s="22">
        <f t="shared" si="20"/>
        <v>337542.10096978396</v>
      </c>
      <c r="L102" s="5">
        <f t="shared" si="26"/>
        <v>124327.96053980362</v>
      </c>
      <c r="M102" s="63">
        <f>L102/Assumptions!$D$6</f>
        <v>0.29253637774071439</v>
      </c>
      <c r="N102" s="24">
        <f t="shared" si="34"/>
        <v>0</v>
      </c>
      <c r="O102" s="5">
        <f>N102*Assumptions!$E$25*-1</f>
        <v>0</v>
      </c>
      <c r="P102" s="20">
        <f>Assumptions!$E$35*J102*-1</f>
        <v>-1314.6166343841819</v>
      </c>
      <c r="Q102" s="5">
        <f>J102*Assumptions!$E$36*-1</f>
        <v>-529.42295460134267</v>
      </c>
      <c r="R102" s="5">
        <f>(R90+(Model_30y!R90*Assumptions!$D$51))</f>
        <v>-480.04989794446294</v>
      </c>
      <c r="S102" s="5">
        <f>S90+(S90*Assumptions!$D$51)</f>
        <v>0</v>
      </c>
      <c r="T102" s="5">
        <f t="shared" si="29"/>
        <v>0</v>
      </c>
      <c r="U102" s="22">
        <f t="shared" si="21"/>
        <v>-2324.0894869299873</v>
      </c>
      <c r="V102" s="5">
        <f>MAX(Assumptions!$E$18:$E$19)-U102</f>
        <v>5165.7224987286845</v>
      </c>
      <c r="W102" s="5">
        <f t="shared" si="22"/>
        <v>-2198.4576329329379</v>
      </c>
      <c r="X102" s="5">
        <f t="shared" si="27"/>
        <v>-2324.0894869299873</v>
      </c>
      <c r="Y102" s="5">
        <f>C102*Assumptions!$D$44*-1</f>
        <v>252.9944486458121</v>
      </c>
      <c r="Z102" s="5">
        <f t="shared" si="23"/>
        <v>896.16982751157138</v>
      </c>
      <c r="AA102" s="5">
        <f t="shared" si="30"/>
        <v>128898.3912887344</v>
      </c>
      <c r="AB102" s="3">
        <f>Assumptions!$E$45</f>
        <v>6.9899151946608562E-3</v>
      </c>
      <c r="AC102" s="5">
        <f t="shared" si="31"/>
        <v>130695.54994008245</v>
      </c>
      <c r="AD102" s="5">
        <f>AC102*Assumptions!$E$43</f>
        <v>117.04773241431853</v>
      </c>
      <c r="AE102" s="2">
        <f>AD102*Assumptions!$D$44*-1</f>
        <v>-17.557159862147778</v>
      </c>
      <c r="AF102" s="2">
        <f>AC102*Assumptions!$E$46*-1</f>
        <v>-4.3557198403704867</v>
      </c>
      <c r="AG102" s="22">
        <f t="shared" si="32"/>
        <v>130673.63706037993</v>
      </c>
      <c r="AH102" s="5">
        <f>Model_30y[[#This Row],[Mortgage Payment]]+Model_30y[[#This Row],[Total Upkeep]]+Model_30y[[#This Row],[Monthly Investment]]</f>
        <v>-3626.3772923513543</v>
      </c>
      <c r="AI102" s="5">
        <f>Model_Renter!D102*-1</f>
        <v>3696.9975477001935</v>
      </c>
      <c r="AJ102" s="5">
        <f t="shared" si="33"/>
        <v>70.620255348839237</v>
      </c>
    </row>
    <row r="103" spans="1:36" x14ac:dyDescent="0.25">
      <c r="A103" s="17">
        <f t="shared" si="28"/>
        <v>101</v>
      </c>
      <c r="B103" s="17">
        <f t="shared" si="24"/>
        <v>9</v>
      </c>
      <c r="C103" s="23">
        <f>IFERROR(IPMT(Assumptions!$D$16/12,Model_30y!A103, 360,Assumptions!$D$8), 0)</f>
        <v>-1683.7634209770997</v>
      </c>
      <c r="D103" s="2">
        <f>IFERROR(PPMT(Assumptions!$D$16/12, Model_30y!A103, 360, Assumptions!$D$8), 0)</f>
        <v>-514.69421195583811</v>
      </c>
      <c r="E103" s="2">
        <f t="shared" si="18"/>
        <v>-2198.4576329329379</v>
      </c>
      <c r="F103" s="2">
        <f>IF(I102&gt;1, Assumptions!$E$18, 0)*-1</f>
        <v>-2198.4576329329379</v>
      </c>
      <c r="G103" s="24">
        <f t="shared" si="19"/>
        <v>1</v>
      </c>
      <c r="H103" s="20">
        <f t="shared" si="25"/>
        <v>39842.654751759459</v>
      </c>
      <c r="I103" s="2">
        <f>MAX(Assumptions!$D$8-SUM(Model_30y!H103), 0)</f>
        <v>300157.34524824051</v>
      </c>
      <c r="J103" s="2">
        <f>J102*(1+(Assumptions!$E$51))</f>
        <v>640814.30383856688</v>
      </c>
      <c r="K103" s="22">
        <f t="shared" si="20"/>
        <v>340656.95859032637</v>
      </c>
      <c r="L103" s="5">
        <f t="shared" si="26"/>
        <v>124842.65475175946</v>
      </c>
      <c r="M103" s="63">
        <f>L103/Assumptions!$D$6</f>
        <v>0.29374742294531636</v>
      </c>
      <c r="N103" s="24">
        <f t="shared" si="34"/>
        <v>0</v>
      </c>
      <c r="O103" s="5">
        <f>N103*Assumptions!$E$25*-1</f>
        <v>0</v>
      </c>
      <c r="P103" s="20">
        <f>Assumptions!$E$35*J103*-1</f>
        <v>-1319.9725452807063</v>
      </c>
      <c r="Q103" s="5">
        <f>J103*Assumptions!$E$36*-1</f>
        <v>-531.57988925229347</v>
      </c>
      <c r="R103" s="5">
        <f>(R91+(Model_30y!R91*Assumptions!$D$51))</f>
        <v>-480.04989794446294</v>
      </c>
      <c r="S103" s="5">
        <f>S91+(S91*Assumptions!$D$51)</f>
        <v>0</v>
      </c>
      <c r="T103" s="5">
        <f t="shared" si="29"/>
        <v>0</v>
      </c>
      <c r="U103" s="22">
        <f t="shared" si="21"/>
        <v>-2331.6023324774628</v>
      </c>
      <c r="V103" s="5">
        <f>MAX(Assumptions!$E$18:$E$19)-U103</f>
        <v>5173.2353442761596</v>
      </c>
      <c r="W103" s="5">
        <f t="shared" si="22"/>
        <v>-2198.4576329329379</v>
      </c>
      <c r="X103" s="5">
        <f t="shared" si="27"/>
        <v>-2331.6023324774628</v>
      </c>
      <c r="Y103" s="5">
        <f>C103*Assumptions!$D$44*-1</f>
        <v>252.56451314656493</v>
      </c>
      <c r="Z103" s="5">
        <f t="shared" si="23"/>
        <v>895.73989201232371</v>
      </c>
      <c r="AA103" s="5">
        <f t="shared" si="30"/>
        <v>130673.63706037993</v>
      </c>
      <c r="AB103" s="3">
        <f>Assumptions!$E$45</f>
        <v>6.9899151946608562E-3</v>
      </c>
      <c r="AC103" s="5">
        <f t="shared" si="31"/>
        <v>132482.77459362219</v>
      </c>
      <c r="AD103" s="5">
        <f>AC103*Assumptions!$E$43</f>
        <v>118.64832702605318</v>
      </c>
      <c r="AE103" s="2">
        <f>AD103*Assumptions!$D$44*-1</f>
        <v>-17.797249053907976</v>
      </c>
      <c r="AF103" s="2">
        <f>AC103*Assumptions!$E$46*-1</f>
        <v>-4.4152830763505273</v>
      </c>
      <c r="AG103" s="22">
        <f t="shared" si="32"/>
        <v>132460.56206149195</v>
      </c>
      <c r="AH103" s="5">
        <f>Model_30y[[#This Row],[Mortgage Payment]]+Model_30y[[#This Row],[Total Upkeep]]+Model_30y[[#This Row],[Monthly Investment]]</f>
        <v>-3634.3200733980771</v>
      </c>
      <c r="AI103" s="5">
        <f>Model_Renter!D103*-1</f>
        <v>3696.9975477001935</v>
      </c>
      <c r="AJ103" s="5">
        <f t="shared" si="33"/>
        <v>62.67747430211648</v>
      </c>
    </row>
    <row r="104" spans="1:36" x14ac:dyDescent="0.25">
      <c r="A104" s="17">
        <f t="shared" si="28"/>
        <v>102</v>
      </c>
      <c r="B104" s="17">
        <f t="shared" si="24"/>
        <v>9</v>
      </c>
      <c r="C104" s="23">
        <f>IFERROR(IPMT(Assumptions!$D$16/12,Model_30y!A104, 360,Assumptions!$D$8), 0)</f>
        <v>-1680.8811333901469</v>
      </c>
      <c r="D104" s="2">
        <f>IFERROR(PPMT(Assumptions!$D$16/12, Model_30y!A104, 360, Assumptions!$D$8), 0)</f>
        <v>-517.57649954279088</v>
      </c>
      <c r="E104" s="2">
        <f t="shared" si="18"/>
        <v>-2198.4576329329379</v>
      </c>
      <c r="F104" s="2">
        <f>IF(I103&gt;1, Assumptions!$E$18, 0)*-1</f>
        <v>-2198.4576329329379</v>
      </c>
      <c r="G104" s="24">
        <f t="shared" si="19"/>
        <v>1</v>
      </c>
      <c r="H104" s="20">
        <f t="shared" si="25"/>
        <v>40360.231251302248</v>
      </c>
      <c r="I104" s="2">
        <f>MAX(Assumptions!$D$8-SUM(Model_30y!H104), 0)</f>
        <v>299639.76874869777</v>
      </c>
      <c r="J104" s="2">
        <f>J103*(1+(Assumptions!$E$51))</f>
        <v>643425.0606347376</v>
      </c>
      <c r="K104" s="22">
        <f t="shared" si="20"/>
        <v>343785.29188603983</v>
      </c>
      <c r="L104" s="5">
        <f t="shared" si="26"/>
        <v>125360.23125130225</v>
      </c>
      <c r="M104" s="63">
        <f>L104/Assumptions!$D$6</f>
        <v>0.29496525000306412</v>
      </c>
      <c r="N104" s="24">
        <f t="shared" si="34"/>
        <v>0</v>
      </c>
      <c r="O104" s="5">
        <f>N104*Assumptions!$E$25*-1</f>
        <v>0</v>
      </c>
      <c r="P104" s="20">
        <f>Assumptions!$E$35*J104*-1</f>
        <v>-1325.3502768211972</v>
      </c>
      <c r="Q104" s="5">
        <f>J104*Assumptions!$E$36*-1</f>
        <v>-533.74561152200533</v>
      </c>
      <c r="R104" s="5">
        <f>(R92+(Model_30y!R92*Assumptions!$D$51))</f>
        <v>-480.04989794446294</v>
      </c>
      <c r="S104" s="5">
        <f>S92+(S92*Assumptions!$D$51)</f>
        <v>0</v>
      </c>
      <c r="T104" s="5">
        <f t="shared" si="29"/>
        <v>0</v>
      </c>
      <c r="U104" s="22">
        <f t="shared" si="21"/>
        <v>-2339.1457862876655</v>
      </c>
      <c r="V104" s="5">
        <f>MAX(Assumptions!$E$18:$E$19)-U104</f>
        <v>5180.7787980863623</v>
      </c>
      <c r="W104" s="5">
        <f t="shared" si="22"/>
        <v>-2198.4576329329379</v>
      </c>
      <c r="X104" s="5">
        <f t="shared" si="27"/>
        <v>-2339.1457862876655</v>
      </c>
      <c r="Y104" s="5">
        <f>C104*Assumptions!$D$44*-1</f>
        <v>252.13217000852202</v>
      </c>
      <c r="Z104" s="5">
        <f t="shared" si="23"/>
        <v>895.30754887428088</v>
      </c>
      <c r="AA104" s="5">
        <f t="shared" si="30"/>
        <v>132460.56206149195</v>
      </c>
      <c r="AB104" s="3">
        <f>Assumptions!$E$45</f>
        <v>6.9899151946608562E-3</v>
      </c>
      <c r="AC104" s="5">
        <f t="shared" si="31"/>
        <v>134281.75770581319</v>
      </c>
      <c r="AD104" s="5">
        <f>AC104*Assumptions!$E$43</f>
        <v>120.25945222526727</v>
      </c>
      <c r="AE104" s="2">
        <f>AD104*Assumptions!$D$44*-1</f>
        <v>-18.038917833790091</v>
      </c>
      <c r="AF104" s="2">
        <f>AC104*Assumptions!$E$46*-1</f>
        <v>-4.4752381891133881</v>
      </c>
      <c r="AG104" s="22">
        <f t="shared" si="32"/>
        <v>134259.24354979029</v>
      </c>
      <c r="AH104" s="5">
        <f>Model_30y[[#This Row],[Mortgage Payment]]+Model_30y[[#This Row],[Total Upkeep]]+Model_30y[[#This Row],[Monthly Investment]]</f>
        <v>-3642.2958703463228</v>
      </c>
      <c r="AI104" s="5">
        <f>Model_Renter!D104*-1</f>
        <v>3696.9975477001935</v>
      </c>
      <c r="AJ104" s="5">
        <f t="shared" si="33"/>
        <v>54.701677353870764</v>
      </c>
    </row>
    <row r="105" spans="1:36" x14ac:dyDescent="0.25">
      <c r="A105" s="17">
        <f t="shared" si="28"/>
        <v>103</v>
      </c>
      <c r="B105" s="17">
        <f t="shared" si="24"/>
        <v>9</v>
      </c>
      <c r="C105" s="23">
        <f>IFERROR(IPMT(Assumptions!$D$16/12,Model_30y!A105, 360,Assumptions!$D$8), 0)</f>
        <v>-1677.9827049927076</v>
      </c>
      <c r="D105" s="2">
        <f>IFERROR(PPMT(Assumptions!$D$16/12, Model_30y!A105, 360, Assumptions!$D$8), 0)</f>
        <v>-520.47492794023049</v>
      </c>
      <c r="E105" s="2">
        <f t="shared" si="18"/>
        <v>-2198.4576329329379</v>
      </c>
      <c r="F105" s="2">
        <f>IF(I104&gt;1, Assumptions!$E$18, 0)*-1</f>
        <v>-2198.4576329329379</v>
      </c>
      <c r="G105" s="24">
        <f t="shared" si="19"/>
        <v>1</v>
      </c>
      <c r="H105" s="20">
        <f t="shared" si="25"/>
        <v>40880.706179242479</v>
      </c>
      <c r="I105" s="2">
        <f>MAX(Assumptions!$D$8-SUM(Model_30y!H105), 0)</f>
        <v>299119.29382075754</v>
      </c>
      <c r="J105" s="2">
        <f>J104*(1+(Assumptions!$E$51))</f>
        <v>646046.45397726493</v>
      </c>
      <c r="K105" s="22">
        <f t="shared" si="20"/>
        <v>346927.16015650739</v>
      </c>
      <c r="L105" s="5">
        <f t="shared" si="26"/>
        <v>125880.70617924248</v>
      </c>
      <c r="M105" s="63">
        <f>L105/Assumptions!$D$6</f>
        <v>0.29618989689233527</v>
      </c>
      <c r="N105" s="24">
        <f t="shared" si="34"/>
        <v>0</v>
      </c>
      <c r="O105" s="5">
        <f>N105*Assumptions!$E$25*-1</f>
        <v>0</v>
      </c>
      <c r="P105" s="20">
        <f>Assumptions!$E$35*J105*-1</f>
        <v>-1330.7499179056592</v>
      </c>
      <c r="Q105" s="5">
        <f>J105*Assumptions!$E$36*-1</f>
        <v>-535.92015721232497</v>
      </c>
      <c r="R105" s="5">
        <f>(R93+(Model_30y!R93*Assumptions!$D$51))</f>
        <v>-480.04989794446294</v>
      </c>
      <c r="S105" s="5">
        <f>S93+(S93*Assumptions!$D$51)</f>
        <v>0</v>
      </c>
      <c r="T105" s="5">
        <f t="shared" si="29"/>
        <v>0</v>
      </c>
      <c r="U105" s="22">
        <f t="shared" si="21"/>
        <v>-2346.719973062447</v>
      </c>
      <c r="V105" s="5">
        <f>MAX(Assumptions!$E$18:$E$19)-U105</f>
        <v>5188.3529848611433</v>
      </c>
      <c r="W105" s="5">
        <f t="shared" si="22"/>
        <v>-2198.4576329329379</v>
      </c>
      <c r="X105" s="5">
        <f t="shared" si="27"/>
        <v>-2346.719973062447</v>
      </c>
      <c r="Y105" s="5">
        <f>C105*Assumptions!$D$44*-1</f>
        <v>251.69740574890614</v>
      </c>
      <c r="Z105" s="5">
        <f t="shared" si="23"/>
        <v>894.87278461466451</v>
      </c>
      <c r="AA105" s="5">
        <f t="shared" si="30"/>
        <v>134259.24354979029</v>
      </c>
      <c r="AB105" s="3">
        <f>Assumptions!$E$45</f>
        <v>6.9899151946608562E-3</v>
      </c>
      <c r="AC105" s="5">
        <f t="shared" si="31"/>
        <v>136092.57706091731</v>
      </c>
      <c r="AD105" s="5">
        <f>AC105*Assumptions!$E$43</f>
        <v>121.88117767363995</v>
      </c>
      <c r="AE105" s="2">
        <f>AD105*Assumptions!$D$44*-1</f>
        <v>-18.282176651045994</v>
      </c>
      <c r="AF105" s="2">
        <f>AC105*Assumptions!$E$46*-1</f>
        <v>-4.5355877709925716</v>
      </c>
      <c r="AG105" s="22">
        <f t="shared" si="32"/>
        <v>136069.75929649526</v>
      </c>
      <c r="AH105" s="5">
        <f>Model_30y[[#This Row],[Mortgage Payment]]+Model_30y[[#This Row],[Total Upkeep]]+Model_30y[[#This Row],[Monthly Investment]]</f>
        <v>-3650.3048213807201</v>
      </c>
      <c r="AI105" s="5">
        <f>Model_Renter!D105*-1</f>
        <v>3696.9975477001935</v>
      </c>
      <c r="AJ105" s="5">
        <f t="shared" si="33"/>
        <v>46.692726319473422</v>
      </c>
    </row>
    <row r="106" spans="1:36" x14ac:dyDescent="0.25">
      <c r="A106" s="17">
        <f t="shared" si="28"/>
        <v>104</v>
      </c>
      <c r="B106" s="17">
        <f t="shared" si="24"/>
        <v>9</v>
      </c>
      <c r="C106" s="23">
        <f>IFERROR(IPMT(Assumptions!$D$16/12,Model_30y!A106, 360,Assumptions!$D$8), 0)</f>
        <v>-1675.0680453962423</v>
      </c>
      <c r="D106" s="2">
        <f>IFERROR(PPMT(Assumptions!$D$16/12, Model_30y!A106, 360, Assumptions!$D$8), 0)</f>
        <v>-523.38958753669579</v>
      </c>
      <c r="E106" s="2">
        <f t="shared" si="18"/>
        <v>-2198.4576329329379</v>
      </c>
      <c r="F106" s="2">
        <f>IF(I105&gt;1, Assumptions!$E$18, 0)*-1</f>
        <v>-2198.4576329329379</v>
      </c>
      <c r="G106" s="24">
        <f t="shared" si="19"/>
        <v>1</v>
      </c>
      <c r="H106" s="20">
        <f t="shared" si="25"/>
        <v>41404.095766779174</v>
      </c>
      <c r="I106" s="2">
        <f>MAX(Assumptions!$D$8-SUM(Model_30y!H106), 0)</f>
        <v>298595.90423322085</v>
      </c>
      <c r="J106" s="2">
        <f>J105*(1+(Assumptions!$E$51))</f>
        <v>648678.52720075543</v>
      </c>
      <c r="K106" s="22">
        <f t="shared" si="20"/>
        <v>350082.62296753458</v>
      </c>
      <c r="L106" s="5">
        <f t="shared" si="26"/>
        <v>126404.09576677918</v>
      </c>
      <c r="M106" s="63">
        <f>L106/Assumptions!$D$6</f>
        <v>0.2974214018041863</v>
      </c>
      <c r="N106" s="24">
        <f t="shared" si="34"/>
        <v>0</v>
      </c>
      <c r="O106" s="5">
        <f>N106*Assumptions!$E$25*-1</f>
        <v>0</v>
      </c>
      <c r="P106" s="20">
        <f>Assumptions!$E$35*J106*-1</f>
        <v>-1336.1715577962871</v>
      </c>
      <c r="Q106" s="5">
        <f>J106*Assumptions!$E$36*-1</f>
        <v>-538.10356227096031</v>
      </c>
      <c r="R106" s="5">
        <f>(R94+(Model_30y!R94*Assumptions!$D$51))</f>
        <v>-480.04989794446294</v>
      </c>
      <c r="S106" s="5">
        <f>S94+(S94*Assumptions!$D$51)</f>
        <v>0</v>
      </c>
      <c r="T106" s="5">
        <f t="shared" si="29"/>
        <v>0</v>
      </c>
      <c r="U106" s="22">
        <f t="shared" si="21"/>
        <v>-2354.3250180117102</v>
      </c>
      <c r="V106" s="5">
        <f>MAX(Assumptions!$E$18:$E$19)-U106</f>
        <v>5195.9580298104065</v>
      </c>
      <c r="W106" s="5">
        <f t="shared" si="22"/>
        <v>-2198.4576329329379</v>
      </c>
      <c r="X106" s="5">
        <f t="shared" si="27"/>
        <v>-2354.3250180117102</v>
      </c>
      <c r="Y106" s="5">
        <f>C106*Assumptions!$D$44*-1</f>
        <v>251.26020680943634</v>
      </c>
      <c r="Z106" s="5">
        <f t="shared" si="23"/>
        <v>894.43558567519472</v>
      </c>
      <c r="AA106" s="5">
        <f t="shared" si="30"/>
        <v>136069.75929649526</v>
      </c>
      <c r="AB106" s="3">
        <f>Assumptions!$E$45</f>
        <v>6.9899151946608562E-3</v>
      </c>
      <c r="AC106" s="5">
        <f t="shared" si="31"/>
        <v>137915.31096021089</v>
      </c>
      <c r="AD106" s="5">
        <f>AC106*Assumptions!$E$43</f>
        <v>123.51357349587592</v>
      </c>
      <c r="AE106" s="2">
        <f>AD106*Assumptions!$D$44*-1</f>
        <v>-18.527036024381388</v>
      </c>
      <c r="AF106" s="2">
        <f>AC106*Assumptions!$E$46*-1</f>
        <v>-4.5963344315522363</v>
      </c>
      <c r="AG106" s="22">
        <f t="shared" si="32"/>
        <v>137892.18758975496</v>
      </c>
      <c r="AH106" s="5">
        <f>Model_30y[[#This Row],[Mortgage Payment]]+Model_30y[[#This Row],[Total Upkeep]]+Model_30y[[#This Row],[Monthly Investment]]</f>
        <v>-3658.3470652694532</v>
      </c>
      <c r="AI106" s="5">
        <f>Model_Renter!D106*-1</f>
        <v>3696.9975477001935</v>
      </c>
      <c r="AJ106" s="5">
        <f t="shared" si="33"/>
        <v>38.65048243074034</v>
      </c>
    </row>
    <row r="107" spans="1:36" x14ac:dyDescent="0.25">
      <c r="A107" s="17">
        <f t="shared" si="28"/>
        <v>105</v>
      </c>
      <c r="B107" s="17">
        <f t="shared" si="24"/>
        <v>9</v>
      </c>
      <c r="C107" s="23">
        <f>IFERROR(IPMT(Assumptions!$D$16/12,Model_30y!A107, 360,Assumptions!$D$8), 0)</f>
        <v>-1672.1370637060368</v>
      </c>
      <c r="D107" s="2">
        <f>IFERROR(PPMT(Assumptions!$D$16/12, Model_30y!A107, 360, Assumptions!$D$8), 0)</f>
        <v>-526.32056922690128</v>
      </c>
      <c r="E107" s="2">
        <f t="shared" si="18"/>
        <v>-2198.4576329329379</v>
      </c>
      <c r="F107" s="2">
        <f>IF(I106&gt;1, Assumptions!$E$18, 0)*-1</f>
        <v>-2198.4576329329379</v>
      </c>
      <c r="G107" s="24">
        <f t="shared" si="19"/>
        <v>1</v>
      </c>
      <c r="H107" s="20">
        <f t="shared" si="25"/>
        <v>41930.416336006077</v>
      </c>
      <c r="I107" s="2">
        <f>MAX(Assumptions!$D$8-SUM(Model_30y!H107), 0)</f>
        <v>298069.58366399392</v>
      </c>
      <c r="J107" s="2">
        <f>J106*(1+(Assumptions!$E$51))</f>
        <v>651321.32381636603</v>
      </c>
      <c r="K107" s="22">
        <f t="shared" si="20"/>
        <v>353251.74015237211</v>
      </c>
      <c r="L107" s="5">
        <f t="shared" si="26"/>
        <v>126930.41633600608</v>
      </c>
      <c r="M107" s="63">
        <f>L107/Assumptions!$D$6</f>
        <v>0.29865980314354373</v>
      </c>
      <c r="N107" s="24">
        <f t="shared" si="34"/>
        <v>0</v>
      </c>
      <c r="O107" s="5">
        <f>N107*Assumptions!$E$25*-1</f>
        <v>0</v>
      </c>
      <c r="P107" s="20">
        <f>Assumptions!$E$35*J107*-1</f>
        <v>-1341.6152861189394</v>
      </c>
      <c r="Q107" s="5">
        <f>J107*Assumptions!$E$36*-1</f>
        <v>-540.29586279207433</v>
      </c>
      <c r="R107" s="5">
        <f>(R95+(Model_30y!R95*Assumptions!$D$51))</f>
        <v>-480.04989794446294</v>
      </c>
      <c r="S107" s="5">
        <f>S95+(S95*Assumptions!$D$51)</f>
        <v>0</v>
      </c>
      <c r="T107" s="5">
        <f t="shared" si="29"/>
        <v>0</v>
      </c>
      <c r="U107" s="22">
        <f t="shared" si="21"/>
        <v>-2361.9610468554765</v>
      </c>
      <c r="V107" s="5">
        <f>MAX(Assumptions!$E$18:$E$19)-U107</f>
        <v>5203.5940586541728</v>
      </c>
      <c r="W107" s="5">
        <f t="shared" si="22"/>
        <v>-2198.4576329329379</v>
      </c>
      <c r="X107" s="5">
        <f t="shared" si="27"/>
        <v>-2361.9610468554765</v>
      </c>
      <c r="Y107" s="5">
        <f>C107*Assumptions!$D$44*-1</f>
        <v>250.8205595559055</v>
      </c>
      <c r="Z107" s="5">
        <f t="shared" si="23"/>
        <v>893.99593842166382</v>
      </c>
      <c r="AA107" s="5">
        <f t="shared" si="30"/>
        <v>137892.18758975496</v>
      </c>
      <c r="AB107" s="3">
        <f>Assumptions!$E$45</f>
        <v>6.9899151946608562E-3</v>
      </c>
      <c r="AC107" s="5">
        <f t="shared" si="31"/>
        <v>139750.03822543527</v>
      </c>
      <c r="AD107" s="5">
        <f>AC107*Assumptions!$E$43</f>
        <v>125.15671028279553</v>
      </c>
      <c r="AE107" s="2">
        <f>AD107*Assumptions!$D$44*-1</f>
        <v>-18.77350654241933</v>
      </c>
      <c r="AF107" s="2">
        <f>AC107*Assumptions!$E$46*-1</f>
        <v>-4.6574807977021955</v>
      </c>
      <c r="AG107" s="22">
        <f t="shared" si="32"/>
        <v>139726.60723809517</v>
      </c>
      <c r="AH107" s="5">
        <f>Model_30y[[#This Row],[Mortgage Payment]]+Model_30y[[#This Row],[Total Upkeep]]+Model_30y[[#This Row],[Monthly Investment]]</f>
        <v>-3666.4227413667504</v>
      </c>
      <c r="AI107" s="5">
        <f>Model_Renter!D107*-1</f>
        <v>3696.9975477001935</v>
      </c>
      <c r="AJ107" s="5">
        <f t="shared" si="33"/>
        <v>30.574806333443121</v>
      </c>
    </row>
    <row r="108" spans="1:36" x14ac:dyDescent="0.25">
      <c r="A108" s="17">
        <f t="shared" si="28"/>
        <v>106</v>
      </c>
      <c r="B108" s="17">
        <f t="shared" si="24"/>
        <v>9</v>
      </c>
      <c r="C108" s="23">
        <f>IFERROR(IPMT(Assumptions!$D$16/12,Model_30y!A108, 360,Assumptions!$D$8), 0)</f>
        <v>-1669.189668518366</v>
      </c>
      <c r="D108" s="2">
        <f>IFERROR(PPMT(Assumptions!$D$16/12, Model_30y!A108, 360, Assumptions!$D$8), 0)</f>
        <v>-529.26796441457202</v>
      </c>
      <c r="E108" s="2">
        <f t="shared" si="18"/>
        <v>-2198.4576329329379</v>
      </c>
      <c r="F108" s="2">
        <f>IF(I107&gt;1, Assumptions!$E$18, 0)*-1</f>
        <v>-2198.4576329329379</v>
      </c>
      <c r="G108" s="24">
        <f t="shared" si="19"/>
        <v>1</v>
      </c>
      <c r="H108" s="20">
        <f t="shared" si="25"/>
        <v>42459.684300420653</v>
      </c>
      <c r="I108" s="2">
        <f>MAX(Assumptions!$D$8-SUM(Model_30y!H108), 0)</f>
        <v>297540.31569957937</v>
      </c>
      <c r="J108" s="2">
        <f>J107*(1+(Assumptions!$E$51))</f>
        <v>653974.88751252356</v>
      </c>
      <c r="K108" s="22">
        <f t="shared" si="20"/>
        <v>356434.5718129442</v>
      </c>
      <c r="L108" s="5">
        <f t="shared" si="26"/>
        <v>127459.68430042065</v>
      </c>
      <c r="M108" s="63">
        <f>L108/Assumptions!$D$6</f>
        <v>0.29990513953040154</v>
      </c>
      <c r="N108" s="24">
        <f t="shared" si="34"/>
        <v>0</v>
      </c>
      <c r="O108" s="5">
        <f>N108*Assumptions!$E$25*-1</f>
        <v>0</v>
      </c>
      <c r="P108" s="20">
        <f>Assumptions!$E$35*J108*-1</f>
        <v>-1347.0811928646226</v>
      </c>
      <c r="Q108" s="5">
        <f>J108*Assumptions!$E$36*-1</f>
        <v>-542.49709501688233</v>
      </c>
      <c r="R108" s="5">
        <f>(R96+(Model_30y!R96*Assumptions!$D$51))</f>
        <v>-480.04989794446294</v>
      </c>
      <c r="S108" s="5">
        <f>S96+(S96*Assumptions!$D$51)</f>
        <v>0</v>
      </c>
      <c r="T108" s="5">
        <f t="shared" si="29"/>
        <v>0</v>
      </c>
      <c r="U108" s="22">
        <f t="shared" si="21"/>
        <v>-2369.6281858259676</v>
      </c>
      <c r="V108" s="5">
        <f>MAX(Assumptions!$E$18:$E$19)-U108</f>
        <v>5211.2611976246644</v>
      </c>
      <c r="W108" s="5">
        <f t="shared" si="22"/>
        <v>-2198.4576329329379</v>
      </c>
      <c r="X108" s="5">
        <f t="shared" si="27"/>
        <v>-2369.6281858259676</v>
      </c>
      <c r="Y108" s="5">
        <f>C108*Assumptions!$D$44*-1</f>
        <v>250.37845027775489</v>
      </c>
      <c r="Z108" s="5">
        <f t="shared" si="23"/>
        <v>893.55382914351367</v>
      </c>
      <c r="AA108" s="5">
        <f t="shared" si="30"/>
        <v>139726.60723809517</v>
      </c>
      <c r="AB108" s="3">
        <f>Assumptions!$E$45</f>
        <v>6.9899151946608562E-3</v>
      </c>
      <c r="AC108" s="5">
        <f t="shared" si="31"/>
        <v>141596.83820227065</v>
      </c>
      <c r="AD108" s="5">
        <f>AC108*Assumptions!$E$43</f>
        <v>126.81065909444595</v>
      </c>
      <c r="AE108" s="2">
        <f>AD108*Assumptions!$D$44*-1</f>
        <v>-19.021598864166894</v>
      </c>
      <c r="AF108" s="2">
        <f>AC108*Assumptions!$E$46*-1</f>
        <v>-4.7190295138136884</v>
      </c>
      <c r="AG108" s="22">
        <f t="shared" si="32"/>
        <v>141573.09757389268</v>
      </c>
      <c r="AH108" s="5">
        <f>Model_30y[[#This Row],[Mortgage Payment]]+Model_30y[[#This Row],[Total Upkeep]]+Model_30y[[#This Row],[Monthly Investment]]</f>
        <v>-3674.5319896153919</v>
      </c>
      <c r="AI108" s="5">
        <f>Model_Renter!D108*-1</f>
        <v>3696.9975477001935</v>
      </c>
      <c r="AJ108" s="5">
        <f t="shared" si="33"/>
        <v>22.465558084801614</v>
      </c>
    </row>
    <row r="109" spans="1:36" x14ac:dyDescent="0.25">
      <c r="A109" s="17">
        <f t="shared" si="28"/>
        <v>107</v>
      </c>
      <c r="B109" s="17">
        <f t="shared" si="24"/>
        <v>9</v>
      </c>
      <c r="C109" s="23">
        <f>IFERROR(IPMT(Assumptions!$D$16/12,Model_30y!A109, 360,Assumptions!$D$8), 0)</f>
        <v>-1666.2257679176444</v>
      </c>
      <c r="D109" s="2">
        <f>IFERROR(PPMT(Assumptions!$D$16/12, Model_30y!A109, 360, Assumptions!$D$8), 0)</f>
        <v>-532.23186501529347</v>
      </c>
      <c r="E109" s="2">
        <f t="shared" si="18"/>
        <v>-2198.4576329329379</v>
      </c>
      <c r="F109" s="2">
        <f>IF(I108&gt;1, Assumptions!$E$18, 0)*-1</f>
        <v>-2198.4576329329379</v>
      </c>
      <c r="G109" s="24">
        <f t="shared" si="19"/>
        <v>1</v>
      </c>
      <c r="H109" s="20">
        <f t="shared" si="25"/>
        <v>42991.916165435949</v>
      </c>
      <c r="I109" s="2">
        <f>MAX(Assumptions!$D$8-SUM(Model_30y!H109), 0)</f>
        <v>297008.08383456408</v>
      </c>
      <c r="J109" s="2">
        <f>J108*(1+(Assumptions!$E$51))</f>
        <v>656639.26215564704</v>
      </c>
      <c r="K109" s="22">
        <f t="shared" si="20"/>
        <v>359631.17832108296</v>
      </c>
      <c r="L109" s="5">
        <f t="shared" si="26"/>
        <v>127991.91616543593</v>
      </c>
      <c r="M109" s="63">
        <f>L109/Assumptions!$D$6</f>
        <v>0.30115744980102571</v>
      </c>
      <c r="N109" s="24">
        <f t="shared" si="34"/>
        <v>0</v>
      </c>
      <c r="O109" s="5">
        <f>N109*Assumptions!$E$25*-1</f>
        <v>0</v>
      </c>
      <c r="P109" s="20">
        <f>Assumptions!$E$35*J109*-1</f>
        <v>-1352.5693683909776</v>
      </c>
      <c r="Q109" s="5">
        <f>J109*Assumptions!$E$36*-1</f>
        <v>-544.70729533425072</v>
      </c>
      <c r="R109" s="5">
        <f>(R97+(Model_30y!R97*Assumptions!$D$51))</f>
        <v>-480.04989794446294</v>
      </c>
      <c r="S109" s="5">
        <f>S97+(S97*Assumptions!$D$51)</f>
        <v>0</v>
      </c>
      <c r="T109" s="5">
        <f t="shared" si="29"/>
        <v>0</v>
      </c>
      <c r="U109" s="22">
        <f t="shared" si="21"/>
        <v>-2377.3265616696913</v>
      </c>
      <c r="V109" s="5">
        <f>MAX(Assumptions!$E$18:$E$19)-U109</f>
        <v>5218.959573468388</v>
      </c>
      <c r="W109" s="5">
        <f t="shared" si="22"/>
        <v>-2198.4576329329379</v>
      </c>
      <c r="X109" s="5">
        <f t="shared" si="27"/>
        <v>-2377.3265616696913</v>
      </c>
      <c r="Y109" s="5">
        <f>C109*Assumptions!$D$44*-1</f>
        <v>249.93386518764663</v>
      </c>
      <c r="Z109" s="5">
        <f t="shared" si="23"/>
        <v>893.10924405340552</v>
      </c>
      <c r="AA109" s="5">
        <f t="shared" si="30"/>
        <v>141573.09757389268</v>
      </c>
      <c r="AB109" s="3">
        <f>Assumptions!$E$45</f>
        <v>6.9899151946608562E-3</v>
      </c>
      <c r="AC109" s="5">
        <f t="shared" si="31"/>
        <v>143455.79076383304</v>
      </c>
      <c r="AD109" s="5">
        <f>AC109*Assumptions!$E$43</f>
        <v>128.47549146323294</v>
      </c>
      <c r="AE109" s="2">
        <f>AD109*Assumptions!$D$44*-1</f>
        <v>-19.27132371948494</v>
      </c>
      <c r="AF109" s="2">
        <f>AC109*Assumptions!$E$46*-1</f>
        <v>-4.7809832418359273</v>
      </c>
      <c r="AG109" s="22">
        <f t="shared" si="32"/>
        <v>143431.73845687171</v>
      </c>
      <c r="AH109" s="5">
        <f>Model_30y[[#This Row],[Mortgage Payment]]+Model_30y[[#This Row],[Total Upkeep]]+Model_30y[[#This Row],[Monthly Investment]]</f>
        <v>-3682.6749505492235</v>
      </c>
      <c r="AI109" s="5">
        <f>Model_Renter!D109*-1</f>
        <v>3696.9975477001935</v>
      </c>
      <c r="AJ109" s="5">
        <f t="shared" si="33"/>
        <v>14.322597150970068</v>
      </c>
    </row>
    <row r="110" spans="1:36" x14ac:dyDescent="0.25">
      <c r="A110" s="17">
        <f t="shared" si="28"/>
        <v>108</v>
      </c>
      <c r="B110" s="17">
        <f t="shared" si="24"/>
        <v>9</v>
      </c>
      <c r="C110" s="23">
        <f>IFERROR(IPMT(Assumptions!$D$16/12,Model_30y!A110, 360,Assumptions!$D$8), 0)</f>
        <v>-1663.2452694735589</v>
      </c>
      <c r="D110" s="2">
        <f>IFERROR(PPMT(Assumptions!$D$16/12, Model_30y!A110, 360, Assumptions!$D$8), 0)</f>
        <v>-535.21236345937916</v>
      </c>
      <c r="E110" s="2">
        <f t="shared" si="18"/>
        <v>-2198.4576329329379</v>
      </c>
      <c r="F110" s="2">
        <f>IF(I109&gt;1, Assumptions!$E$18, 0)*-1</f>
        <v>-2198.4576329329379</v>
      </c>
      <c r="G110" s="24">
        <f t="shared" si="19"/>
        <v>1</v>
      </c>
      <c r="H110" s="20">
        <f t="shared" si="25"/>
        <v>43527.12852889533</v>
      </c>
      <c r="I110" s="2">
        <f>MAX(Assumptions!$D$8-SUM(Model_30y!H110), 0)</f>
        <v>296472.87147110468</v>
      </c>
      <c r="J110" s="2">
        <f>J109*(1+(Assumptions!$E$51))</f>
        <v>659314.49179087265</v>
      </c>
      <c r="K110" s="22">
        <f t="shared" si="20"/>
        <v>362841.62031976797</v>
      </c>
      <c r="L110" s="5">
        <f t="shared" si="26"/>
        <v>128527.12852889531</v>
      </c>
      <c r="M110" s="63">
        <f>L110/Assumptions!$D$6</f>
        <v>0.30241677300916542</v>
      </c>
      <c r="N110" s="24">
        <f t="shared" si="34"/>
        <v>0</v>
      </c>
      <c r="O110" s="5">
        <f>N110*Assumptions!$E$25*-1</f>
        <v>0</v>
      </c>
      <c r="P110" s="20">
        <f>Assumptions!$E$35*J110*-1</f>
        <v>-1358.0799034237734</v>
      </c>
      <c r="Q110" s="5">
        <f>J110*Assumptions!$E$36*-1</f>
        <v>-546.92650028129879</v>
      </c>
      <c r="R110" s="5">
        <f>(R98+(Model_30y!R98*Assumptions!$D$51))</f>
        <v>-480.04989794446294</v>
      </c>
      <c r="S110" s="5">
        <f>S98+(S98*Assumptions!$D$51)</f>
        <v>0</v>
      </c>
      <c r="T110" s="5">
        <f t="shared" si="29"/>
        <v>0</v>
      </c>
      <c r="U110" s="22">
        <f t="shared" si="21"/>
        <v>-2385.0563016495353</v>
      </c>
      <c r="V110" s="5">
        <f>MAX(Assumptions!$E$18:$E$19)-U110</f>
        <v>5226.6893134482325</v>
      </c>
      <c r="W110" s="5">
        <f t="shared" si="22"/>
        <v>-2198.4576329329379</v>
      </c>
      <c r="X110" s="5">
        <f t="shared" si="27"/>
        <v>-2385.0563016495353</v>
      </c>
      <c r="Y110" s="5">
        <f>C110*Assumptions!$D$44*-1</f>
        <v>249.48679042103382</v>
      </c>
      <c r="Z110" s="5">
        <f t="shared" si="23"/>
        <v>892.66216928679307</v>
      </c>
      <c r="AA110" s="5">
        <f t="shared" si="30"/>
        <v>143431.73845687171</v>
      </c>
      <c r="AB110" s="3">
        <f>Assumptions!$E$45</f>
        <v>6.9899151946608562E-3</v>
      </c>
      <c r="AC110" s="5">
        <f t="shared" si="31"/>
        <v>145326.97631419482</v>
      </c>
      <c r="AD110" s="5">
        <f>AC110*Assumptions!$E$43</f>
        <v>130.15127939707381</v>
      </c>
      <c r="AE110" s="2">
        <f>AD110*Assumptions!$D$44*-1</f>
        <v>-19.522691909561072</v>
      </c>
      <c r="AF110" s="2">
        <f>AC110*Assumptions!$E$46*-1</f>
        <v>-4.8433446614134255</v>
      </c>
      <c r="AG110" s="22">
        <f t="shared" si="32"/>
        <v>145302.61027762384</v>
      </c>
      <c r="AH110" s="5">
        <f>Model_30y[[#This Row],[Mortgage Payment]]+Model_30y[[#This Row],[Total Upkeep]]+Model_30y[[#This Row],[Monthly Investment]]</f>
        <v>-3690.8517652956807</v>
      </c>
      <c r="AI110" s="5">
        <f>Model_Renter!D110*-1</f>
        <v>3696.9975477001935</v>
      </c>
      <c r="AJ110" s="5">
        <f t="shared" si="33"/>
        <v>6.1457824045128291</v>
      </c>
    </row>
    <row r="111" spans="1:36" x14ac:dyDescent="0.25">
      <c r="A111" s="17">
        <f t="shared" si="28"/>
        <v>109</v>
      </c>
      <c r="B111" s="17">
        <f t="shared" si="24"/>
        <v>10</v>
      </c>
      <c r="C111" s="23">
        <f>IFERROR(IPMT(Assumptions!$D$16/12,Model_30y!A111, 360,Assumptions!$D$8), 0)</f>
        <v>-1660.2480802381863</v>
      </c>
      <c r="D111" s="2">
        <f>IFERROR(PPMT(Assumptions!$D$16/12, Model_30y!A111, 360, Assumptions!$D$8), 0)</f>
        <v>-538.20955269475178</v>
      </c>
      <c r="E111" s="2">
        <f t="shared" si="18"/>
        <v>-2198.4576329329379</v>
      </c>
      <c r="F111" s="2">
        <f>IF(I110&gt;1, Assumptions!$E$18, 0)*-1</f>
        <v>-2198.4576329329379</v>
      </c>
      <c r="G111" s="24">
        <f t="shared" si="19"/>
        <v>1</v>
      </c>
      <c r="H111" s="20">
        <f t="shared" si="25"/>
        <v>44065.338081590082</v>
      </c>
      <c r="I111" s="2">
        <f>MAX(Assumptions!$D$8-SUM(Model_30y!H111), 0)</f>
        <v>295934.66191840993</v>
      </c>
      <c r="J111" s="2">
        <f>J110*(1+(Assumptions!$E$51))</f>
        <v>662000.62064278184</v>
      </c>
      <c r="K111" s="22">
        <f t="shared" si="20"/>
        <v>366065.95872437191</v>
      </c>
      <c r="L111" s="5">
        <f t="shared" si="26"/>
        <v>129065.33808159006</v>
      </c>
      <c r="M111" s="63">
        <f>L111/Assumptions!$D$6</f>
        <v>0.30368314842727073</v>
      </c>
      <c r="N111" s="24">
        <f t="shared" si="34"/>
        <v>0</v>
      </c>
      <c r="O111" s="5">
        <f>N111*Assumptions!$E$25*-1</f>
        <v>0</v>
      </c>
      <c r="P111" s="20">
        <f>Assumptions!$E$35*J111*-1</f>
        <v>-1363.6128890584071</v>
      </c>
      <c r="Q111" s="5">
        <f>J111*Assumptions!$E$36*-1</f>
        <v>-549.15474654400236</v>
      </c>
      <c r="R111" s="5">
        <f>(R99+(Model_30y!R99*Assumptions!$D$51))</f>
        <v>-504.05239284168607</v>
      </c>
      <c r="S111" s="5">
        <f>S99+(S99*Assumptions!$D$51)</f>
        <v>0</v>
      </c>
      <c r="T111" s="5">
        <f t="shared" si="29"/>
        <v>0</v>
      </c>
      <c r="U111" s="22">
        <f t="shared" si="21"/>
        <v>-2416.8200284440954</v>
      </c>
      <c r="V111" s="5">
        <f>MAX(Assumptions!$E$18:$E$19)-U111</f>
        <v>5258.4530402427918</v>
      </c>
      <c r="W111" s="5">
        <f t="shared" si="22"/>
        <v>-2198.4576329329379</v>
      </c>
      <c r="X111" s="5">
        <f t="shared" si="27"/>
        <v>-2416.8200284440954</v>
      </c>
      <c r="Y111" s="5">
        <f>C111*Assumptions!$D$44*-1</f>
        <v>249.03721203572792</v>
      </c>
      <c r="Z111" s="5">
        <f t="shared" si="23"/>
        <v>892.21259090148624</v>
      </c>
      <c r="AA111" s="5">
        <f t="shared" si="30"/>
        <v>145302.61027762384</v>
      </c>
      <c r="AB111" s="3">
        <f>Assumptions!$E$45</f>
        <v>6.9899151946608562E-3</v>
      </c>
      <c r="AC111" s="5">
        <f t="shared" si="31"/>
        <v>147210.47579192877</v>
      </c>
      <c r="AD111" s="5">
        <f>AC111*Assumptions!$E$43</f>
        <v>131.83809538257125</v>
      </c>
      <c r="AE111" s="2">
        <f>AD111*Assumptions!$D$44*-1</f>
        <v>-19.775714307385687</v>
      </c>
      <c r="AF111" s="2">
        <f>AC111*Assumptions!$E$46*-1</f>
        <v>-4.9061164700041111</v>
      </c>
      <c r="AG111" s="22">
        <f t="shared" si="32"/>
        <v>147185.79396115139</v>
      </c>
      <c r="AH111" s="5">
        <f>Model_30y[[#This Row],[Mortgage Payment]]+Model_30y[[#This Row],[Total Upkeep]]+Model_30y[[#This Row],[Monthly Investment]]</f>
        <v>-3723.0650704755467</v>
      </c>
      <c r="AI111" s="5">
        <f>Model_Renter!D111*-1</f>
        <v>3835.2652559841813</v>
      </c>
      <c r="AJ111" s="5">
        <f t="shared" si="33"/>
        <v>112.2001855086346</v>
      </c>
    </row>
    <row r="112" spans="1:36" x14ac:dyDescent="0.25">
      <c r="A112" s="17">
        <f t="shared" si="28"/>
        <v>110</v>
      </c>
      <c r="B112" s="17">
        <f t="shared" si="24"/>
        <v>10</v>
      </c>
      <c r="C112" s="23">
        <f>IFERROR(IPMT(Assumptions!$D$16/12,Model_30y!A112, 360,Assumptions!$D$8), 0)</f>
        <v>-1657.2341067430959</v>
      </c>
      <c r="D112" s="2">
        <f>IFERROR(PPMT(Assumptions!$D$16/12, Model_30y!A112, 360, Assumptions!$D$8), 0)</f>
        <v>-541.22352618984223</v>
      </c>
      <c r="E112" s="2">
        <f t="shared" si="18"/>
        <v>-2198.4576329329384</v>
      </c>
      <c r="F112" s="2">
        <f>IF(I111&gt;1, Assumptions!$E$18, 0)*-1</f>
        <v>-2198.4576329329379</v>
      </c>
      <c r="G112" s="24">
        <f t="shared" si="19"/>
        <v>1</v>
      </c>
      <c r="H112" s="20">
        <f t="shared" si="25"/>
        <v>44606.56160777992</v>
      </c>
      <c r="I112" s="2">
        <f>MAX(Assumptions!$D$8-SUM(Model_30y!H112), 0)</f>
        <v>295393.43839222006</v>
      </c>
      <c r="J112" s="2">
        <f>J111*(1+(Assumptions!$E$51))</f>
        <v>664697.69311613252</v>
      </c>
      <c r="K112" s="22">
        <f t="shared" si="20"/>
        <v>369304.25472391245</v>
      </c>
      <c r="L112" s="5">
        <f t="shared" si="26"/>
        <v>129606.56160777991</v>
      </c>
      <c r="M112" s="63">
        <f>L112/Assumptions!$D$6</f>
        <v>0.30495661554771741</v>
      </c>
      <c r="N112" s="24">
        <f t="shared" si="34"/>
        <v>0</v>
      </c>
      <c r="O112" s="5">
        <f>N112*Assumptions!$E$25*-1</f>
        <v>0</v>
      </c>
      <c r="P112" s="20">
        <f>Assumptions!$E$35*J112*-1</f>
        <v>-1369.1684167614092</v>
      </c>
      <c r="Q112" s="5">
        <f>J112*Assumptions!$E$36*-1</f>
        <v>-551.39207095780057</v>
      </c>
      <c r="R112" s="5">
        <f>(R100+(Model_30y!R100*Assumptions!$D$51))</f>
        <v>-504.05239284168607</v>
      </c>
      <c r="S112" s="5">
        <f>S100+(S100*Assumptions!$D$51)</f>
        <v>0</v>
      </c>
      <c r="T112" s="5">
        <f t="shared" si="29"/>
        <v>0</v>
      </c>
      <c r="U112" s="22">
        <f t="shared" si="21"/>
        <v>-2424.612880560896</v>
      </c>
      <c r="V112" s="5">
        <f>MAX(Assumptions!$E$18:$E$19)-U112</f>
        <v>5266.2458923595932</v>
      </c>
      <c r="W112" s="5">
        <f t="shared" si="22"/>
        <v>-2198.4576329329379</v>
      </c>
      <c r="X112" s="5">
        <f t="shared" si="27"/>
        <v>-2424.612880560896</v>
      </c>
      <c r="Y112" s="5">
        <f>C112*Assumptions!$D$44*-1</f>
        <v>248.58511601146438</v>
      </c>
      <c r="Z112" s="5">
        <f t="shared" si="23"/>
        <v>891.76049487722366</v>
      </c>
      <c r="AA112" s="5">
        <f t="shared" si="30"/>
        <v>147185.79396115139</v>
      </c>
      <c r="AB112" s="3">
        <f>Assumptions!$E$45</f>
        <v>6.9899151946608562E-3</v>
      </c>
      <c r="AC112" s="5">
        <f t="shared" si="31"/>
        <v>149106.3706736759</v>
      </c>
      <c r="AD112" s="5">
        <f>AC112*Assumptions!$E$43</f>
        <v>133.53601238820877</v>
      </c>
      <c r="AE112" s="2">
        <f>AD112*Assumptions!$D$44*-1</f>
        <v>-20.030401858231315</v>
      </c>
      <c r="AF112" s="2">
        <f>AC112*Assumptions!$E$46*-1</f>
        <v>-4.969301382998232</v>
      </c>
      <c r="AG112" s="22">
        <f t="shared" si="32"/>
        <v>149081.37097043468</v>
      </c>
      <c r="AH112" s="5">
        <f>Model_30y[[#This Row],[Mortgage Payment]]+Model_30y[[#This Row],[Total Upkeep]]+Model_30y[[#This Row],[Monthly Investment]]</f>
        <v>-3731.3100186166107</v>
      </c>
      <c r="AI112" s="5">
        <f>Model_Renter!D112*-1</f>
        <v>3835.2652559841813</v>
      </c>
      <c r="AJ112" s="5">
        <f t="shared" si="33"/>
        <v>103.95523736757059</v>
      </c>
    </row>
    <row r="113" spans="1:36" x14ac:dyDescent="0.25">
      <c r="A113" s="17">
        <f t="shared" si="28"/>
        <v>111</v>
      </c>
      <c r="B113" s="17">
        <f t="shared" si="24"/>
        <v>10</v>
      </c>
      <c r="C113" s="23">
        <f>IFERROR(IPMT(Assumptions!$D$16/12,Model_30y!A113, 360,Assumptions!$D$8), 0)</f>
        <v>-1654.2032549964324</v>
      </c>
      <c r="D113" s="2">
        <f>IFERROR(PPMT(Assumptions!$D$16/12, Model_30y!A113, 360, Assumptions!$D$8), 0)</f>
        <v>-544.25437793650542</v>
      </c>
      <c r="E113" s="2">
        <f t="shared" si="18"/>
        <v>-2198.4576329329379</v>
      </c>
      <c r="F113" s="2">
        <f>IF(I112&gt;1, Assumptions!$E$18, 0)*-1</f>
        <v>-2198.4576329329379</v>
      </c>
      <c r="G113" s="24">
        <f t="shared" si="19"/>
        <v>1</v>
      </c>
      <c r="H113" s="20">
        <f t="shared" si="25"/>
        <v>45150.815985716428</v>
      </c>
      <c r="I113" s="2">
        <f>MAX(Assumptions!$D$8-SUM(Model_30y!H113), 0)</f>
        <v>294849.18401428359</v>
      </c>
      <c r="J113" s="2">
        <f>J112*(1+(Assumptions!$E$51))</f>
        <v>667405.75379659317</v>
      </c>
      <c r="K113" s="22">
        <f t="shared" si="20"/>
        <v>372556.56978230958</v>
      </c>
      <c r="L113" s="5">
        <f t="shared" si="26"/>
        <v>130150.81598571641</v>
      </c>
      <c r="M113" s="63">
        <f>L113/Assumptions!$D$6</f>
        <v>0.30623721408403864</v>
      </c>
      <c r="N113" s="24">
        <f t="shared" si="34"/>
        <v>0</v>
      </c>
      <c r="O113" s="5">
        <f>N113*Assumptions!$E$25*-1</f>
        <v>0</v>
      </c>
      <c r="P113" s="20">
        <f>Assumptions!$E$35*J113*-1</f>
        <v>-1374.7465783719572</v>
      </c>
      <c r="Q113" s="5">
        <f>J113*Assumptions!$E$36*-1</f>
        <v>-553.63851050820483</v>
      </c>
      <c r="R113" s="5">
        <f>(R101+(Model_30y!R101*Assumptions!$D$51))</f>
        <v>-504.05239284168607</v>
      </c>
      <c r="S113" s="5">
        <f>S101+(S101*Assumptions!$D$51)</f>
        <v>0</v>
      </c>
      <c r="T113" s="5">
        <f t="shared" si="29"/>
        <v>0</v>
      </c>
      <c r="U113" s="22">
        <f t="shared" si="21"/>
        <v>-2432.4374817218481</v>
      </c>
      <c r="V113" s="5">
        <f>MAX(Assumptions!$E$18:$E$19)-U113</f>
        <v>5274.0704935205449</v>
      </c>
      <c r="W113" s="5">
        <f t="shared" si="22"/>
        <v>-2198.4576329329379</v>
      </c>
      <c r="X113" s="5">
        <f t="shared" si="27"/>
        <v>-2432.4374817218481</v>
      </c>
      <c r="Y113" s="5">
        <f>C113*Assumptions!$D$44*-1</f>
        <v>248.13048824946486</v>
      </c>
      <c r="Z113" s="5">
        <f t="shared" si="23"/>
        <v>891.30586711522369</v>
      </c>
      <c r="AA113" s="5">
        <f t="shared" si="30"/>
        <v>149081.37097043468</v>
      </c>
      <c r="AB113" s="3">
        <f>Assumptions!$E$45</f>
        <v>6.9899151946608562E-3</v>
      </c>
      <c r="AC113" s="5">
        <f t="shared" si="31"/>
        <v>151014.74297773701</v>
      </c>
      <c r="AD113" s="5">
        <f>AC113*Assumptions!$E$43</f>
        <v>135.24510386756708</v>
      </c>
      <c r="AE113" s="2">
        <f>AD113*Assumptions!$D$44*-1</f>
        <v>-20.286765580135061</v>
      </c>
      <c r="AF113" s="2">
        <f>AC113*Assumptions!$E$46*-1</f>
        <v>-5.0329021338380526</v>
      </c>
      <c r="AG113" s="22">
        <f t="shared" si="32"/>
        <v>150989.42331002303</v>
      </c>
      <c r="AH113" s="5">
        <f>Model_30y[[#This Row],[Mortgage Payment]]+Model_30y[[#This Row],[Total Upkeep]]+Model_30y[[#This Row],[Monthly Investment]]</f>
        <v>-3739.5892475395622</v>
      </c>
      <c r="AI113" s="5">
        <f>Model_Renter!D113*-1</f>
        <v>3835.2652559841813</v>
      </c>
      <c r="AJ113" s="5">
        <f t="shared" si="33"/>
        <v>95.676008444619129</v>
      </c>
    </row>
    <row r="114" spans="1:36" x14ac:dyDescent="0.25">
      <c r="A114" s="17">
        <f t="shared" si="28"/>
        <v>112</v>
      </c>
      <c r="B114" s="17">
        <f t="shared" si="24"/>
        <v>10</v>
      </c>
      <c r="C114" s="23">
        <f>IFERROR(IPMT(Assumptions!$D$16/12,Model_30y!A114, 360,Assumptions!$D$8), 0)</f>
        <v>-1651.1554304799881</v>
      </c>
      <c r="D114" s="2">
        <f>IFERROR(PPMT(Assumptions!$D$16/12, Model_30y!A114, 360, Assumptions!$D$8), 0)</f>
        <v>-547.30220245294981</v>
      </c>
      <c r="E114" s="2">
        <f t="shared" si="18"/>
        <v>-2198.4576329329379</v>
      </c>
      <c r="F114" s="2">
        <f>IF(I113&gt;1, Assumptions!$E$18, 0)*-1</f>
        <v>-2198.4576329329379</v>
      </c>
      <c r="G114" s="24">
        <f t="shared" si="19"/>
        <v>1</v>
      </c>
      <c r="H114" s="20">
        <f t="shared" si="25"/>
        <v>45698.118188169377</v>
      </c>
      <c r="I114" s="2">
        <f>MAX(Assumptions!$D$8-SUM(Model_30y!H114), 0)</f>
        <v>294301.88181183062</v>
      </c>
      <c r="J114" s="2">
        <f>J113*(1+(Assumptions!$E$51))</f>
        <v>670124.84745147964</v>
      </c>
      <c r="K114" s="22">
        <f t="shared" si="20"/>
        <v>375822.96563964902</v>
      </c>
      <c r="L114" s="5">
        <f t="shared" si="26"/>
        <v>130698.11818816936</v>
      </c>
      <c r="M114" s="63">
        <f>L114/Assumptions!$D$6</f>
        <v>0.30752498397216321</v>
      </c>
      <c r="N114" s="24">
        <f t="shared" si="34"/>
        <v>0</v>
      </c>
      <c r="O114" s="5">
        <f>N114*Assumptions!$E$25*-1</f>
        <v>0</v>
      </c>
      <c r="P114" s="20">
        <f>Assumptions!$E$35*J114*-1</f>
        <v>-1380.3474661033915</v>
      </c>
      <c r="Q114" s="5">
        <f>J114*Assumptions!$E$36*-1</f>
        <v>-555.89410233141007</v>
      </c>
      <c r="R114" s="5">
        <f>(R102+(Model_30y!R102*Assumptions!$D$51))</f>
        <v>-504.05239284168607</v>
      </c>
      <c r="S114" s="5">
        <f>S102+(S102*Assumptions!$D$51)</f>
        <v>0</v>
      </c>
      <c r="T114" s="5">
        <f t="shared" si="29"/>
        <v>0</v>
      </c>
      <c r="U114" s="22">
        <f t="shared" si="21"/>
        <v>-2440.2939612764876</v>
      </c>
      <c r="V114" s="5">
        <f>MAX(Assumptions!$E$18:$E$19)-U114</f>
        <v>5281.9269730751839</v>
      </c>
      <c r="W114" s="5">
        <f t="shared" si="22"/>
        <v>-2198.4576329329379</v>
      </c>
      <c r="X114" s="5">
        <f t="shared" si="27"/>
        <v>-2440.2939612764876</v>
      </c>
      <c r="Y114" s="5">
        <f>C114*Assumptions!$D$44*-1</f>
        <v>247.67331457199822</v>
      </c>
      <c r="Z114" s="5">
        <f t="shared" si="23"/>
        <v>890.84869343775654</v>
      </c>
      <c r="AA114" s="5">
        <f t="shared" si="30"/>
        <v>150989.42331002303</v>
      </c>
      <c r="AB114" s="3">
        <f>Assumptions!$E$45</f>
        <v>6.9899151946608562E-3</v>
      </c>
      <c r="AC114" s="5">
        <f t="shared" si="31"/>
        <v>152935.67526768861</v>
      </c>
      <c r="AD114" s="5">
        <f>AC114*Assumptions!$E$43</f>
        <v>136.96544376256242</v>
      </c>
      <c r="AE114" s="2">
        <f>AD114*Assumptions!$D$44*-1</f>
        <v>-20.544816564384362</v>
      </c>
      <c r="AF114" s="2">
        <f>AC114*Assumptions!$E$46*-1</f>
        <v>-5.0969214741383642</v>
      </c>
      <c r="AG114" s="22">
        <f t="shared" si="32"/>
        <v>152910.0335296501</v>
      </c>
      <c r="AH114" s="5">
        <f>Model_30y[[#This Row],[Mortgage Payment]]+Model_30y[[#This Row],[Total Upkeep]]+Model_30y[[#This Row],[Monthly Investment]]</f>
        <v>-3747.9029007716686</v>
      </c>
      <c r="AI114" s="5">
        <f>Model_Renter!D114*-1</f>
        <v>3835.2652559841813</v>
      </c>
      <c r="AJ114" s="5">
        <f t="shared" si="33"/>
        <v>87.362355212512739</v>
      </c>
    </row>
    <row r="115" spans="1:36" x14ac:dyDescent="0.25">
      <c r="A115" s="17">
        <f t="shared" si="28"/>
        <v>113</v>
      </c>
      <c r="B115" s="17">
        <f t="shared" si="24"/>
        <v>10</v>
      </c>
      <c r="C115" s="23">
        <f>IFERROR(IPMT(Assumptions!$D$16/12,Model_30y!A115, 360,Assumptions!$D$8), 0)</f>
        <v>-1648.0905381462514</v>
      </c>
      <c r="D115" s="2">
        <f>IFERROR(PPMT(Assumptions!$D$16/12, Model_30y!A115, 360, Assumptions!$D$8), 0)</f>
        <v>-550.36709478668649</v>
      </c>
      <c r="E115" s="2">
        <f t="shared" si="18"/>
        <v>-2198.4576329329379</v>
      </c>
      <c r="F115" s="2">
        <f>IF(I114&gt;1, Assumptions!$E$18, 0)*-1</f>
        <v>-2198.4576329329379</v>
      </c>
      <c r="G115" s="24">
        <f t="shared" si="19"/>
        <v>1</v>
      </c>
      <c r="H115" s="20">
        <f t="shared" si="25"/>
        <v>46248.485282956062</v>
      </c>
      <c r="I115" s="2">
        <f>MAX(Assumptions!$D$8-SUM(Model_30y!H115), 0)</f>
        <v>293751.51471704396</v>
      </c>
      <c r="J115" s="2">
        <f>J114*(1+(Assumptions!$E$51))</f>
        <v>672855.01903049543</v>
      </c>
      <c r="K115" s="22">
        <f t="shared" si="20"/>
        <v>379103.50431345147</v>
      </c>
      <c r="L115" s="5">
        <f t="shared" si="26"/>
        <v>131248.48528295604</v>
      </c>
      <c r="M115" s="63">
        <f>L115/Assumptions!$D$6</f>
        <v>0.30881996537166129</v>
      </c>
      <c r="N115" s="24">
        <f t="shared" si="34"/>
        <v>0</v>
      </c>
      <c r="O115" s="5">
        <f>N115*Assumptions!$E$25*-1</f>
        <v>0</v>
      </c>
      <c r="P115" s="20">
        <f>Assumptions!$E$35*J115*-1</f>
        <v>-1385.9711725447421</v>
      </c>
      <c r="Q115" s="5">
        <f>J115*Assumptions!$E$36*-1</f>
        <v>-558.15888371490826</v>
      </c>
      <c r="R115" s="5">
        <f>(R103+(Model_30y!R103*Assumptions!$D$51))</f>
        <v>-504.05239284168607</v>
      </c>
      <c r="S115" s="5">
        <f>S103+(S103*Assumptions!$D$51)</f>
        <v>0</v>
      </c>
      <c r="T115" s="5">
        <f t="shared" si="29"/>
        <v>0</v>
      </c>
      <c r="U115" s="22">
        <f t="shared" si="21"/>
        <v>-2448.1824491013363</v>
      </c>
      <c r="V115" s="5">
        <f>MAX(Assumptions!$E$18:$E$19)-U115</f>
        <v>5289.815460900033</v>
      </c>
      <c r="W115" s="5">
        <f t="shared" si="22"/>
        <v>-2198.4576329329379</v>
      </c>
      <c r="X115" s="5">
        <f t="shared" si="27"/>
        <v>-2448.1824491013363</v>
      </c>
      <c r="Y115" s="5">
        <f>C115*Assumptions!$D$44*-1</f>
        <v>247.21358072193772</v>
      </c>
      <c r="Z115" s="5">
        <f t="shared" si="23"/>
        <v>890.38895958769649</v>
      </c>
      <c r="AA115" s="5">
        <f t="shared" si="30"/>
        <v>152910.0335296501</v>
      </c>
      <c r="AB115" s="3">
        <f>Assumptions!$E$45</f>
        <v>6.9899151946608562E-3</v>
      </c>
      <c r="AC115" s="5">
        <f t="shared" si="31"/>
        <v>154869.25065602281</v>
      </c>
      <c r="AD115" s="5">
        <f>AC115*Assumptions!$E$43</f>
        <v>138.6971065067064</v>
      </c>
      <c r="AE115" s="2">
        <f>AD115*Assumptions!$D$44*-1</f>
        <v>-20.804565976005961</v>
      </c>
      <c r="AF115" s="2">
        <f>AC115*Assumptions!$E$46*-1</f>
        <v>-5.1613621738077899</v>
      </c>
      <c r="AG115" s="22">
        <f t="shared" si="32"/>
        <v>154843.28472787299</v>
      </c>
      <c r="AH115" s="5">
        <f>Model_30y[[#This Row],[Mortgage Payment]]+Model_30y[[#This Row],[Total Upkeep]]+Model_30y[[#This Row],[Monthly Investment]]</f>
        <v>-3756.2511224465779</v>
      </c>
      <c r="AI115" s="5">
        <f>Model_Renter!D115*-1</f>
        <v>3835.2652559841813</v>
      </c>
      <c r="AJ115" s="5">
        <f t="shared" si="33"/>
        <v>79.014133537603357</v>
      </c>
    </row>
    <row r="116" spans="1:36" x14ac:dyDescent="0.25">
      <c r="A116" s="17">
        <f t="shared" si="28"/>
        <v>114</v>
      </c>
      <c r="B116" s="17">
        <f t="shared" si="24"/>
        <v>10</v>
      </c>
      <c r="C116" s="23">
        <f>IFERROR(IPMT(Assumptions!$D$16/12,Model_30y!A116, 360,Assumptions!$D$8), 0)</f>
        <v>-1645.0084824154462</v>
      </c>
      <c r="D116" s="2">
        <f>IFERROR(PPMT(Assumptions!$D$16/12, Model_30y!A116, 360, Assumptions!$D$8), 0)</f>
        <v>-553.44915051749172</v>
      </c>
      <c r="E116" s="2">
        <f t="shared" si="18"/>
        <v>-2198.4576329329379</v>
      </c>
      <c r="F116" s="2">
        <f>IF(I115&gt;1, Assumptions!$E$18, 0)*-1</f>
        <v>-2198.4576329329379</v>
      </c>
      <c r="G116" s="24">
        <f t="shared" si="19"/>
        <v>1</v>
      </c>
      <c r="H116" s="20">
        <f t="shared" si="25"/>
        <v>46801.934433473551</v>
      </c>
      <c r="I116" s="2">
        <f>MAX(Assumptions!$D$8-SUM(Model_30y!H116), 0)</f>
        <v>293198.06556652643</v>
      </c>
      <c r="J116" s="2">
        <f>J115*(1+(Assumptions!$E$51))</f>
        <v>675596.31366647477</v>
      </c>
      <c r="K116" s="22">
        <f t="shared" si="20"/>
        <v>382398.24809994834</v>
      </c>
      <c r="L116" s="5">
        <f t="shared" si="26"/>
        <v>131801.93443347354</v>
      </c>
      <c r="M116" s="63">
        <f>L116/Assumptions!$D$6</f>
        <v>0.31012219866699653</v>
      </c>
      <c r="N116" s="24">
        <f t="shared" si="34"/>
        <v>0</v>
      </c>
      <c r="O116" s="5">
        <f>N116*Assumptions!$E$25*-1</f>
        <v>0</v>
      </c>
      <c r="P116" s="20">
        <f>Assumptions!$E$35*J116*-1</f>
        <v>-1391.6177906622577</v>
      </c>
      <c r="Q116" s="5">
        <f>J116*Assumptions!$E$36*-1</f>
        <v>-560.43289209810587</v>
      </c>
      <c r="R116" s="5">
        <f>(R104+(Model_30y!R104*Assumptions!$D$51))</f>
        <v>-504.05239284168607</v>
      </c>
      <c r="S116" s="5">
        <f>S104+(S104*Assumptions!$D$51)</f>
        <v>0</v>
      </c>
      <c r="T116" s="5">
        <f t="shared" si="29"/>
        <v>0</v>
      </c>
      <c r="U116" s="22">
        <f t="shared" si="21"/>
        <v>-2456.1030756020496</v>
      </c>
      <c r="V116" s="5">
        <f>MAX(Assumptions!$E$18:$E$19)-U116</f>
        <v>5297.7360874007463</v>
      </c>
      <c r="W116" s="5">
        <f t="shared" si="22"/>
        <v>-2198.4576329329379</v>
      </c>
      <c r="X116" s="5">
        <f t="shared" si="27"/>
        <v>-2456.1030756020496</v>
      </c>
      <c r="Y116" s="5">
        <f>C116*Assumptions!$D$44*-1</f>
        <v>246.75127236231691</v>
      </c>
      <c r="Z116" s="5">
        <f t="shared" si="23"/>
        <v>889.9266512280758</v>
      </c>
      <c r="AA116" s="5">
        <f t="shared" si="30"/>
        <v>154843.28472787299</v>
      </c>
      <c r="AB116" s="3">
        <f>Assumptions!$E$45</f>
        <v>6.9899151946608562E-3</v>
      </c>
      <c r="AC116" s="5">
        <f t="shared" si="31"/>
        <v>156815.55280781162</v>
      </c>
      <c r="AD116" s="5">
        <f>AC116*Assumptions!$E$43</f>
        <v>140.44016702838775</v>
      </c>
      <c r="AE116" s="2">
        <f>AD116*Assumptions!$D$44*-1</f>
        <v>-21.066025054258162</v>
      </c>
      <c r="AF116" s="2">
        <f>AC116*Assumptions!$E$46*-1</f>
        <v>-5.2262270211709083</v>
      </c>
      <c r="AG116" s="22">
        <f t="shared" si="32"/>
        <v>156789.2605557362</v>
      </c>
      <c r="AH116" s="5">
        <f>Model_30y[[#This Row],[Mortgage Payment]]+Model_30y[[#This Row],[Total Upkeep]]+Model_30y[[#This Row],[Monthly Investment]]</f>
        <v>-3764.6340573069119</v>
      </c>
      <c r="AI116" s="5">
        <f>Model_Renter!D116*-1</f>
        <v>3835.2652559841813</v>
      </c>
      <c r="AJ116" s="5">
        <f t="shared" si="33"/>
        <v>70.631198677269367</v>
      </c>
    </row>
    <row r="117" spans="1:36" x14ac:dyDescent="0.25">
      <c r="A117" s="17">
        <f t="shared" si="28"/>
        <v>115</v>
      </c>
      <c r="B117" s="17">
        <f t="shared" si="24"/>
        <v>10</v>
      </c>
      <c r="C117" s="23">
        <f>IFERROR(IPMT(Assumptions!$D$16/12,Model_30y!A117, 360,Assumptions!$D$8), 0)</f>
        <v>-1641.909167172548</v>
      </c>
      <c r="D117" s="2">
        <f>IFERROR(PPMT(Assumptions!$D$16/12, Model_30y!A117, 360, Assumptions!$D$8), 0)</f>
        <v>-556.54846576038972</v>
      </c>
      <c r="E117" s="2">
        <f t="shared" si="18"/>
        <v>-2198.4576329329375</v>
      </c>
      <c r="F117" s="2">
        <f>IF(I116&gt;1, Assumptions!$E$18, 0)*-1</f>
        <v>-2198.4576329329379</v>
      </c>
      <c r="G117" s="24">
        <f t="shared" si="19"/>
        <v>1</v>
      </c>
      <c r="H117" s="20">
        <f t="shared" si="25"/>
        <v>47358.482899233939</v>
      </c>
      <c r="I117" s="2">
        <f>MAX(Assumptions!$D$8-SUM(Model_30y!H117), 0)</f>
        <v>292641.51710076607</v>
      </c>
      <c r="J117" s="2">
        <f>J116*(1+(Assumptions!$E$51))</f>
        <v>678348.7766761285</v>
      </c>
      <c r="K117" s="22">
        <f t="shared" si="20"/>
        <v>385707.25957536243</v>
      </c>
      <c r="L117" s="5">
        <f t="shared" si="26"/>
        <v>132358.48289923393</v>
      </c>
      <c r="M117" s="63">
        <f>L117/Assumptions!$D$6</f>
        <v>0.3114317244687857</v>
      </c>
      <c r="N117" s="24">
        <f t="shared" si="34"/>
        <v>0</v>
      </c>
      <c r="O117" s="5">
        <f>N117*Assumptions!$E$25*-1</f>
        <v>0</v>
      </c>
      <c r="P117" s="20">
        <f>Assumptions!$E$35*J117*-1</f>
        <v>-1397.2874138009429</v>
      </c>
      <c r="Q117" s="5">
        <f>J117*Assumptions!$E$36*-1</f>
        <v>-562.71616507294152</v>
      </c>
      <c r="R117" s="5">
        <f>(R105+(Model_30y!R105*Assumptions!$D$51))</f>
        <v>-504.05239284168607</v>
      </c>
      <c r="S117" s="5">
        <f>S105+(S105*Assumptions!$D$51)</f>
        <v>0</v>
      </c>
      <c r="T117" s="5">
        <f t="shared" si="29"/>
        <v>0</v>
      </c>
      <c r="U117" s="22">
        <f t="shared" si="21"/>
        <v>-2464.0559717155706</v>
      </c>
      <c r="V117" s="5">
        <f>MAX(Assumptions!$E$18:$E$19)-U117</f>
        <v>5305.6889835142674</v>
      </c>
      <c r="W117" s="5">
        <f t="shared" si="22"/>
        <v>-2198.4576329329379</v>
      </c>
      <c r="X117" s="5">
        <f t="shared" si="27"/>
        <v>-2464.0559717155706</v>
      </c>
      <c r="Y117" s="5">
        <f>C117*Assumptions!$D$44*-1</f>
        <v>246.28637507588218</v>
      </c>
      <c r="Z117" s="5">
        <f t="shared" si="23"/>
        <v>889.46175394164106</v>
      </c>
      <c r="AA117" s="5">
        <f t="shared" si="30"/>
        <v>156789.2605557362</v>
      </c>
      <c r="AB117" s="3">
        <f>Assumptions!$E$45</f>
        <v>6.9899151946608562E-3</v>
      </c>
      <c r="AC117" s="5">
        <f t="shared" si="31"/>
        <v>158774.66594439602</v>
      </c>
      <c r="AD117" s="5">
        <f>AC117*Assumptions!$E$43</f>
        <v>142.19470075417593</v>
      </c>
      <c r="AE117" s="2">
        <f>AD117*Assumptions!$D$44*-1</f>
        <v>-21.329205113126388</v>
      </c>
      <c r="AF117" s="2">
        <f>AC117*Assumptions!$E$46*-1</f>
        <v>-5.2915188230911978</v>
      </c>
      <c r="AG117" s="22">
        <f t="shared" si="32"/>
        <v>158748.04522045981</v>
      </c>
      <c r="AH117" s="5">
        <f>Model_30y[[#This Row],[Mortgage Payment]]+Model_30y[[#This Row],[Total Upkeep]]+Model_30y[[#This Row],[Monthly Investment]]</f>
        <v>-3773.0518507068673</v>
      </c>
      <c r="AI117" s="5">
        <f>Model_Renter!D117*-1</f>
        <v>3835.2652559841813</v>
      </c>
      <c r="AJ117" s="5">
        <f t="shared" si="33"/>
        <v>62.213405277313996</v>
      </c>
    </row>
    <row r="118" spans="1:36" x14ac:dyDescent="0.25">
      <c r="A118" s="17">
        <f t="shared" si="28"/>
        <v>116</v>
      </c>
      <c r="B118" s="17">
        <f t="shared" si="24"/>
        <v>10</v>
      </c>
      <c r="C118" s="23">
        <f>IFERROR(IPMT(Assumptions!$D$16/12,Model_30y!A118, 360,Assumptions!$D$8), 0)</f>
        <v>-1638.7924957642899</v>
      </c>
      <c r="D118" s="2">
        <f>IFERROR(PPMT(Assumptions!$D$16/12, Model_30y!A118, 360, Assumptions!$D$8), 0)</f>
        <v>-559.66513716864802</v>
      </c>
      <c r="E118" s="2">
        <f t="shared" si="18"/>
        <v>-2198.4576329329379</v>
      </c>
      <c r="F118" s="2">
        <f>IF(I117&gt;1, Assumptions!$E$18, 0)*-1</f>
        <v>-2198.4576329329379</v>
      </c>
      <c r="G118" s="24">
        <f t="shared" si="19"/>
        <v>1</v>
      </c>
      <c r="H118" s="20">
        <f t="shared" si="25"/>
        <v>47918.148036402585</v>
      </c>
      <c r="I118" s="2">
        <f>MAX(Assumptions!$D$8-SUM(Model_30y!H118), 0)</f>
        <v>292081.85196359741</v>
      </c>
      <c r="J118" s="2">
        <f>J117*(1+(Assumptions!$E$51))</f>
        <v>681112.45356079354</v>
      </c>
      <c r="K118" s="22">
        <f t="shared" si="20"/>
        <v>389030.60159719613</v>
      </c>
      <c r="L118" s="5">
        <f t="shared" si="26"/>
        <v>132918.14803640259</v>
      </c>
      <c r="M118" s="63">
        <f>L118/Assumptions!$D$6</f>
        <v>0.31274858361506491</v>
      </c>
      <c r="N118" s="24">
        <f t="shared" si="34"/>
        <v>0</v>
      </c>
      <c r="O118" s="5">
        <f>N118*Assumptions!$E$25*-1</f>
        <v>0</v>
      </c>
      <c r="P118" s="20">
        <f>Assumptions!$E$35*J118*-1</f>
        <v>-1402.9801356861019</v>
      </c>
      <c r="Q118" s="5">
        <f>J118*Assumptions!$E$36*-1</f>
        <v>-565.00874038450866</v>
      </c>
      <c r="R118" s="5">
        <f>(R106+(Model_30y!R106*Assumptions!$D$51))</f>
        <v>-504.05239284168607</v>
      </c>
      <c r="S118" s="5">
        <f>S106+(S106*Assumptions!$D$51)</f>
        <v>0</v>
      </c>
      <c r="T118" s="5">
        <f t="shared" si="29"/>
        <v>0</v>
      </c>
      <c r="U118" s="22">
        <f t="shared" si="21"/>
        <v>-2472.0412689122968</v>
      </c>
      <c r="V118" s="5">
        <f>MAX(Assumptions!$E$18:$E$19)-U118</f>
        <v>5313.6742807109931</v>
      </c>
      <c r="W118" s="5">
        <f t="shared" si="22"/>
        <v>-2198.4576329329379</v>
      </c>
      <c r="X118" s="5">
        <f t="shared" si="27"/>
        <v>-2472.0412689122968</v>
      </c>
      <c r="Y118" s="5">
        <f>C118*Assumptions!$D$44*-1</f>
        <v>245.81887436464348</v>
      </c>
      <c r="Z118" s="5">
        <f t="shared" si="23"/>
        <v>888.99425323040191</v>
      </c>
      <c r="AA118" s="5">
        <f t="shared" si="30"/>
        <v>158748.04522045981</v>
      </c>
      <c r="AB118" s="3">
        <f>Assumptions!$E$45</f>
        <v>6.9899151946608562E-3</v>
      </c>
      <c r="AC118" s="5">
        <f t="shared" si="31"/>
        <v>160746.67484709941</v>
      </c>
      <c r="AD118" s="5">
        <f>AC118*Assumptions!$E$43</f>
        <v>143.96078361214697</v>
      </c>
      <c r="AE118" s="2">
        <f>AD118*Assumptions!$D$44*-1</f>
        <v>-21.594117541822044</v>
      </c>
      <c r="AF118" s="2">
        <f>AC118*Assumptions!$E$46*-1</f>
        <v>-5.357240405094795</v>
      </c>
      <c r="AG118" s="22">
        <f t="shared" si="32"/>
        <v>160719.7234891525</v>
      </c>
      <c r="AH118" s="5">
        <f>Model_30y[[#This Row],[Mortgage Payment]]+Model_30y[[#This Row],[Total Upkeep]]+Model_30y[[#This Row],[Monthly Investment]]</f>
        <v>-3781.5046486148321</v>
      </c>
      <c r="AI118" s="5">
        <f>Model_Renter!D118*-1</f>
        <v>3835.2652559841813</v>
      </c>
      <c r="AJ118" s="5">
        <f t="shared" si="33"/>
        <v>53.760607369349145</v>
      </c>
    </row>
    <row r="119" spans="1:36" x14ac:dyDescent="0.25">
      <c r="A119" s="17">
        <f t="shared" si="28"/>
        <v>117</v>
      </c>
      <c r="B119" s="17">
        <f t="shared" si="24"/>
        <v>10</v>
      </c>
      <c r="C119" s="23">
        <f>IFERROR(IPMT(Assumptions!$D$16/12,Model_30y!A119, 360,Assumptions!$D$8), 0)</f>
        <v>-1635.6583709961455</v>
      </c>
      <c r="D119" s="2">
        <f>IFERROR(PPMT(Assumptions!$D$16/12, Model_30y!A119, 360, Assumptions!$D$8), 0)</f>
        <v>-562.79926193679239</v>
      </c>
      <c r="E119" s="2">
        <f t="shared" si="18"/>
        <v>-2198.4576329329379</v>
      </c>
      <c r="F119" s="2">
        <f>IF(I118&gt;1, Assumptions!$E$18, 0)*-1</f>
        <v>-2198.4576329329379</v>
      </c>
      <c r="G119" s="24">
        <f t="shared" si="19"/>
        <v>1</v>
      </c>
      <c r="H119" s="20">
        <f t="shared" si="25"/>
        <v>48480.947298339379</v>
      </c>
      <c r="I119" s="2">
        <f>MAX(Assumptions!$D$8-SUM(Model_30y!H119), 0)</f>
        <v>291519.05270166061</v>
      </c>
      <c r="J119" s="2">
        <f>J118*(1+(Assumptions!$E$51))</f>
        <v>683887.3900071847</v>
      </c>
      <c r="K119" s="22">
        <f t="shared" si="20"/>
        <v>392368.3373055241</v>
      </c>
      <c r="L119" s="5">
        <f t="shared" si="26"/>
        <v>133480.94729833939</v>
      </c>
      <c r="M119" s="63">
        <f>L119/Assumptions!$D$6</f>
        <v>0.3140728171725633</v>
      </c>
      <c r="N119" s="24">
        <f t="shared" si="34"/>
        <v>0</v>
      </c>
      <c r="O119" s="5">
        <f>N119*Assumptions!$E$25*-1</f>
        <v>0</v>
      </c>
      <c r="P119" s="20">
        <f>Assumptions!$E$35*J119*-1</f>
        <v>-1408.6960504248871</v>
      </c>
      <c r="Q119" s="5">
        <f>J119*Assumptions!$E$36*-1</f>
        <v>-567.31065593167841</v>
      </c>
      <c r="R119" s="5">
        <f>(R107+(Model_30y!R107*Assumptions!$D$51))</f>
        <v>-504.05239284168607</v>
      </c>
      <c r="S119" s="5">
        <f>S107+(S107*Assumptions!$D$51)</f>
        <v>0</v>
      </c>
      <c r="T119" s="5">
        <f t="shared" si="29"/>
        <v>0</v>
      </c>
      <c r="U119" s="22">
        <f t="shared" si="21"/>
        <v>-2480.0590991982517</v>
      </c>
      <c r="V119" s="5">
        <f>MAX(Assumptions!$E$18:$E$19)-U119</f>
        <v>5321.692110996948</v>
      </c>
      <c r="W119" s="5">
        <f t="shared" si="22"/>
        <v>-2198.4576329329379</v>
      </c>
      <c r="X119" s="5">
        <f t="shared" si="27"/>
        <v>-2480.0590991982517</v>
      </c>
      <c r="Y119" s="5">
        <f>C119*Assumptions!$D$44*-1</f>
        <v>245.34875564942183</v>
      </c>
      <c r="Z119" s="5">
        <f t="shared" si="23"/>
        <v>888.52413451518021</v>
      </c>
      <c r="AA119" s="5">
        <f t="shared" si="30"/>
        <v>160719.7234891525</v>
      </c>
      <c r="AB119" s="3">
        <f>Assumptions!$E$45</f>
        <v>6.9899151946608562E-3</v>
      </c>
      <c r="AC119" s="5">
        <f t="shared" si="31"/>
        <v>162731.66486096618</v>
      </c>
      <c r="AD119" s="5">
        <f>AC119*Assumptions!$E$43</f>
        <v>145.73849203523167</v>
      </c>
      <c r="AE119" s="2">
        <f>AD119*Assumptions!$D$44*-1</f>
        <v>-21.860773805284751</v>
      </c>
      <c r="AF119" s="2">
        <f>AC119*Assumptions!$E$46*-1</f>
        <v>-5.4233946114950937</v>
      </c>
      <c r="AG119" s="22">
        <f t="shared" si="32"/>
        <v>162704.3806925494</v>
      </c>
      <c r="AH119" s="5">
        <f>Model_30y[[#This Row],[Mortgage Payment]]+Model_30y[[#This Row],[Total Upkeep]]+Model_30y[[#This Row],[Monthly Investment]]</f>
        <v>-3789.9925976160089</v>
      </c>
      <c r="AI119" s="5">
        <f>Model_Renter!D119*-1</f>
        <v>3835.2652559841813</v>
      </c>
      <c r="AJ119" s="5">
        <f t="shared" si="33"/>
        <v>45.272658368172415</v>
      </c>
    </row>
    <row r="120" spans="1:36" x14ac:dyDescent="0.25">
      <c r="A120" s="17">
        <f t="shared" si="28"/>
        <v>118</v>
      </c>
      <c r="B120" s="17">
        <f t="shared" si="24"/>
        <v>10</v>
      </c>
      <c r="C120" s="23">
        <f>IFERROR(IPMT(Assumptions!$D$16/12,Model_30y!A120, 360,Assumptions!$D$8), 0)</f>
        <v>-1632.5066951292997</v>
      </c>
      <c r="D120" s="2">
        <f>IFERROR(PPMT(Assumptions!$D$16/12, Model_30y!A120, 360, Assumptions!$D$8), 0)</f>
        <v>-565.95093780363834</v>
      </c>
      <c r="E120" s="2">
        <f t="shared" si="18"/>
        <v>-2198.4576329329379</v>
      </c>
      <c r="F120" s="2">
        <f>IF(I119&gt;1, Assumptions!$E$18, 0)*-1</f>
        <v>-2198.4576329329379</v>
      </c>
      <c r="G120" s="24">
        <f t="shared" si="19"/>
        <v>1</v>
      </c>
      <c r="H120" s="20">
        <f t="shared" si="25"/>
        <v>49046.898236143017</v>
      </c>
      <c r="I120" s="2">
        <f>MAX(Assumptions!$D$8-SUM(Model_30y!H120), 0)</f>
        <v>290953.101763857</v>
      </c>
      <c r="J120" s="2">
        <f>J119*(1+(Assumptions!$E$51))</f>
        <v>686673.63188815012</v>
      </c>
      <c r="K120" s="22">
        <f t="shared" si="20"/>
        <v>395720.53012429312</v>
      </c>
      <c r="L120" s="5">
        <f t="shared" si="26"/>
        <v>134046.89823614302</v>
      </c>
      <c r="M120" s="63">
        <f>L120/Assumptions!$D$6</f>
        <v>0.31540446643798359</v>
      </c>
      <c r="N120" s="24">
        <f t="shared" si="34"/>
        <v>0</v>
      </c>
      <c r="O120" s="5">
        <f>N120*Assumptions!$E$25*-1</f>
        <v>0</v>
      </c>
      <c r="P120" s="20">
        <f>Assumptions!$E$35*J120*-1</f>
        <v>-1414.4352525078546</v>
      </c>
      <c r="Q120" s="5">
        <f>J120*Assumptions!$E$36*-1</f>
        <v>-569.62194976772673</v>
      </c>
      <c r="R120" s="5">
        <f>(R108+(Model_30y!R108*Assumptions!$D$51))</f>
        <v>-504.05239284168607</v>
      </c>
      <c r="S120" s="5">
        <f>S108+(S108*Assumptions!$D$51)</f>
        <v>0</v>
      </c>
      <c r="T120" s="5">
        <f t="shared" si="29"/>
        <v>0</v>
      </c>
      <c r="U120" s="22">
        <f t="shared" si="21"/>
        <v>-2488.1095951172674</v>
      </c>
      <c r="V120" s="5">
        <f>MAX(Assumptions!$E$18:$E$19)-U120</f>
        <v>5329.7426069159646</v>
      </c>
      <c r="W120" s="5">
        <f t="shared" si="22"/>
        <v>-2198.4576329329379</v>
      </c>
      <c r="X120" s="5">
        <f t="shared" si="27"/>
        <v>-2488.1095951172674</v>
      </c>
      <c r="Y120" s="5">
        <f>C120*Assumptions!$D$44*-1</f>
        <v>244.87600426939494</v>
      </c>
      <c r="Z120" s="5">
        <f t="shared" si="23"/>
        <v>888.0513831351542</v>
      </c>
      <c r="AA120" s="5">
        <f t="shared" si="30"/>
        <v>162704.3806925494</v>
      </c>
      <c r="AB120" s="3">
        <f>Assumptions!$E$45</f>
        <v>6.9899151946608562E-3</v>
      </c>
      <c r="AC120" s="5">
        <f t="shared" si="31"/>
        <v>164729.72189852528</v>
      </c>
      <c r="AD120" s="5">
        <f>AC120*Assumptions!$E$43</f>
        <v>147.52790296458605</v>
      </c>
      <c r="AE120" s="2">
        <f>AD120*Assumptions!$D$44*-1</f>
        <v>-22.129185444687906</v>
      </c>
      <c r="AF120" s="2">
        <f>AC120*Assumptions!$E$46*-1</f>
        <v>-5.4899843055181723</v>
      </c>
      <c r="AG120" s="22">
        <f t="shared" si="32"/>
        <v>164702.10272877509</v>
      </c>
      <c r="AH120" s="5">
        <f>Model_30y[[#This Row],[Mortgage Payment]]+Model_30y[[#This Row],[Total Upkeep]]+Model_30y[[#This Row],[Monthly Investment]]</f>
        <v>-3798.5158449150517</v>
      </c>
      <c r="AI120" s="5">
        <f>Model_Renter!D120*-1</f>
        <v>3835.2652559841813</v>
      </c>
      <c r="AJ120" s="5">
        <f t="shared" si="33"/>
        <v>36.749411069129565</v>
      </c>
    </row>
    <row r="121" spans="1:36" x14ac:dyDescent="0.25">
      <c r="A121" s="17">
        <f t="shared" si="28"/>
        <v>119</v>
      </c>
      <c r="B121" s="17">
        <f t="shared" si="24"/>
        <v>10</v>
      </c>
      <c r="C121" s="23">
        <f>IFERROR(IPMT(Assumptions!$D$16/12,Model_30y!A121, 360,Assumptions!$D$8), 0)</f>
        <v>-1629.3373698775993</v>
      </c>
      <c r="D121" s="2">
        <f>IFERROR(PPMT(Assumptions!$D$16/12, Model_30y!A121, 360, Assumptions!$D$8), 0)</f>
        <v>-569.1202630553388</v>
      </c>
      <c r="E121" s="2">
        <f t="shared" si="18"/>
        <v>-2198.4576329329379</v>
      </c>
      <c r="F121" s="2">
        <f>IF(I120&gt;1, Assumptions!$E$18, 0)*-1</f>
        <v>-2198.4576329329379</v>
      </c>
      <c r="G121" s="24">
        <f t="shared" si="19"/>
        <v>1</v>
      </c>
      <c r="H121" s="20">
        <f t="shared" si="25"/>
        <v>49616.018499198355</v>
      </c>
      <c r="I121" s="2">
        <f>MAX(Assumptions!$D$8-SUM(Model_30y!H121), 0)</f>
        <v>290383.98150080163</v>
      </c>
      <c r="J121" s="2">
        <f>J120*(1+(Assumptions!$E$51))</f>
        <v>689471.22526342981</v>
      </c>
      <c r="K121" s="22">
        <f t="shared" si="20"/>
        <v>399087.24376262818</v>
      </c>
      <c r="L121" s="5">
        <f t="shared" si="26"/>
        <v>134616.01849919837</v>
      </c>
      <c r="M121" s="63">
        <f>L121/Assumptions!$D$6</f>
        <v>0.31674357293929029</v>
      </c>
      <c r="N121" s="24">
        <f t="shared" si="34"/>
        <v>0</v>
      </c>
      <c r="O121" s="5">
        <f>N121*Assumptions!$E$25*-1</f>
        <v>0</v>
      </c>
      <c r="P121" s="20">
        <f>Assumptions!$E$35*J121*-1</f>
        <v>-1420.1978368105274</v>
      </c>
      <c r="Q121" s="5">
        <f>J121*Assumptions!$E$36*-1</f>
        <v>-571.94266010096362</v>
      </c>
      <c r="R121" s="5">
        <f>(R109+(Model_30y!R109*Assumptions!$D$51))</f>
        <v>-504.05239284168607</v>
      </c>
      <c r="S121" s="5">
        <f>S109+(S109*Assumptions!$D$51)</f>
        <v>0</v>
      </c>
      <c r="T121" s="5">
        <f t="shared" si="29"/>
        <v>0</v>
      </c>
      <c r="U121" s="22">
        <f t="shared" si="21"/>
        <v>-2496.192889753177</v>
      </c>
      <c r="V121" s="5">
        <f>MAX(Assumptions!$E$18:$E$19)-U121</f>
        <v>5337.8259015518743</v>
      </c>
      <c r="W121" s="5">
        <f t="shared" si="22"/>
        <v>-2198.4576329329379</v>
      </c>
      <c r="X121" s="5">
        <f t="shared" si="27"/>
        <v>-2496.192889753177</v>
      </c>
      <c r="Y121" s="5">
        <f>C121*Assumptions!$D$44*-1</f>
        <v>244.40060548163987</v>
      </c>
      <c r="Z121" s="5">
        <f t="shared" si="23"/>
        <v>887.57598434739919</v>
      </c>
      <c r="AA121" s="5">
        <f t="shared" si="30"/>
        <v>164702.10272877509</v>
      </c>
      <c r="AB121" s="3">
        <f>Assumptions!$E$45</f>
        <v>6.9899151946608562E-3</v>
      </c>
      <c r="AC121" s="5">
        <f t="shared" si="31"/>
        <v>166740.93244357896</v>
      </c>
      <c r="AD121" s="5">
        <f>AC121*Assumptions!$E$43</f>
        <v>149.3290938529845</v>
      </c>
      <c r="AE121" s="2">
        <f>AD121*Assumptions!$D$44*-1</f>
        <v>-22.399364077947673</v>
      </c>
      <c r="AF121" s="2">
        <f>AC121*Assumptions!$E$46*-1</f>
        <v>-5.5570123694290618</v>
      </c>
      <c r="AG121" s="22">
        <f t="shared" si="32"/>
        <v>166712.97606713159</v>
      </c>
      <c r="AH121" s="5">
        <f>Model_30y[[#This Row],[Mortgage Payment]]+Model_30y[[#This Row],[Total Upkeep]]+Model_30y[[#This Row],[Monthly Investment]]</f>
        <v>-3807.0745383387161</v>
      </c>
      <c r="AI121" s="5">
        <f>Model_Renter!D121*-1</f>
        <v>3835.2652559841813</v>
      </c>
      <c r="AJ121" s="5">
        <f t="shared" si="33"/>
        <v>28.190717645465156</v>
      </c>
    </row>
    <row r="122" spans="1:36" x14ac:dyDescent="0.25">
      <c r="A122" s="17">
        <f t="shared" si="28"/>
        <v>120</v>
      </c>
      <c r="B122" s="17">
        <f t="shared" si="24"/>
        <v>10</v>
      </c>
      <c r="C122" s="23">
        <f>IFERROR(IPMT(Assumptions!$D$16/12,Model_30y!A122, 360,Assumptions!$D$8), 0)</f>
        <v>-1626.1502964044894</v>
      </c>
      <c r="D122" s="2">
        <f>IFERROR(PPMT(Assumptions!$D$16/12, Model_30y!A122, 360, Assumptions!$D$8), 0)</f>
        <v>-572.30733652844856</v>
      </c>
      <c r="E122" s="2">
        <f t="shared" si="18"/>
        <v>-2198.4576329329379</v>
      </c>
      <c r="F122" s="2">
        <f>IF(I121&gt;1, Assumptions!$E$18, 0)*-1</f>
        <v>-2198.4576329329379</v>
      </c>
      <c r="G122" s="24">
        <f t="shared" si="19"/>
        <v>1</v>
      </c>
      <c r="H122" s="20">
        <f t="shared" si="25"/>
        <v>50188.325835726806</v>
      </c>
      <c r="I122" s="2">
        <f>MAX(Assumptions!$D$8-SUM(Model_30y!H122), 0)</f>
        <v>289811.67416427319</v>
      </c>
      <c r="J122" s="2">
        <f>J121*(1+(Assumptions!$E$51))</f>
        <v>692280.21638041676</v>
      </c>
      <c r="K122" s="22">
        <f t="shared" si="20"/>
        <v>402468.54221614357</v>
      </c>
      <c r="L122" s="5">
        <f t="shared" si="26"/>
        <v>135188.32583572681</v>
      </c>
      <c r="M122" s="63">
        <f>L122/Assumptions!$D$6</f>
        <v>0.31809017843700427</v>
      </c>
      <c r="N122" s="24">
        <f t="shared" si="34"/>
        <v>0</v>
      </c>
      <c r="O122" s="5">
        <f>N122*Assumptions!$E$25*-1</f>
        <v>0</v>
      </c>
      <c r="P122" s="20">
        <f>Assumptions!$E$35*J122*-1</f>
        <v>-1425.9838985949632</v>
      </c>
      <c r="Q122" s="5">
        <f>J122*Assumptions!$E$36*-1</f>
        <v>-574.2728252953641</v>
      </c>
      <c r="R122" s="5">
        <f>(R110+(Model_30y!R110*Assumptions!$D$51))</f>
        <v>-504.05239284168607</v>
      </c>
      <c r="S122" s="5">
        <f>S110+(S110*Assumptions!$D$51)</f>
        <v>0</v>
      </c>
      <c r="T122" s="5">
        <f t="shared" si="29"/>
        <v>0</v>
      </c>
      <c r="U122" s="22">
        <f t="shared" si="21"/>
        <v>-2504.3091167320135</v>
      </c>
      <c r="V122" s="5">
        <f>MAX(Assumptions!$E$18:$E$19)-U122</f>
        <v>5345.9421285307108</v>
      </c>
      <c r="W122" s="5">
        <f t="shared" si="22"/>
        <v>-2198.4576329329379</v>
      </c>
      <c r="X122" s="5">
        <f t="shared" si="27"/>
        <v>-2504.3091167320135</v>
      </c>
      <c r="Y122" s="5">
        <f>C122*Assumptions!$D$44*-1</f>
        <v>243.92254446067341</v>
      </c>
      <c r="Z122" s="5">
        <f t="shared" si="23"/>
        <v>887.09792332643269</v>
      </c>
      <c r="AA122" s="5">
        <f t="shared" si="30"/>
        <v>166712.97606713159</v>
      </c>
      <c r="AB122" s="3">
        <f>Assumptions!$E$45</f>
        <v>6.9899151946608562E-3</v>
      </c>
      <c r="AC122" s="5">
        <f t="shared" si="31"/>
        <v>168765.3835550168</v>
      </c>
      <c r="AD122" s="5">
        <f>AC122*Assumptions!$E$43</f>
        <v>151.14214266823549</v>
      </c>
      <c r="AE122" s="2">
        <f>AD122*Assumptions!$D$44*-1</f>
        <v>-22.671321400235325</v>
      </c>
      <c r="AF122" s="2">
        <f>AC122*Assumptions!$E$46*-1</f>
        <v>-5.6244817046588569</v>
      </c>
      <c r="AG122" s="22">
        <f t="shared" si="32"/>
        <v>168737.08775191189</v>
      </c>
      <c r="AH122" s="5">
        <f>Model_30y[[#This Row],[Mortgage Payment]]+Model_30y[[#This Row],[Total Upkeep]]+Model_30y[[#This Row],[Monthly Investment]]</f>
        <v>-3815.6688263385195</v>
      </c>
      <c r="AI122" s="5">
        <f>Model_Renter!D122*-1</f>
        <v>3835.2652559841813</v>
      </c>
      <c r="AJ122" s="5">
        <f t="shared" si="33"/>
        <v>19.596429645661829</v>
      </c>
    </row>
    <row r="123" spans="1:36" x14ac:dyDescent="0.25">
      <c r="A123" s="17">
        <f t="shared" si="28"/>
        <v>121</v>
      </c>
      <c r="B123" s="17">
        <f t="shared" si="24"/>
        <v>11</v>
      </c>
      <c r="C123" s="23">
        <f>IFERROR(IPMT(Assumptions!$D$16/12,Model_30y!A123, 360,Assumptions!$D$8), 0)</f>
        <v>-1622.9453753199298</v>
      </c>
      <c r="D123" s="2">
        <f>IFERROR(PPMT(Assumptions!$D$16/12, Model_30y!A123, 360, Assumptions!$D$8), 0)</f>
        <v>-575.51225761300793</v>
      </c>
      <c r="E123" s="2">
        <f t="shared" si="18"/>
        <v>-2198.4576329329375</v>
      </c>
      <c r="F123" s="2">
        <f>IF(I122&gt;1, Assumptions!$E$18, 0)*-1</f>
        <v>-2198.4576329329379</v>
      </c>
      <c r="G123" s="24">
        <f t="shared" si="19"/>
        <v>1</v>
      </c>
      <c r="H123" s="20">
        <f t="shared" si="25"/>
        <v>50763.838093339815</v>
      </c>
      <c r="I123" s="2">
        <f>MAX(Assumptions!$D$8-SUM(Model_30y!H123), 0)</f>
        <v>289236.16190666019</v>
      </c>
      <c r="J123" s="2">
        <f>J122*(1+(Assumptions!$E$51))</f>
        <v>695100.65167492139</v>
      </c>
      <c r="K123" s="22">
        <f t="shared" si="20"/>
        <v>405864.48976826121</v>
      </c>
      <c r="L123" s="5">
        <f t="shared" si="26"/>
        <v>135763.83809333981</v>
      </c>
      <c r="M123" s="63">
        <f>L123/Assumptions!$D$6</f>
        <v>0.31944432492550545</v>
      </c>
      <c r="N123" s="24">
        <f t="shared" si="34"/>
        <v>0</v>
      </c>
      <c r="O123" s="5">
        <f>N123*Assumptions!$E$25*-1</f>
        <v>0</v>
      </c>
      <c r="P123" s="20">
        <f>Assumptions!$E$35*J123*-1</f>
        <v>-1431.7935335113284</v>
      </c>
      <c r="Q123" s="5">
        <f>J123*Assumptions!$E$36*-1</f>
        <v>-576.61248387120281</v>
      </c>
      <c r="R123" s="5">
        <f>(R111+(Model_30y!R111*Assumptions!$D$51))</f>
        <v>-529.25501248377043</v>
      </c>
      <c r="S123" s="5">
        <f>S111+(S111*Assumptions!$D$51)</f>
        <v>0</v>
      </c>
      <c r="T123" s="5">
        <f t="shared" si="29"/>
        <v>0</v>
      </c>
      <c r="U123" s="22">
        <f t="shared" si="21"/>
        <v>-2537.6610298663018</v>
      </c>
      <c r="V123" s="5">
        <f>MAX(Assumptions!$E$18:$E$19)-U123</f>
        <v>5379.2940416649981</v>
      </c>
      <c r="W123" s="5">
        <f t="shared" si="22"/>
        <v>-2198.4576329329379</v>
      </c>
      <c r="X123" s="5">
        <f t="shared" si="27"/>
        <v>-2537.6610298663018</v>
      </c>
      <c r="Y123" s="5">
        <f>C123*Assumptions!$D$44*-1</f>
        <v>243.44180629798944</v>
      </c>
      <c r="Z123" s="5">
        <f t="shared" si="23"/>
        <v>886.61718516374776</v>
      </c>
      <c r="AA123" s="5">
        <f t="shared" si="30"/>
        <v>168737.08775191189</v>
      </c>
      <c r="AB123" s="3">
        <f>Assumptions!$E$45</f>
        <v>6.9899151946608562E-3</v>
      </c>
      <c r="AC123" s="5">
        <f t="shared" si="31"/>
        <v>170803.16287065556</v>
      </c>
      <c r="AD123" s="5">
        <f>AC123*Assumptions!$E$43</f>
        <v>152.96712789662061</v>
      </c>
      <c r="AE123" s="2">
        <f>AD123*Assumptions!$D$44*-1</f>
        <v>-22.945069184493089</v>
      </c>
      <c r="AF123" s="2">
        <f>AC123*Assumptions!$E$46*-1</f>
        <v>-5.6923952319326894</v>
      </c>
      <c r="AG123" s="22">
        <f t="shared" si="32"/>
        <v>170774.52540623915</v>
      </c>
      <c r="AH123" s="5">
        <f>Model_30y[[#This Row],[Mortgage Payment]]+Model_30y[[#This Row],[Total Upkeep]]+Model_30y[[#This Row],[Monthly Investment]]</f>
        <v>-3849.5014776354915</v>
      </c>
      <c r="AI123" s="5">
        <f>Model_Renter!D123*-1</f>
        <v>3978.7041765579902</v>
      </c>
      <c r="AJ123" s="5">
        <f t="shared" si="33"/>
        <v>129.20269892249871</v>
      </c>
    </row>
    <row r="124" spans="1:36" x14ac:dyDescent="0.25">
      <c r="A124" s="17">
        <f t="shared" si="28"/>
        <v>122</v>
      </c>
      <c r="B124" s="17">
        <f t="shared" si="24"/>
        <v>11</v>
      </c>
      <c r="C124" s="23">
        <f>IFERROR(IPMT(Assumptions!$D$16/12,Model_30y!A124, 360,Assumptions!$D$8), 0)</f>
        <v>-1619.7225066772974</v>
      </c>
      <c r="D124" s="2">
        <f>IFERROR(PPMT(Assumptions!$D$16/12, Model_30y!A124, 360, Assumptions!$D$8), 0)</f>
        <v>-578.73512625564081</v>
      </c>
      <c r="E124" s="2">
        <f t="shared" si="18"/>
        <v>-2198.4576329329384</v>
      </c>
      <c r="F124" s="2">
        <f>IF(I123&gt;1, Assumptions!$E$18, 0)*-1</f>
        <v>-2198.4576329329379</v>
      </c>
      <c r="G124" s="24">
        <f t="shared" si="19"/>
        <v>1</v>
      </c>
      <c r="H124" s="20">
        <f t="shared" si="25"/>
        <v>51342.573219595455</v>
      </c>
      <c r="I124" s="2">
        <f>MAX(Assumptions!$D$8-SUM(Model_30y!H124), 0)</f>
        <v>288657.42678040452</v>
      </c>
      <c r="J124" s="2">
        <f>J123*(1+(Assumptions!$E$51))</f>
        <v>697932.57777193969</v>
      </c>
      <c r="K124" s="22">
        <f t="shared" si="20"/>
        <v>409275.15099153516</v>
      </c>
      <c r="L124" s="5">
        <f t="shared" si="26"/>
        <v>136342.57321959545</v>
      </c>
      <c r="M124" s="63">
        <f>L124/Assumptions!$D$6</f>
        <v>0.32080605463434225</v>
      </c>
      <c r="N124" s="24">
        <f t="shared" si="34"/>
        <v>0</v>
      </c>
      <c r="O124" s="5">
        <f>N124*Assumptions!$E$25*-1</f>
        <v>0</v>
      </c>
      <c r="P124" s="20">
        <f>Assumptions!$E$35*J124*-1</f>
        <v>-1437.626837599481</v>
      </c>
      <c r="Q124" s="5">
        <f>J124*Assumptions!$E$36*-1</f>
        <v>-578.96167450569101</v>
      </c>
      <c r="R124" s="5">
        <f>(R112+(Model_30y!R112*Assumptions!$D$51))</f>
        <v>-529.25501248377043</v>
      </c>
      <c r="S124" s="5">
        <f>S112+(S112*Assumptions!$D$51)</f>
        <v>0</v>
      </c>
      <c r="T124" s="5">
        <f t="shared" si="29"/>
        <v>0</v>
      </c>
      <c r="U124" s="22">
        <f t="shared" si="21"/>
        <v>-2545.8435245889423</v>
      </c>
      <c r="V124" s="5">
        <f>MAX(Assumptions!$E$18:$E$19)-U124</f>
        <v>5387.4765363876395</v>
      </c>
      <c r="W124" s="5">
        <f t="shared" si="22"/>
        <v>-2198.4576329329379</v>
      </c>
      <c r="X124" s="5">
        <f t="shared" si="27"/>
        <v>-2545.8435245889423</v>
      </c>
      <c r="Y124" s="5">
        <f>C124*Assumptions!$D$44*-1</f>
        <v>242.95837600159459</v>
      </c>
      <c r="Z124" s="5">
        <f t="shared" si="23"/>
        <v>886.1337548673539</v>
      </c>
      <c r="AA124" s="5">
        <f t="shared" si="30"/>
        <v>170774.52540623915</v>
      </c>
      <c r="AB124" s="3">
        <f>Assumptions!$E$45</f>
        <v>6.9899151946608562E-3</v>
      </c>
      <c r="AC124" s="5">
        <f t="shared" si="31"/>
        <v>172854.35861110457</v>
      </c>
      <c r="AD124" s="5">
        <f>AC124*Assumptions!$E$43</f>
        <v>154.80412854635608</v>
      </c>
      <c r="AE124" s="2">
        <f>AD124*Assumptions!$D$44*-1</f>
        <v>-23.220619281953411</v>
      </c>
      <c r="AF124" s="2">
        <f>AC124*Assumptions!$E$46*-1</f>
        <v>-5.7607558913985484</v>
      </c>
      <c r="AG124" s="22">
        <f t="shared" si="32"/>
        <v>172825.37723593123</v>
      </c>
      <c r="AH124" s="5">
        <f>Model_30y[[#This Row],[Mortgage Payment]]+Model_30y[[#This Row],[Total Upkeep]]+Model_30y[[#This Row],[Monthly Investment]]</f>
        <v>-3858.167402654527</v>
      </c>
      <c r="AI124" s="5">
        <f>Model_Renter!D124*-1</f>
        <v>3978.7041765579902</v>
      </c>
      <c r="AJ124" s="5">
        <f t="shared" si="33"/>
        <v>120.5367739034632</v>
      </c>
    </row>
    <row r="125" spans="1:36" x14ac:dyDescent="0.25">
      <c r="A125" s="17">
        <f t="shared" si="28"/>
        <v>123</v>
      </c>
      <c r="B125" s="17">
        <f t="shared" si="24"/>
        <v>11</v>
      </c>
      <c r="C125" s="23">
        <f>IFERROR(IPMT(Assumptions!$D$16/12,Model_30y!A125, 360,Assumptions!$D$8), 0)</f>
        <v>-1616.4815899702653</v>
      </c>
      <c r="D125" s="2">
        <f>IFERROR(PPMT(Assumptions!$D$16/12, Model_30y!A125, 360, Assumptions!$D$8), 0)</f>
        <v>-581.97604296267241</v>
      </c>
      <c r="E125" s="2">
        <f t="shared" si="18"/>
        <v>-2198.4576329329375</v>
      </c>
      <c r="F125" s="2">
        <f>IF(I124&gt;1, Assumptions!$E$18, 0)*-1</f>
        <v>-2198.4576329329379</v>
      </c>
      <c r="G125" s="24">
        <f t="shared" si="19"/>
        <v>1</v>
      </c>
      <c r="H125" s="20">
        <f t="shared" si="25"/>
        <v>51924.549262558125</v>
      </c>
      <c r="I125" s="2">
        <f>MAX(Assumptions!$D$8-SUM(Model_30y!H125), 0)</f>
        <v>288075.45073744189</v>
      </c>
      <c r="J125" s="2">
        <f>J124*(1+(Assumptions!$E$51))</f>
        <v>700776.04148642335</v>
      </c>
      <c r="K125" s="22">
        <f t="shared" si="20"/>
        <v>412700.59074898146</v>
      </c>
      <c r="L125" s="5">
        <f t="shared" si="26"/>
        <v>136924.54926255811</v>
      </c>
      <c r="M125" s="63">
        <f>L125/Assumptions!$D$6</f>
        <v>0.32217541002954847</v>
      </c>
      <c r="N125" s="24">
        <f t="shared" si="34"/>
        <v>0</v>
      </c>
      <c r="O125" s="5">
        <f>N125*Assumptions!$E$25*-1</f>
        <v>0</v>
      </c>
      <c r="P125" s="20">
        <f>Assumptions!$E$35*J125*-1</f>
        <v>-1443.4839072905561</v>
      </c>
      <c r="Q125" s="5">
        <f>J125*Assumptions!$E$36*-1</f>
        <v>-581.32043603361558</v>
      </c>
      <c r="R125" s="5">
        <f>(R113+(Model_30y!R113*Assumptions!$D$51))</f>
        <v>-529.25501248377043</v>
      </c>
      <c r="S125" s="5">
        <f>S113+(S113*Assumptions!$D$51)</f>
        <v>0</v>
      </c>
      <c r="T125" s="5">
        <f t="shared" si="29"/>
        <v>0</v>
      </c>
      <c r="U125" s="22">
        <f t="shared" si="21"/>
        <v>-2554.0593558079422</v>
      </c>
      <c r="V125" s="5">
        <f>MAX(Assumptions!$E$18:$E$19)-U125</f>
        <v>5395.692367606639</v>
      </c>
      <c r="W125" s="5">
        <f t="shared" si="22"/>
        <v>-2198.4576329329379</v>
      </c>
      <c r="X125" s="5">
        <f t="shared" si="27"/>
        <v>-2554.0593558079422</v>
      </c>
      <c r="Y125" s="5">
        <f>C125*Assumptions!$D$44*-1</f>
        <v>242.47223849553978</v>
      </c>
      <c r="Z125" s="5">
        <f t="shared" si="23"/>
        <v>885.64761736129867</v>
      </c>
      <c r="AA125" s="5">
        <f t="shared" si="30"/>
        <v>172825.37723593123</v>
      </c>
      <c r="AB125" s="3">
        <f>Assumptions!$E$45</f>
        <v>6.9899151946608562E-3</v>
      </c>
      <c r="AC125" s="5">
        <f t="shared" si="31"/>
        <v>174919.05958365696</v>
      </c>
      <c r="AD125" s="5">
        <f>AC125*Assumptions!$E$43</f>
        <v>156.65322415107781</v>
      </c>
      <c r="AE125" s="2">
        <f>AD125*Assumptions!$D$44*-1</f>
        <v>-23.497983622661671</v>
      </c>
      <c r="AF125" s="2">
        <f>AC125*Assumptions!$E$46*-1</f>
        <v>-5.8295666427569666</v>
      </c>
      <c r="AG125" s="22">
        <f t="shared" si="32"/>
        <v>174889.73203339154</v>
      </c>
      <c r="AH125" s="5">
        <f>Model_30y[[#This Row],[Mortgage Payment]]+Model_30y[[#This Row],[Total Upkeep]]+Model_30y[[#This Row],[Monthly Investment]]</f>
        <v>-3866.8693713795815</v>
      </c>
      <c r="AI125" s="5">
        <f>Model_Renter!D125*-1</f>
        <v>3978.7041765579902</v>
      </c>
      <c r="AJ125" s="5">
        <f t="shared" si="33"/>
        <v>111.83480517840871</v>
      </c>
    </row>
    <row r="126" spans="1:36" x14ac:dyDescent="0.25">
      <c r="A126" s="17">
        <f t="shared" si="28"/>
        <v>124</v>
      </c>
      <c r="B126" s="17">
        <f t="shared" si="24"/>
        <v>11</v>
      </c>
      <c r="C126" s="23">
        <f>IFERROR(IPMT(Assumptions!$D$16/12,Model_30y!A126, 360,Assumptions!$D$8), 0)</f>
        <v>-1613.2225241296746</v>
      </c>
      <c r="D126" s="2">
        <f>IFERROR(PPMT(Assumptions!$D$16/12, Model_30y!A126, 360, Assumptions!$D$8), 0)</f>
        <v>-585.2351088032633</v>
      </c>
      <c r="E126" s="2">
        <f t="shared" si="18"/>
        <v>-2198.4576329329379</v>
      </c>
      <c r="F126" s="2">
        <f>IF(I125&gt;1, Assumptions!$E$18, 0)*-1</f>
        <v>-2198.4576329329379</v>
      </c>
      <c r="G126" s="24">
        <f t="shared" si="19"/>
        <v>1</v>
      </c>
      <c r="H126" s="20">
        <f t="shared" si="25"/>
        <v>52509.784371361391</v>
      </c>
      <c r="I126" s="2">
        <f>MAX(Assumptions!$D$8-SUM(Model_30y!H126), 0)</f>
        <v>287490.21562863863</v>
      </c>
      <c r="J126" s="2">
        <f>J125*(1+(Assumptions!$E$51))</f>
        <v>703631.08982405416</v>
      </c>
      <c r="K126" s="22">
        <f t="shared" si="20"/>
        <v>416140.87419541553</v>
      </c>
      <c r="L126" s="5">
        <f t="shared" si="26"/>
        <v>137509.78437136137</v>
      </c>
      <c r="M126" s="63">
        <f>L126/Assumptions!$D$6</f>
        <v>0.32355243381496795</v>
      </c>
      <c r="N126" s="24">
        <f t="shared" si="34"/>
        <v>0</v>
      </c>
      <c r="O126" s="5">
        <f>N126*Assumptions!$E$25*-1</f>
        <v>0</v>
      </c>
      <c r="P126" s="20">
        <f>Assumptions!$E$35*J126*-1</f>
        <v>-1449.3648394085621</v>
      </c>
      <c r="Q126" s="5">
        <f>J126*Assumptions!$E$36*-1</f>
        <v>-583.68880744798093</v>
      </c>
      <c r="R126" s="5">
        <f>(R114+(Model_30y!R114*Assumptions!$D$51))</f>
        <v>-529.25501248377043</v>
      </c>
      <c r="S126" s="5">
        <f>S114+(S114*Assumptions!$D$51)</f>
        <v>0</v>
      </c>
      <c r="T126" s="5">
        <f t="shared" si="29"/>
        <v>0</v>
      </c>
      <c r="U126" s="22">
        <f t="shared" si="21"/>
        <v>-2562.3086593403136</v>
      </c>
      <c r="V126" s="5">
        <f>MAX(Assumptions!$E$18:$E$19)-U126</f>
        <v>5403.9416711390104</v>
      </c>
      <c r="W126" s="5">
        <f t="shared" si="22"/>
        <v>-2198.4576329329379</v>
      </c>
      <c r="X126" s="5">
        <f t="shared" si="27"/>
        <v>-2562.3086593403136</v>
      </c>
      <c r="Y126" s="5">
        <f>C126*Assumptions!$D$44*-1</f>
        <v>241.98337861945117</v>
      </c>
      <c r="Z126" s="5">
        <f t="shared" si="23"/>
        <v>885.15875748521</v>
      </c>
      <c r="AA126" s="5">
        <f t="shared" si="30"/>
        <v>174889.73203339154</v>
      </c>
      <c r="AB126" s="3">
        <f>Assumptions!$E$45</f>
        <v>6.9899151946608562E-3</v>
      </c>
      <c r="AC126" s="5">
        <f t="shared" si="31"/>
        <v>176997.35518620713</v>
      </c>
      <c r="AD126" s="5">
        <f>AC126*Assumptions!$E$43</f>
        <v>158.51449477334972</v>
      </c>
      <c r="AE126" s="2">
        <f>AD126*Assumptions!$D$44*-1</f>
        <v>-23.777174216002457</v>
      </c>
      <c r="AF126" s="2">
        <f>AC126*Assumptions!$E$46*-1</f>
        <v>-5.8988304653915753</v>
      </c>
      <c r="AG126" s="22">
        <f t="shared" si="32"/>
        <v>176967.67918152575</v>
      </c>
      <c r="AH126" s="5">
        <f>Model_30y[[#This Row],[Mortgage Payment]]+Model_30y[[#This Row],[Total Upkeep]]+Model_30y[[#This Row],[Monthly Investment]]</f>
        <v>-3875.6075347880414</v>
      </c>
      <c r="AI126" s="5">
        <f>Model_Renter!D126*-1</f>
        <v>3978.7041765579902</v>
      </c>
      <c r="AJ126" s="5">
        <f t="shared" si="33"/>
        <v>103.09664176994875</v>
      </c>
    </row>
    <row r="127" spans="1:36" x14ac:dyDescent="0.25">
      <c r="A127" s="17">
        <f t="shared" si="28"/>
        <v>125</v>
      </c>
      <c r="B127" s="17">
        <f t="shared" si="24"/>
        <v>11</v>
      </c>
      <c r="C127" s="23">
        <f>IFERROR(IPMT(Assumptions!$D$16/12,Model_30y!A127, 360,Assumptions!$D$8), 0)</f>
        <v>-1609.9452075203762</v>
      </c>
      <c r="D127" s="2">
        <f>IFERROR(PPMT(Assumptions!$D$16/12, Model_30y!A127, 360, Assumptions!$D$8), 0)</f>
        <v>-588.5124254125617</v>
      </c>
      <c r="E127" s="2">
        <f t="shared" si="18"/>
        <v>-2198.4576329329379</v>
      </c>
      <c r="F127" s="2">
        <f>IF(I126&gt;1, Assumptions!$E$18, 0)*-1</f>
        <v>-2198.4576329329379</v>
      </c>
      <c r="G127" s="24">
        <f t="shared" si="19"/>
        <v>1</v>
      </c>
      <c r="H127" s="20">
        <f t="shared" si="25"/>
        <v>53098.296796773953</v>
      </c>
      <c r="I127" s="2">
        <f>MAX(Assumptions!$D$8-SUM(Model_30y!H127), 0)</f>
        <v>286901.70320322603</v>
      </c>
      <c r="J127" s="2">
        <f>J126*(1+(Assumptions!$E$51))</f>
        <v>706497.76998202072</v>
      </c>
      <c r="K127" s="22">
        <f t="shared" si="20"/>
        <v>419596.06677879469</v>
      </c>
      <c r="L127" s="5">
        <f t="shared" si="26"/>
        <v>138098.29679677394</v>
      </c>
      <c r="M127" s="63">
        <f>L127/Assumptions!$D$6</f>
        <v>0.32493716893358576</v>
      </c>
      <c r="N127" s="24">
        <f t="shared" si="34"/>
        <v>0</v>
      </c>
      <c r="O127" s="5">
        <f>N127*Assumptions!$E$25*-1</f>
        <v>0</v>
      </c>
      <c r="P127" s="20">
        <f>Assumptions!$E$35*J127*-1</f>
        <v>-1455.2697311719803</v>
      </c>
      <c r="Q127" s="5">
        <f>J127*Assumptions!$E$36*-1</f>
        <v>-586.06682790065406</v>
      </c>
      <c r="R127" s="5">
        <f>(R115+(Model_30y!R115*Assumptions!$D$51))</f>
        <v>-529.25501248377043</v>
      </c>
      <c r="S127" s="5">
        <f>S115+(S115*Assumptions!$D$51)</f>
        <v>0</v>
      </c>
      <c r="T127" s="5">
        <f t="shared" si="29"/>
        <v>0</v>
      </c>
      <c r="U127" s="22">
        <f t="shared" si="21"/>
        <v>-2570.5915715564047</v>
      </c>
      <c r="V127" s="5">
        <f>MAX(Assumptions!$E$18:$E$19)-U127</f>
        <v>5412.2245833551015</v>
      </c>
      <c r="W127" s="5">
        <f t="shared" si="22"/>
        <v>-2198.4576329329379</v>
      </c>
      <c r="X127" s="5">
        <f t="shared" si="27"/>
        <v>-2570.5915715564047</v>
      </c>
      <c r="Y127" s="5">
        <f>C127*Assumptions!$D$44*-1</f>
        <v>241.49178112805643</v>
      </c>
      <c r="Z127" s="5">
        <f t="shared" si="23"/>
        <v>884.66715999381529</v>
      </c>
      <c r="AA127" s="5">
        <f t="shared" si="30"/>
        <v>176967.67918152575</v>
      </c>
      <c r="AB127" s="3">
        <f>Assumptions!$E$45</f>
        <v>6.9899151946608562E-3</v>
      </c>
      <c r="AC127" s="5">
        <f t="shared" si="31"/>
        <v>179089.33541119436</v>
      </c>
      <c r="AD127" s="5">
        <f>AC127*Assumptions!$E$43</f>
        <v>160.38802100819558</v>
      </c>
      <c r="AE127" s="2">
        <f>AD127*Assumptions!$D$44*-1</f>
        <v>-24.058203151229336</v>
      </c>
      <c r="AF127" s="2">
        <f>AC127*Assumptions!$E$46*-1</f>
        <v>-5.9685503585005373</v>
      </c>
      <c r="AG127" s="22">
        <f t="shared" si="32"/>
        <v>179059.30865768463</v>
      </c>
      <c r="AH127" s="5">
        <f>Model_30y[[#This Row],[Mortgage Payment]]+Model_30y[[#This Row],[Total Upkeep]]+Model_30y[[#This Row],[Monthly Investment]]</f>
        <v>-3884.3820444955272</v>
      </c>
      <c r="AI127" s="5">
        <f>Model_Renter!D127*-1</f>
        <v>3978.7041765579902</v>
      </c>
      <c r="AJ127" s="5">
        <f t="shared" si="33"/>
        <v>94.32213206246297</v>
      </c>
    </row>
    <row r="128" spans="1:36" x14ac:dyDescent="0.25">
      <c r="A128" s="17">
        <f t="shared" si="28"/>
        <v>126</v>
      </c>
      <c r="B128" s="17">
        <f t="shared" si="24"/>
        <v>11</v>
      </c>
      <c r="C128" s="23">
        <f>IFERROR(IPMT(Assumptions!$D$16/12,Model_30y!A128, 360,Assumptions!$D$8), 0)</f>
        <v>-1606.6495379380658</v>
      </c>
      <c r="D128" s="2">
        <f>IFERROR(PPMT(Assumptions!$D$16/12, Model_30y!A128, 360, Assumptions!$D$8), 0)</f>
        <v>-591.80809499487214</v>
      </c>
      <c r="E128" s="2">
        <f t="shared" si="18"/>
        <v>-2198.4576329329379</v>
      </c>
      <c r="F128" s="2">
        <f>IF(I127&gt;1, Assumptions!$E$18, 0)*-1</f>
        <v>-2198.4576329329379</v>
      </c>
      <c r="G128" s="24">
        <f t="shared" si="19"/>
        <v>1</v>
      </c>
      <c r="H128" s="20">
        <f t="shared" si="25"/>
        <v>53690.104891768824</v>
      </c>
      <c r="I128" s="2">
        <f>MAX(Assumptions!$D$8-SUM(Model_30y!H128), 0)</f>
        <v>286309.89510823117</v>
      </c>
      <c r="J128" s="2">
        <f>J127*(1+(Assumptions!$E$51))</f>
        <v>709376.12934979901</v>
      </c>
      <c r="K128" s="22">
        <f t="shared" si="20"/>
        <v>423066.23424156784</v>
      </c>
      <c r="L128" s="5">
        <f t="shared" si="26"/>
        <v>138690.1048917688</v>
      </c>
      <c r="M128" s="63">
        <f>L128/Assumptions!$D$6</f>
        <v>0.32632965856886775</v>
      </c>
      <c r="N128" s="24">
        <f t="shared" si="34"/>
        <v>0</v>
      </c>
      <c r="O128" s="5">
        <f>N128*Assumptions!$E$25*-1</f>
        <v>0</v>
      </c>
      <c r="P128" s="20">
        <f>Assumptions!$E$35*J128*-1</f>
        <v>-1461.1986801953717</v>
      </c>
      <c r="Q128" s="5">
        <f>J128*Assumptions!$E$36*-1</f>
        <v>-588.45453670301151</v>
      </c>
      <c r="R128" s="5">
        <f>(R116+(Model_30y!R116*Assumptions!$D$51))</f>
        <v>-529.25501248377043</v>
      </c>
      <c r="S128" s="5">
        <f>S116+(S116*Assumptions!$D$51)</f>
        <v>0</v>
      </c>
      <c r="T128" s="5">
        <f t="shared" si="29"/>
        <v>0</v>
      </c>
      <c r="U128" s="22">
        <f t="shared" si="21"/>
        <v>-2578.9082293821534</v>
      </c>
      <c r="V128" s="5">
        <f>MAX(Assumptions!$E$18:$E$19)-U128</f>
        <v>5420.5412411808502</v>
      </c>
      <c r="W128" s="5">
        <f t="shared" si="22"/>
        <v>-2198.4576329329379</v>
      </c>
      <c r="X128" s="5">
        <f t="shared" si="27"/>
        <v>-2578.9082293821534</v>
      </c>
      <c r="Y128" s="5">
        <f>C128*Assumptions!$D$44*-1</f>
        <v>240.99743069070985</v>
      </c>
      <c r="Z128" s="5">
        <f t="shared" si="23"/>
        <v>884.17280955646868</v>
      </c>
      <c r="AA128" s="5">
        <f t="shared" si="30"/>
        <v>179059.30865768463</v>
      </c>
      <c r="AB128" s="3">
        <f>Assumptions!$E$45</f>
        <v>6.9899151946608562E-3</v>
      </c>
      <c r="AC128" s="5">
        <f t="shared" si="31"/>
        <v>181195.09084957291</v>
      </c>
      <c r="AD128" s="5">
        <f>AC128*Assumptions!$E$43</f>
        <v>162.27388398665448</v>
      </c>
      <c r="AE128" s="2">
        <f>AD128*Assumptions!$D$44*-1</f>
        <v>-24.34108259799817</v>
      </c>
      <c r="AF128" s="2">
        <f>AC128*Assumptions!$E$46*-1</f>
        <v>-6.0387293412288585</v>
      </c>
      <c r="AG128" s="22">
        <f t="shared" si="32"/>
        <v>181164.71103763368</v>
      </c>
      <c r="AH128" s="5">
        <f>Model_30y[[#This Row],[Mortgage Payment]]+Model_30y[[#This Row],[Total Upkeep]]+Model_30y[[#This Row],[Monthly Investment]]</f>
        <v>-3893.1930527586228</v>
      </c>
      <c r="AI128" s="5">
        <f>Model_Renter!D128*-1</f>
        <v>3978.7041765579902</v>
      </c>
      <c r="AJ128" s="5">
        <f t="shared" si="33"/>
        <v>85.511123799367397</v>
      </c>
    </row>
    <row r="129" spans="1:36" x14ac:dyDescent="0.25">
      <c r="A129" s="17">
        <f t="shared" si="28"/>
        <v>127</v>
      </c>
      <c r="B129" s="17">
        <f t="shared" si="24"/>
        <v>11</v>
      </c>
      <c r="C129" s="23">
        <f>IFERROR(IPMT(Assumptions!$D$16/12,Model_30y!A129, 360,Assumptions!$D$8), 0)</f>
        <v>-1603.3354126060945</v>
      </c>
      <c r="D129" s="2">
        <f>IFERROR(PPMT(Assumptions!$D$16/12, Model_30y!A129, 360, Assumptions!$D$8), 0)</f>
        <v>-595.12222032684326</v>
      </c>
      <c r="E129" s="2">
        <f t="shared" si="18"/>
        <v>-2198.4576329329375</v>
      </c>
      <c r="F129" s="2">
        <f>IF(I128&gt;1, Assumptions!$E$18, 0)*-1</f>
        <v>-2198.4576329329379</v>
      </c>
      <c r="G129" s="24">
        <f t="shared" si="19"/>
        <v>1</v>
      </c>
      <c r="H129" s="20">
        <f t="shared" si="25"/>
        <v>54285.227112095665</v>
      </c>
      <c r="I129" s="2">
        <f>MAX(Assumptions!$D$8-SUM(Model_30y!H129), 0)</f>
        <v>285714.77288790431</v>
      </c>
      <c r="J129" s="2">
        <f>J128*(1+(Assumptions!$E$51))</f>
        <v>712266.2155099354</v>
      </c>
      <c r="K129" s="22">
        <f t="shared" si="20"/>
        <v>426551.44262203109</v>
      </c>
      <c r="L129" s="5">
        <f t="shared" si="26"/>
        <v>139285.22711209566</v>
      </c>
      <c r="M129" s="63">
        <f>L129/Assumptions!$D$6</f>
        <v>0.32772994614610745</v>
      </c>
      <c r="N129" s="24">
        <f t="shared" si="34"/>
        <v>0</v>
      </c>
      <c r="O129" s="5">
        <f>N129*Assumptions!$E$25*-1</f>
        <v>0</v>
      </c>
      <c r="P129" s="20">
        <f>Assumptions!$E$35*J129*-1</f>
        <v>-1467.1517844909911</v>
      </c>
      <c r="Q129" s="5">
        <f>J129*Assumptions!$E$36*-1</f>
        <v>-590.85197332658902</v>
      </c>
      <c r="R129" s="5">
        <f>(R117+(Model_30y!R117*Assumptions!$D$51))</f>
        <v>-529.25501248377043</v>
      </c>
      <c r="S129" s="5">
        <f>S117+(S117*Assumptions!$D$51)</f>
        <v>0</v>
      </c>
      <c r="T129" s="5">
        <f t="shared" si="29"/>
        <v>0</v>
      </c>
      <c r="U129" s="22">
        <f t="shared" si="21"/>
        <v>-2587.2587703013505</v>
      </c>
      <c r="V129" s="5">
        <f>MAX(Assumptions!$E$18:$E$19)-U129</f>
        <v>5428.8917821000468</v>
      </c>
      <c r="W129" s="5">
        <f t="shared" si="22"/>
        <v>-2198.4576329329379</v>
      </c>
      <c r="X129" s="5">
        <f t="shared" si="27"/>
        <v>-2587.2587703013505</v>
      </c>
      <c r="Y129" s="5">
        <f>C129*Assumptions!$D$44*-1</f>
        <v>240.50031189091416</v>
      </c>
      <c r="Z129" s="5">
        <f t="shared" si="23"/>
        <v>883.67569075667257</v>
      </c>
      <c r="AA129" s="5">
        <f t="shared" si="30"/>
        <v>181164.71103763368</v>
      </c>
      <c r="AB129" s="3">
        <f>Assumptions!$E$45</f>
        <v>6.9899151946608562E-3</v>
      </c>
      <c r="AC129" s="5">
        <f t="shared" si="31"/>
        <v>183314.71269480867</v>
      </c>
      <c r="AD129" s="5">
        <f>AC129*Assumptions!$E$43</f>
        <v>164.17216537936019</v>
      </c>
      <c r="AE129" s="2">
        <f>AD129*Assumptions!$D$44*-1</f>
        <v>-24.625824806904028</v>
      </c>
      <c r="AF129" s="2">
        <f>AC129*Assumptions!$E$46*-1</f>
        <v>-6.109370452801584</v>
      </c>
      <c r="AG129" s="22">
        <f t="shared" si="32"/>
        <v>183283.97749954896</v>
      </c>
      <c r="AH129" s="5">
        <f>Model_30y[[#This Row],[Mortgage Payment]]+Model_30y[[#This Row],[Total Upkeep]]+Model_30y[[#This Row],[Monthly Investment]]</f>
        <v>-3902.0407124776157</v>
      </c>
      <c r="AI129" s="5">
        <f>Model_Renter!D129*-1</f>
        <v>3978.7041765579902</v>
      </c>
      <c r="AJ129" s="5">
        <f t="shared" si="33"/>
        <v>76.663464080374524</v>
      </c>
    </row>
    <row r="130" spans="1:36" x14ac:dyDescent="0.25">
      <c r="A130" s="17">
        <f t="shared" si="28"/>
        <v>128</v>
      </c>
      <c r="B130" s="17">
        <f t="shared" si="24"/>
        <v>11</v>
      </c>
      <c r="C130" s="23">
        <f>IFERROR(IPMT(Assumptions!$D$16/12,Model_30y!A130, 360,Assumptions!$D$8), 0)</f>
        <v>-1600.0027281722644</v>
      </c>
      <c r="D130" s="2">
        <f>IFERROR(PPMT(Assumptions!$D$16/12, Model_30y!A130, 360, Assumptions!$D$8), 0)</f>
        <v>-598.45490476067357</v>
      </c>
      <c r="E130" s="2">
        <f t="shared" ref="E130:E193" si="35">SUM(C130:D130)</f>
        <v>-2198.4576329329379</v>
      </c>
      <c r="F130" s="2">
        <f>IF(I129&gt;1, Assumptions!$E$18, 0)*-1</f>
        <v>-2198.4576329329379</v>
      </c>
      <c r="G130" s="24">
        <f t="shared" ref="G130:G193" si="36">IF(E130+F130&lt;1, 1, 0)</f>
        <v>1</v>
      </c>
      <c r="H130" s="20">
        <f t="shared" si="25"/>
        <v>54883.682016856335</v>
      </c>
      <c r="I130" s="2">
        <f>MAX(Assumptions!$D$8-SUM(Model_30y!H130), 0)</f>
        <v>285116.31798314367</v>
      </c>
      <c r="J130" s="2">
        <f>J129*(1+(Assumptions!$E$51))</f>
        <v>715168.0762388336</v>
      </c>
      <c r="K130" s="22">
        <f t="shared" ref="K130:K193" si="37">(J130-I130)</f>
        <v>430051.75825568993</v>
      </c>
      <c r="L130" s="5">
        <f t="shared" si="26"/>
        <v>139883.68201685633</v>
      </c>
      <c r="M130" s="63">
        <f>L130/Assumptions!$D$6</f>
        <v>0.32913807533377959</v>
      </c>
      <c r="N130" s="24">
        <f t="shared" si="34"/>
        <v>0</v>
      </c>
      <c r="O130" s="5">
        <f>N130*Assumptions!$E$25*-1</f>
        <v>0</v>
      </c>
      <c r="P130" s="20">
        <f>Assumptions!$E$35*J130*-1</f>
        <v>-1473.1291424704079</v>
      </c>
      <c r="Q130" s="5">
        <f>J130*Assumptions!$E$36*-1</f>
        <v>-593.25917740373438</v>
      </c>
      <c r="R130" s="5">
        <f>(R118+(Model_30y!R118*Assumptions!$D$51))</f>
        <v>-529.25501248377043</v>
      </c>
      <c r="S130" s="5">
        <f>S118+(S118*Assumptions!$D$51)</f>
        <v>0</v>
      </c>
      <c r="T130" s="5">
        <f t="shared" si="29"/>
        <v>0</v>
      </c>
      <c r="U130" s="22">
        <f t="shared" ref="U130:U193" si="38">SUM(P130:T130)</f>
        <v>-2595.6433323579126</v>
      </c>
      <c r="V130" s="5">
        <f>MAX(Assumptions!$E$18:$E$19)-U130</f>
        <v>5437.2763441566094</v>
      </c>
      <c r="W130" s="5">
        <f t="shared" ref="W130:W193" si="39">F130</f>
        <v>-2198.4576329329379</v>
      </c>
      <c r="X130" s="5">
        <f t="shared" si="27"/>
        <v>-2595.6433323579126</v>
      </c>
      <c r="Y130" s="5">
        <f>C130*Assumptions!$D$44*-1</f>
        <v>240.00040922583963</v>
      </c>
      <c r="Z130" s="5">
        <f t="shared" ref="Z130:Z193" si="40">SUM(V130:Y130)</f>
        <v>883.17578809159841</v>
      </c>
      <c r="AA130" s="5">
        <f t="shared" si="30"/>
        <v>183283.97749954896</v>
      </c>
      <c r="AB130" s="3">
        <f>Assumptions!$E$45</f>
        <v>6.9899151946608562E-3</v>
      </c>
      <c r="AC130" s="5">
        <f t="shared" si="31"/>
        <v>185448.29274690253</v>
      </c>
      <c r="AD130" s="5">
        <f>AC130*Assumptions!$E$43</f>
        <v>166.08294740014438</v>
      </c>
      <c r="AE130" s="2">
        <f>AD130*Assumptions!$D$44*-1</f>
        <v>-24.912442110021654</v>
      </c>
      <c r="AF130" s="2">
        <f>AC130*Assumptions!$E$46*-1</f>
        <v>-6.1804767526578877</v>
      </c>
      <c r="AG130" s="22">
        <f t="shared" si="32"/>
        <v>185417.19982803985</v>
      </c>
      <c r="AH130" s="5">
        <f>Model_30y[[#This Row],[Mortgage Payment]]+Model_30y[[#This Row],[Total Upkeep]]+Model_30y[[#This Row],[Monthly Investment]]</f>
        <v>-3910.9251771992522</v>
      </c>
      <c r="AI130" s="5">
        <f>Model_Renter!D130*-1</f>
        <v>3978.7041765579902</v>
      </c>
      <c r="AJ130" s="5">
        <f t="shared" si="33"/>
        <v>67.77899935873802</v>
      </c>
    </row>
    <row r="131" spans="1:36" x14ac:dyDescent="0.25">
      <c r="A131" s="17">
        <f t="shared" si="28"/>
        <v>129</v>
      </c>
      <c r="B131" s="17">
        <f t="shared" ref="B131:B194" si="41">ROUNDUP(A131/12,0)</f>
        <v>11</v>
      </c>
      <c r="C131" s="23">
        <f>IFERROR(IPMT(Assumptions!$D$16/12,Model_30y!A131, 360,Assumptions!$D$8), 0)</f>
        <v>-1596.6513807056047</v>
      </c>
      <c r="D131" s="2">
        <f>IFERROR(PPMT(Assumptions!$D$16/12, Model_30y!A131, 360, Assumptions!$D$8), 0)</f>
        <v>-601.8062522273334</v>
      </c>
      <c r="E131" s="2">
        <f t="shared" si="35"/>
        <v>-2198.4576329329379</v>
      </c>
      <c r="F131" s="2">
        <f>IF(I130&gt;1, Assumptions!$E$18, 0)*-1</f>
        <v>-2198.4576329329379</v>
      </c>
      <c r="G131" s="24">
        <f t="shared" si="36"/>
        <v>1</v>
      </c>
      <c r="H131" s="20">
        <f t="shared" ref="H131:H194" si="42">H130+D131*-1</f>
        <v>55485.488269083668</v>
      </c>
      <c r="I131" s="2">
        <f>MAX(Assumptions!$D$8-SUM(Model_30y!H131), 0)</f>
        <v>284514.51173091633</v>
      </c>
      <c r="J131" s="2">
        <f>J130*(1+(Assumptions!$E$51))</f>
        <v>718081.75950754422</v>
      </c>
      <c r="K131" s="22">
        <f t="shared" si="37"/>
        <v>433567.24777662789</v>
      </c>
      <c r="L131" s="5">
        <f t="shared" ref="L131:L194" si="43">L130+D131*-1</f>
        <v>140485.48826908367</v>
      </c>
      <c r="M131" s="63">
        <f>L131/Assumptions!$D$6</f>
        <v>0.33055409004490277</v>
      </c>
      <c r="N131" s="24">
        <f t="shared" si="34"/>
        <v>0</v>
      </c>
      <c r="O131" s="5">
        <f>N131*Assumptions!$E$25*-1</f>
        <v>0</v>
      </c>
      <c r="P131" s="20">
        <f>Assumptions!$E$35*J131*-1</f>
        <v>-1479.1308529461319</v>
      </c>
      <c r="Q131" s="5">
        <f>J131*Assumptions!$E$36*-1</f>
        <v>-595.67618872826256</v>
      </c>
      <c r="R131" s="5">
        <f>(R119+(Model_30y!R119*Assumptions!$D$51))</f>
        <v>-529.25501248377043</v>
      </c>
      <c r="S131" s="5">
        <f>S119+(S119*Assumptions!$D$51)</f>
        <v>0</v>
      </c>
      <c r="T131" s="5">
        <f t="shared" si="29"/>
        <v>0</v>
      </c>
      <c r="U131" s="22">
        <f t="shared" si="38"/>
        <v>-2604.0620541581648</v>
      </c>
      <c r="V131" s="5">
        <f>MAX(Assumptions!$E$18:$E$19)-U131</f>
        <v>5445.6950659568611</v>
      </c>
      <c r="W131" s="5">
        <f t="shared" si="39"/>
        <v>-2198.4576329329379</v>
      </c>
      <c r="X131" s="5">
        <f t="shared" ref="X131:X194" si="44">U131</f>
        <v>-2604.0620541581648</v>
      </c>
      <c r="Y131" s="5">
        <f>C131*Assumptions!$D$44*-1</f>
        <v>239.49770710584068</v>
      </c>
      <c r="Z131" s="5">
        <f t="shared" si="40"/>
        <v>882.67308597159899</v>
      </c>
      <c r="AA131" s="5">
        <f t="shared" si="30"/>
        <v>185417.19982803985</v>
      </c>
      <c r="AB131" s="3">
        <f>Assumptions!$E$45</f>
        <v>6.9899151946608562E-3</v>
      </c>
      <c r="AC131" s="5">
        <f t="shared" si="31"/>
        <v>187595.92341644093</v>
      </c>
      <c r="AD131" s="5">
        <f>AC131*Assumptions!$E$43</f>
        <v>168.00631280966411</v>
      </c>
      <c r="AE131" s="2">
        <f>AD131*Assumptions!$D$44*-1</f>
        <v>-25.200946921449617</v>
      </c>
      <c r="AF131" s="2">
        <f>AC131*Assumptions!$E$46*-1</f>
        <v>-6.2520513205860615</v>
      </c>
      <c r="AG131" s="22">
        <f t="shared" si="32"/>
        <v>187564.47041819888</v>
      </c>
      <c r="AH131" s="5">
        <f>Model_30y[[#This Row],[Mortgage Payment]]+Model_30y[[#This Row],[Total Upkeep]]+Model_30y[[#This Row],[Monthly Investment]]</f>
        <v>-3919.8466011195032</v>
      </c>
      <c r="AI131" s="5">
        <f>Model_Renter!D131*-1</f>
        <v>3978.7041765579902</v>
      </c>
      <c r="AJ131" s="5">
        <f t="shared" si="33"/>
        <v>58.857575438486947</v>
      </c>
    </row>
    <row r="132" spans="1:36" x14ac:dyDescent="0.25">
      <c r="A132" s="17">
        <f t="shared" ref="A132:A195" si="45">A131+1</f>
        <v>130</v>
      </c>
      <c r="B132" s="17">
        <f t="shared" si="41"/>
        <v>11</v>
      </c>
      <c r="C132" s="23">
        <f>IFERROR(IPMT(Assumptions!$D$16/12,Model_30y!A132, 360,Assumptions!$D$8), 0)</f>
        <v>-1593.2812656931314</v>
      </c>
      <c r="D132" s="2">
        <f>IFERROR(PPMT(Assumptions!$D$16/12, Model_30y!A132, 360, Assumptions!$D$8), 0)</f>
        <v>-605.1763672398065</v>
      </c>
      <c r="E132" s="2">
        <f t="shared" si="35"/>
        <v>-2198.4576329329379</v>
      </c>
      <c r="F132" s="2">
        <f>IF(I131&gt;1, Assumptions!$E$18, 0)*-1</f>
        <v>-2198.4576329329379</v>
      </c>
      <c r="G132" s="24">
        <f t="shared" si="36"/>
        <v>1</v>
      </c>
      <c r="H132" s="20">
        <f t="shared" si="42"/>
        <v>56090.664636323476</v>
      </c>
      <c r="I132" s="2">
        <f>MAX(Assumptions!$D$8-SUM(Model_30y!H132), 0)</f>
        <v>283909.33536367654</v>
      </c>
      <c r="J132" s="2">
        <f>J131*(1+(Assumptions!$E$51))</f>
        <v>721007.31348255801</v>
      </c>
      <c r="K132" s="22">
        <f t="shared" si="37"/>
        <v>437097.97811888147</v>
      </c>
      <c r="L132" s="5">
        <f t="shared" si="43"/>
        <v>141090.66463632346</v>
      </c>
      <c r="M132" s="63">
        <f>L132/Assumptions!$D$6</f>
        <v>0.33197803443840812</v>
      </c>
      <c r="N132" s="24">
        <f t="shared" si="34"/>
        <v>0</v>
      </c>
      <c r="O132" s="5">
        <f>N132*Assumptions!$E$25*-1</f>
        <v>0</v>
      </c>
      <c r="P132" s="20">
        <f>Assumptions!$E$35*J132*-1</f>
        <v>-1485.157015133248</v>
      </c>
      <c r="Q132" s="5">
        <f>J132*Assumptions!$E$36*-1</f>
        <v>-598.10304725611343</v>
      </c>
      <c r="R132" s="5">
        <f>(R120+(Model_30y!R120*Assumptions!$D$51))</f>
        <v>-529.25501248377043</v>
      </c>
      <c r="S132" s="5">
        <f>S120+(S120*Assumptions!$D$51)</f>
        <v>0</v>
      </c>
      <c r="T132" s="5">
        <f t="shared" ref="T132:T195" si="46">O132</f>
        <v>0</v>
      </c>
      <c r="U132" s="22">
        <f t="shared" si="38"/>
        <v>-2612.5150748731317</v>
      </c>
      <c r="V132" s="5">
        <f>MAX(Assumptions!$E$18:$E$19)-U132</f>
        <v>5454.1480866718284</v>
      </c>
      <c r="W132" s="5">
        <f t="shared" si="39"/>
        <v>-2198.4576329329379</v>
      </c>
      <c r="X132" s="5">
        <f t="shared" si="44"/>
        <v>-2612.5150748731317</v>
      </c>
      <c r="Y132" s="5">
        <f>C132*Assumptions!$D$44*-1</f>
        <v>238.99218985396971</v>
      </c>
      <c r="Z132" s="5">
        <f t="shared" si="40"/>
        <v>882.16756871972848</v>
      </c>
      <c r="AA132" s="5">
        <f t="shared" ref="AA132:AA195" si="47">AG131</f>
        <v>187564.47041819888</v>
      </c>
      <c r="AB132" s="3">
        <f>Assumptions!$E$45</f>
        <v>6.9899151946608562E-3</v>
      </c>
      <c r="AC132" s="5">
        <f t="shared" ref="AC132:AC195" si="48">(AA132+Z132)+(AA132*AB132)</f>
        <v>189757.69772867332</v>
      </c>
      <c r="AD132" s="5">
        <f>AC132*Assumptions!$E$43</f>
        <v>169.94234491905365</v>
      </c>
      <c r="AE132" s="2">
        <f>AD132*Assumptions!$D$44*-1</f>
        <v>-25.491351737858047</v>
      </c>
      <c r="AF132" s="2">
        <f>AC132*Assumptions!$E$46*-1</f>
        <v>-6.3240972568594138</v>
      </c>
      <c r="AG132" s="22">
        <f t="shared" ref="AG132:AG195" si="49">AC132+SUM(AE132:AF132)</f>
        <v>189725.8822796786</v>
      </c>
      <c r="AH132" s="5">
        <f>Model_30y[[#This Row],[Mortgage Payment]]+Model_30y[[#This Row],[Total Upkeep]]+Model_30y[[#This Row],[Monthly Investment]]</f>
        <v>-3928.8051390863411</v>
      </c>
      <c r="AI132" s="5">
        <f>Model_Renter!D132*-1</f>
        <v>3978.7041765579902</v>
      </c>
      <c r="AJ132" s="5">
        <f t="shared" ref="AJ132:AJ195" si="50">SUM(AH132:AI132)</f>
        <v>49.899037471649081</v>
      </c>
    </row>
    <row r="133" spans="1:36" x14ac:dyDescent="0.25">
      <c r="A133" s="17">
        <f t="shared" si="45"/>
        <v>131</v>
      </c>
      <c r="B133" s="17">
        <f t="shared" si="41"/>
        <v>11</v>
      </c>
      <c r="C133" s="23">
        <f>IFERROR(IPMT(Assumptions!$D$16/12,Model_30y!A133, 360,Assumptions!$D$8), 0)</f>
        <v>-1589.8922780365886</v>
      </c>
      <c r="D133" s="2">
        <f>IFERROR(PPMT(Assumptions!$D$16/12, Model_30y!A133, 360, Assumptions!$D$8), 0)</f>
        <v>-608.56535489634928</v>
      </c>
      <c r="E133" s="2">
        <f t="shared" si="35"/>
        <v>-2198.4576329329379</v>
      </c>
      <c r="F133" s="2">
        <f>IF(I132&gt;1, Assumptions!$E$18, 0)*-1</f>
        <v>-2198.4576329329379</v>
      </c>
      <c r="G133" s="24">
        <f t="shared" si="36"/>
        <v>1</v>
      </c>
      <c r="H133" s="20">
        <f t="shared" si="42"/>
        <v>56699.229991219829</v>
      </c>
      <c r="I133" s="2">
        <f>MAX(Assumptions!$D$8-SUM(Model_30y!H133), 0)</f>
        <v>283300.77000878018</v>
      </c>
      <c r="J133" s="2">
        <f>J132*(1+(Assumptions!$E$51))</f>
        <v>723944.78652660165</v>
      </c>
      <c r="K133" s="22">
        <f t="shared" si="37"/>
        <v>440644.01651782147</v>
      </c>
      <c r="L133" s="5">
        <f t="shared" si="43"/>
        <v>141699.22999121982</v>
      </c>
      <c r="M133" s="63">
        <f>L133/Assumptions!$D$6</f>
        <v>0.33340995292051723</v>
      </c>
      <c r="N133" s="24">
        <f t="shared" si="34"/>
        <v>0</v>
      </c>
      <c r="O133" s="5">
        <f>N133*Assumptions!$E$25*-1</f>
        <v>0</v>
      </c>
      <c r="P133" s="20">
        <f>Assumptions!$E$35*J133*-1</f>
        <v>-1491.2077286510544</v>
      </c>
      <c r="Q133" s="5">
        <f>J133*Assumptions!$E$36*-1</f>
        <v>-600.5397931060121</v>
      </c>
      <c r="R133" s="5">
        <f>(R121+(Model_30y!R121*Assumptions!$D$51))</f>
        <v>-529.25501248377043</v>
      </c>
      <c r="S133" s="5">
        <f>S121+(S121*Assumptions!$D$51)</f>
        <v>0</v>
      </c>
      <c r="T133" s="5">
        <f t="shared" si="46"/>
        <v>0</v>
      </c>
      <c r="U133" s="22">
        <f t="shared" si="38"/>
        <v>-2621.0025342408367</v>
      </c>
      <c r="V133" s="5">
        <f>MAX(Assumptions!$E$18:$E$19)-U133</f>
        <v>5462.6355460395334</v>
      </c>
      <c r="W133" s="5">
        <f t="shared" si="39"/>
        <v>-2198.4576329329379</v>
      </c>
      <c r="X133" s="5">
        <f t="shared" si="44"/>
        <v>-2621.0025342408367</v>
      </c>
      <c r="Y133" s="5">
        <f>C133*Assumptions!$D$44*-1</f>
        <v>238.48384170548826</v>
      </c>
      <c r="Z133" s="5">
        <f t="shared" si="40"/>
        <v>881.65922057124703</v>
      </c>
      <c r="AA133" s="5">
        <f t="shared" si="47"/>
        <v>189725.8822796786</v>
      </c>
      <c r="AB133" s="3">
        <f>Assumptions!$E$45</f>
        <v>6.9899151946608562E-3</v>
      </c>
      <c r="AC133" s="5">
        <f t="shared" si="48"/>
        <v>191933.70932761702</v>
      </c>
      <c r="AD133" s="5">
        <f>AC133*Assumptions!$E$43</f>
        <v>171.89112759360057</v>
      </c>
      <c r="AE133" s="2">
        <f>AD133*Assumptions!$D$44*-1</f>
        <v>-25.783669139040086</v>
      </c>
      <c r="AF133" s="2">
        <f>AC133*Assumptions!$E$46*-1</f>
        <v>-6.3966176823730647</v>
      </c>
      <c r="AG133" s="22">
        <f t="shared" si="49"/>
        <v>191901.52904079561</v>
      </c>
      <c r="AH133" s="5">
        <f>Model_30y[[#This Row],[Mortgage Payment]]+Model_30y[[#This Row],[Total Upkeep]]+Model_30y[[#This Row],[Monthly Investment]]</f>
        <v>-3937.8009466025278</v>
      </c>
      <c r="AI133" s="5">
        <f>Model_Renter!D133*-1</f>
        <v>3978.7041765579902</v>
      </c>
      <c r="AJ133" s="5">
        <f t="shared" si="50"/>
        <v>40.903229955462393</v>
      </c>
    </row>
    <row r="134" spans="1:36" x14ac:dyDescent="0.25">
      <c r="A134" s="17">
        <f t="shared" si="45"/>
        <v>132</v>
      </c>
      <c r="B134" s="17">
        <f t="shared" si="41"/>
        <v>11</v>
      </c>
      <c r="C134" s="23">
        <f>IFERROR(IPMT(Assumptions!$D$16/12,Model_30y!A134, 360,Assumptions!$D$8), 0)</f>
        <v>-1586.4843120491689</v>
      </c>
      <c r="D134" s="2">
        <f>IFERROR(PPMT(Assumptions!$D$16/12, Model_30y!A134, 360, Assumptions!$D$8), 0)</f>
        <v>-611.97332088376902</v>
      </c>
      <c r="E134" s="2">
        <f t="shared" si="35"/>
        <v>-2198.4576329329379</v>
      </c>
      <c r="F134" s="2">
        <f>IF(I133&gt;1, Assumptions!$E$18, 0)*-1</f>
        <v>-2198.4576329329379</v>
      </c>
      <c r="G134" s="24">
        <f t="shared" si="36"/>
        <v>1</v>
      </c>
      <c r="H134" s="20">
        <f t="shared" si="42"/>
        <v>57311.2033121036</v>
      </c>
      <c r="I134" s="2">
        <f>MAX(Assumptions!$D$8-SUM(Model_30y!H134), 0)</f>
        <v>282688.79668789642</v>
      </c>
      <c r="J134" s="2">
        <f>J133*(1+(Assumptions!$E$51))</f>
        <v>726894.22719943791</v>
      </c>
      <c r="K134" s="22">
        <f t="shared" si="37"/>
        <v>444205.43051154149</v>
      </c>
      <c r="L134" s="5">
        <f t="shared" si="43"/>
        <v>142311.20331210358</v>
      </c>
      <c r="M134" s="63">
        <f>L134/Assumptions!$D$6</f>
        <v>0.33484989014612604</v>
      </c>
      <c r="N134" s="24">
        <f t="shared" si="34"/>
        <v>0</v>
      </c>
      <c r="O134" s="5">
        <f>N134*Assumptions!$E$25*-1</f>
        <v>0</v>
      </c>
      <c r="P134" s="20">
        <f>Assumptions!$E$35*J134*-1</f>
        <v>-1497.2830935247118</v>
      </c>
      <c r="Q134" s="5">
        <f>J134*Assumptions!$E$36*-1</f>
        <v>-602.9864665601325</v>
      </c>
      <c r="R134" s="5">
        <f>(R122+(Model_30y!R122*Assumptions!$D$51))</f>
        <v>-529.25501248377043</v>
      </c>
      <c r="S134" s="5">
        <f>S122+(S122*Assumptions!$D$51)</f>
        <v>0</v>
      </c>
      <c r="T134" s="5">
        <f t="shared" si="46"/>
        <v>0</v>
      </c>
      <c r="U134" s="22">
        <f t="shared" si="38"/>
        <v>-2629.5245725686145</v>
      </c>
      <c r="V134" s="5">
        <f>MAX(Assumptions!$E$18:$E$19)-U134</f>
        <v>5471.1575843673108</v>
      </c>
      <c r="W134" s="5">
        <f t="shared" si="39"/>
        <v>-2198.4576329329379</v>
      </c>
      <c r="X134" s="5">
        <f t="shared" si="44"/>
        <v>-2629.5245725686145</v>
      </c>
      <c r="Y134" s="5">
        <f>C134*Assumptions!$D$44*-1</f>
        <v>237.97264680737533</v>
      </c>
      <c r="Z134" s="5">
        <f t="shared" si="40"/>
        <v>881.1480256731337</v>
      </c>
      <c r="AA134" s="5">
        <f t="shared" si="47"/>
        <v>191901.52904079561</v>
      </c>
      <c r="AB134" s="3">
        <f>Assumptions!$E$45</f>
        <v>6.9899151946608562E-3</v>
      </c>
      <c r="AC134" s="5">
        <f t="shared" si="48"/>
        <v>194124.05248018965</v>
      </c>
      <c r="AD134" s="5">
        <f>AC134*Assumptions!$E$43</f>
        <v>173.85274525644672</v>
      </c>
      <c r="AE134" s="2">
        <f>AD134*Assumptions!$D$44*-1</f>
        <v>-26.077911788467009</v>
      </c>
      <c r="AF134" s="2">
        <f>AC134*Assumptions!$E$46*-1</f>
        <v>-6.4696157387816733</v>
      </c>
      <c r="AG134" s="22">
        <f t="shared" si="49"/>
        <v>194091.50495266239</v>
      </c>
      <c r="AH134" s="5">
        <f>Model_30y[[#This Row],[Mortgage Payment]]+Model_30y[[#This Row],[Total Upkeep]]+Model_30y[[#This Row],[Monthly Investment]]</f>
        <v>-3946.8341798284182</v>
      </c>
      <c r="AI134" s="5">
        <f>Model_Renter!D134*-1</f>
        <v>3978.7041765579902</v>
      </c>
      <c r="AJ134" s="5">
        <f t="shared" si="50"/>
        <v>31.869996729571994</v>
      </c>
    </row>
    <row r="135" spans="1:36" x14ac:dyDescent="0.25">
      <c r="A135" s="17">
        <f t="shared" si="45"/>
        <v>133</v>
      </c>
      <c r="B135" s="17">
        <f t="shared" si="41"/>
        <v>12</v>
      </c>
      <c r="C135" s="23">
        <f>IFERROR(IPMT(Assumptions!$D$16/12,Model_30y!A135, 360,Assumptions!$D$8), 0)</f>
        <v>-1583.05726145222</v>
      </c>
      <c r="D135" s="2">
        <f>IFERROR(PPMT(Assumptions!$D$16/12, Model_30y!A135, 360, Assumptions!$D$8), 0)</f>
        <v>-615.40037148071792</v>
      </c>
      <c r="E135" s="2">
        <f t="shared" si="35"/>
        <v>-2198.4576329329379</v>
      </c>
      <c r="F135" s="2">
        <f>IF(I134&gt;1, Assumptions!$E$18, 0)*-1</f>
        <v>-2198.4576329329379</v>
      </c>
      <c r="G135" s="24">
        <f t="shared" si="36"/>
        <v>1</v>
      </c>
      <c r="H135" s="20">
        <f t="shared" si="42"/>
        <v>57926.603683584319</v>
      </c>
      <c r="I135" s="2">
        <f>MAX(Assumptions!$D$8-SUM(Model_30y!H135), 0)</f>
        <v>282073.39631641569</v>
      </c>
      <c r="J135" s="2">
        <f>J134*(1+(Assumptions!$E$51))</f>
        <v>729855.68425866787</v>
      </c>
      <c r="K135" s="22">
        <f t="shared" si="37"/>
        <v>447782.28794225218</v>
      </c>
      <c r="L135" s="5">
        <f t="shared" si="43"/>
        <v>142926.60368358428</v>
      </c>
      <c r="M135" s="63">
        <f>L135/Assumptions!$D$6</f>
        <v>0.3362978910201983</v>
      </c>
      <c r="N135" s="24">
        <f t="shared" si="34"/>
        <v>0</v>
      </c>
      <c r="O135" s="5">
        <f>N135*Assumptions!$E$25*-1</f>
        <v>0</v>
      </c>
      <c r="P135" s="20">
        <f>Assumptions!$E$35*J135*-1</f>
        <v>-1503.3832101868957</v>
      </c>
      <c r="Q135" s="5">
        <f>J135*Assumptions!$E$36*-1</f>
        <v>-605.44310806476324</v>
      </c>
      <c r="R135" s="5">
        <f>(R123+(Model_30y!R123*Assumptions!$D$51))</f>
        <v>-555.71776310795894</v>
      </c>
      <c r="S135" s="5">
        <f>S123+(S123*Assumptions!$D$51)</f>
        <v>0</v>
      </c>
      <c r="T135" s="5">
        <f t="shared" si="46"/>
        <v>0</v>
      </c>
      <c r="U135" s="22">
        <f t="shared" si="38"/>
        <v>-2664.5440813596178</v>
      </c>
      <c r="V135" s="5">
        <f>MAX(Assumptions!$E$18:$E$19)-U135</f>
        <v>5506.1770931583142</v>
      </c>
      <c r="W135" s="5">
        <f t="shared" si="39"/>
        <v>-2198.4576329329379</v>
      </c>
      <c r="X135" s="5">
        <f t="shared" si="44"/>
        <v>-2664.5440813596178</v>
      </c>
      <c r="Y135" s="5">
        <f>C135*Assumptions!$D$44*-1</f>
        <v>237.45858921783298</v>
      </c>
      <c r="Z135" s="5">
        <f t="shared" si="40"/>
        <v>880.6339680835913</v>
      </c>
      <c r="AA135" s="5">
        <f t="shared" si="47"/>
        <v>194091.50495266239</v>
      </c>
      <c r="AB135" s="3">
        <f>Assumptions!$E$45</f>
        <v>6.9899151946608562E-3</v>
      </c>
      <c r="AC135" s="5">
        <f t="shared" si="48"/>
        <v>196328.82208036919</v>
      </c>
      <c r="AD135" s="5">
        <f>AC135*Assumptions!$E$43</f>
        <v>175.82728289231383</v>
      </c>
      <c r="AE135" s="2">
        <f>AD135*Assumptions!$D$44*-1</f>
        <v>-26.374092433847075</v>
      </c>
      <c r="AF135" s="2">
        <f>AC135*Assumptions!$E$46*-1</f>
        <v>-6.5430945886380796</v>
      </c>
      <c r="AG135" s="22">
        <f t="shared" si="49"/>
        <v>196295.90489334671</v>
      </c>
      <c r="AH135" s="5">
        <f>Model_30y[[#This Row],[Mortgage Payment]]+Model_30y[[#This Row],[Total Upkeep]]+Model_30y[[#This Row],[Monthly Investment]]</f>
        <v>-3982.367746208964</v>
      </c>
      <c r="AI135" s="5">
        <f>Model_Renter!D135*-1</f>
        <v>4127.5077127612594</v>
      </c>
      <c r="AJ135" s="5">
        <f t="shared" si="50"/>
        <v>145.13996655229539</v>
      </c>
    </row>
    <row r="136" spans="1:36" x14ac:dyDescent="0.25">
      <c r="A136" s="17">
        <f t="shared" si="45"/>
        <v>134</v>
      </c>
      <c r="B136" s="17">
        <f t="shared" si="41"/>
        <v>12</v>
      </c>
      <c r="C136" s="23">
        <f>IFERROR(IPMT(Assumptions!$D$16/12,Model_30y!A136, 360,Assumptions!$D$8), 0)</f>
        <v>-1579.6110193719278</v>
      </c>
      <c r="D136" s="2">
        <f>IFERROR(PPMT(Assumptions!$D$16/12, Model_30y!A136, 360, Assumptions!$D$8), 0)</f>
        <v>-618.84661356101003</v>
      </c>
      <c r="E136" s="2">
        <f t="shared" si="35"/>
        <v>-2198.4576329329379</v>
      </c>
      <c r="F136" s="2">
        <f>IF(I135&gt;1, Assumptions!$E$18, 0)*-1</f>
        <v>-2198.4576329329379</v>
      </c>
      <c r="G136" s="24">
        <f t="shared" si="36"/>
        <v>1</v>
      </c>
      <c r="H136" s="20">
        <f t="shared" si="42"/>
        <v>58545.450297145326</v>
      </c>
      <c r="I136" s="2">
        <f>MAX(Assumptions!$D$8-SUM(Model_30y!H136), 0)</f>
        <v>281454.54970285465</v>
      </c>
      <c r="J136" s="2">
        <f>J135*(1+(Assumptions!$E$51))</f>
        <v>732829.20666053705</v>
      </c>
      <c r="K136" s="22">
        <f t="shared" si="37"/>
        <v>451374.6569576824</v>
      </c>
      <c r="L136" s="5">
        <f t="shared" si="43"/>
        <v>143545.45029714529</v>
      </c>
      <c r="M136" s="63">
        <f>L136/Assumptions!$D$6</f>
        <v>0.33775400069916539</v>
      </c>
      <c r="N136" s="24">
        <f t="shared" si="34"/>
        <v>0</v>
      </c>
      <c r="O136" s="5">
        <f>N136*Assumptions!$E$25*-1</f>
        <v>0</v>
      </c>
      <c r="P136" s="20">
        <f>Assumptions!$E$35*J136*-1</f>
        <v>-1509.5081794794557</v>
      </c>
      <c r="Q136" s="5">
        <f>J136*Assumptions!$E$36*-1</f>
        <v>-607.90975823097597</v>
      </c>
      <c r="R136" s="5">
        <f>(R124+(Model_30y!R124*Assumptions!$D$51))</f>
        <v>-555.71776310795894</v>
      </c>
      <c r="S136" s="5">
        <f>S124+(S124*Assumptions!$D$51)</f>
        <v>0</v>
      </c>
      <c r="T136" s="5">
        <f t="shared" si="46"/>
        <v>0</v>
      </c>
      <c r="U136" s="22">
        <f t="shared" si="38"/>
        <v>-2673.1357008183909</v>
      </c>
      <c r="V136" s="5">
        <f>MAX(Assumptions!$E$18:$E$19)-U136</f>
        <v>5514.7687126170877</v>
      </c>
      <c r="W136" s="5">
        <f t="shared" si="39"/>
        <v>-2198.4576329329379</v>
      </c>
      <c r="X136" s="5">
        <f t="shared" si="44"/>
        <v>-2673.1357008183909</v>
      </c>
      <c r="Y136" s="5">
        <f>C136*Assumptions!$D$44*-1</f>
        <v>236.94165290578917</v>
      </c>
      <c r="Z136" s="5">
        <f t="shared" si="40"/>
        <v>880.117031771548</v>
      </c>
      <c r="AA136" s="5">
        <f t="shared" si="47"/>
        <v>196295.90489334671</v>
      </c>
      <c r="AB136" s="3">
        <f>Assumptions!$E$45</f>
        <v>6.9899151946608562E-3</v>
      </c>
      <c r="AC136" s="5">
        <f t="shared" si="48"/>
        <v>198548.11365338197</v>
      </c>
      <c r="AD136" s="5">
        <f>AC136*Assumptions!$E$43</f>
        <v>177.81482605125413</v>
      </c>
      <c r="AE136" s="2">
        <f>AD136*Assumptions!$D$44*-1</f>
        <v>-26.672223907688117</v>
      </c>
      <c r="AF136" s="2">
        <f>AC136*Assumptions!$E$46*-1</f>
        <v>-6.6170574155328774</v>
      </c>
      <c r="AG136" s="22">
        <f t="shared" si="49"/>
        <v>198514.82437205873</v>
      </c>
      <c r="AH136" s="5">
        <f>Model_30y[[#This Row],[Mortgage Payment]]+Model_30y[[#This Row],[Total Upkeep]]+Model_30y[[#This Row],[Monthly Investment]]</f>
        <v>-3991.4763019797811</v>
      </c>
      <c r="AI136" s="5">
        <f>Model_Renter!D136*-1</f>
        <v>4127.5077127612594</v>
      </c>
      <c r="AJ136" s="5">
        <f t="shared" si="50"/>
        <v>136.03141078147837</v>
      </c>
    </row>
    <row r="137" spans="1:36" x14ac:dyDescent="0.25">
      <c r="A137" s="17">
        <f t="shared" si="45"/>
        <v>135</v>
      </c>
      <c r="B137" s="17">
        <f t="shared" si="41"/>
        <v>12</v>
      </c>
      <c r="C137" s="23">
        <f>IFERROR(IPMT(Assumptions!$D$16/12,Model_30y!A137, 360,Assumptions!$D$8), 0)</f>
        <v>-1576.1454783359861</v>
      </c>
      <c r="D137" s="2">
        <f>IFERROR(PPMT(Assumptions!$D$16/12, Model_30y!A137, 360, Assumptions!$D$8), 0)</f>
        <v>-622.3121545969517</v>
      </c>
      <c r="E137" s="2">
        <f t="shared" si="35"/>
        <v>-2198.4576329329379</v>
      </c>
      <c r="F137" s="2">
        <f>IF(I136&gt;1, Assumptions!$E$18, 0)*-1</f>
        <v>-2198.4576329329379</v>
      </c>
      <c r="G137" s="24">
        <f t="shared" si="36"/>
        <v>1</v>
      </c>
      <c r="H137" s="20">
        <f t="shared" si="42"/>
        <v>59167.762451742281</v>
      </c>
      <c r="I137" s="2">
        <f>MAX(Assumptions!$D$8-SUM(Model_30y!H137), 0)</f>
        <v>280832.23754825769</v>
      </c>
      <c r="J137" s="2">
        <f>J136*(1+(Assumptions!$E$51))</f>
        <v>735814.84356074489</v>
      </c>
      <c r="K137" s="22">
        <f t="shared" si="37"/>
        <v>454982.6060124872</v>
      </c>
      <c r="L137" s="5">
        <f t="shared" si="43"/>
        <v>144167.76245174225</v>
      </c>
      <c r="M137" s="63">
        <f>L137/Assumptions!$D$6</f>
        <v>0.33921826459233473</v>
      </c>
      <c r="N137" s="24">
        <f t="shared" si="34"/>
        <v>0</v>
      </c>
      <c r="O137" s="5">
        <f>N137*Assumptions!$E$25*-1</f>
        <v>0</v>
      </c>
      <c r="P137" s="20">
        <f>Assumptions!$E$35*J137*-1</f>
        <v>-1515.6581026550846</v>
      </c>
      <c r="Q137" s="5">
        <f>J137*Assumptions!$E$36*-1</f>
        <v>-610.3864578352966</v>
      </c>
      <c r="R137" s="5">
        <f>(R125+(Model_30y!R125*Assumptions!$D$51))</f>
        <v>-555.71776310795894</v>
      </c>
      <c r="S137" s="5">
        <f>S125+(S125*Assumptions!$D$51)</f>
        <v>0</v>
      </c>
      <c r="T137" s="5">
        <f t="shared" si="46"/>
        <v>0</v>
      </c>
      <c r="U137" s="22">
        <f t="shared" si="38"/>
        <v>-2681.7623235983401</v>
      </c>
      <c r="V137" s="5">
        <f>MAX(Assumptions!$E$18:$E$19)-U137</f>
        <v>5523.3953353970373</v>
      </c>
      <c r="W137" s="5">
        <f t="shared" si="39"/>
        <v>-2198.4576329329379</v>
      </c>
      <c r="X137" s="5">
        <f t="shared" si="44"/>
        <v>-2681.7623235983401</v>
      </c>
      <c r="Y137" s="5">
        <f>C137*Assumptions!$D$44*-1</f>
        <v>236.4218217503979</v>
      </c>
      <c r="Z137" s="5">
        <f t="shared" si="40"/>
        <v>879.59720061615712</v>
      </c>
      <c r="AA137" s="5">
        <f t="shared" si="47"/>
        <v>198514.82437205873</v>
      </c>
      <c r="AB137" s="3">
        <f>Assumptions!$E$45</f>
        <v>6.9899151946608562E-3</v>
      </c>
      <c r="AC137" s="5">
        <f t="shared" si="48"/>
        <v>200782.02335991856</v>
      </c>
      <c r="AD137" s="5">
        <f>AC137*Assumptions!$E$43</f>
        <v>179.81546085242613</v>
      </c>
      <c r="AE137" s="2">
        <f>AD137*Assumptions!$D$44*-1</f>
        <v>-26.972319127863919</v>
      </c>
      <c r="AF137" s="2">
        <f>AC137*Assumptions!$E$46*-1</f>
        <v>-6.6915074242349224</v>
      </c>
      <c r="AG137" s="22">
        <f t="shared" si="49"/>
        <v>200748.35953336646</v>
      </c>
      <c r="AH137" s="5">
        <f>Model_30y[[#This Row],[Mortgage Payment]]+Model_30y[[#This Row],[Total Upkeep]]+Model_30y[[#This Row],[Monthly Investment]]</f>
        <v>-4000.6227559151212</v>
      </c>
      <c r="AI137" s="5">
        <f>Model_Renter!D137*-1</f>
        <v>4127.5077127612594</v>
      </c>
      <c r="AJ137" s="5">
        <f t="shared" si="50"/>
        <v>126.88495684613827</v>
      </c>
    </row>
    <row r="138" spans="1:36" x14ac:dyDescent="0.25">
      <c r="A138" s="17">
        <f t="shared" si="45"/>
        <v>136</v>
      </c>
      <c r="B138" s="17">
        <f t="shared" si="41"/>
        <v>12</v>
      </c>
      <c r="C138" s="23">
        <f>IFERROR(IPMT(Assumptions!$D$16/12,Model_30y!A138, 360,Assumptions!$D$8), 0)</f>
        <v>-1572.660530270243</v>
      </c>
      <c r="D138" s="2">
        <f>IFERROR(PPMT(Assumptions!$D$16/12, Model_30y!A138, 360, Assumptions!$D$8), 0)</f>
        <v>-625.79710266269467</v>
      </c>
      <c r="E138" s="2">
        <f t="shared" si="35"/>
        <v>-2198.4576329329375</v>
      </c>
      <c r="F138" s="2">
        <f>IF(I137&gt;1, Assumptions!$E$18, 0)*-1</f>
        <v>-2198.4576329329379</v>
      </c>
      <c r="G138" s="24">
        <f t="shared" si="36"/>
        <v>1</v>
      </c>
      <c r="H138" s="20">
        <f t="shared" si="42"/>
        <v>59793.559554404972</v>
      </c>
      <c r="I138" s="2">
        <f>MAX(Assumptions!$D$8-SUM(Model_30y!H138), 0)</f>
        <v>280206.44044559501</v>
      </c>
      <c r="J138" s="2">
        <f>J137*(1+(Assumptions!$E$51))</f>
        <v>738812.6443152572</v>
      </c>
      <c r="K138" s="22">
        <f t="shared" si="37"/>
        <v>458606.20386966219</v>
      </c>
      <c r="L138" s="5">
        <f t="shared" si="43"/>
        <v>144793.55955440496</v>
      </c>
      <c r="M138" s="63">
        <f>L138/Assumptions!$D$6</f>
        <v>0.34069072836330577</v>
      </c>
      <c r="N138" s="24">
        <f t="shared" si="34"/>
        <v>0</v>
      </c>
      <c r="O138" s="5">
        <f>N138*Assumptions!$E$25*-1</f>
        <v>0</v>
      </c>
      <c r="P138" s="20">
        <f>Assumptions!$E$35*J138*-1</f>
        <v>-1521.833081378991</v>
      </c>
      <c r="Q138" s="5">
        <f>J138*Assumptions!$E$36*-1</f>
        <v>-612.87324782038024</v>
      </c>
      <c r="R138" s="5">
        <f>(R126+(Model_30y!R126*Assumptions!$D$51))</f>
        <v>-555.71776310795894</v>
      </c>
      <c r="S138" s="5">
        <f>S126+(S126*Assumptions!$D$51)</f>
        <v>0</v>
      </c>
      <c r="T138" s="5">
        <f t="shared" si="46"/>
        <v>0</v>
      </c>
      <c r="U138" s="22">
        <f t="shared" si="38"/>
        <v>-2690.4240923073303</v>
      </c>
      <c r="V138" s="5">
        <f>MAX(Assumptions!$E$18:$E$19)-U138</f>
        <v>5532.0571041060266</v>
      </c>
      <c r="W138" s="5">
        <f t="shared" si="39"/>
        <v>-2198.4576329329379</v>
      </c>
      <c r="X138" s="5">
        <f t="shared" si="44"/>
        <v>-2690.4240923073303</v>
      </c>
      <c r="Y138" s="5">
        <f>C138*Assumptions!$D$44*-1</f>
        <v>235.89907954053643</v>
      </c>
      <c r="Z138" s="5">
        <f t="shared" si="40"/>
        <v>879.07445840629475</v>
      </c>
      <c r="AA138" s="5">
        <f t="shared" si="47"/>
        <v>200748.35953336646</v>
      </c>
      <c r="AB138" s="3">
        <f>Assumptions!$E$45</f>
        <v>6.9899151946608562E-3</v>
      </c>
      <c r="AC138" s="5">
        <f t="shared" si="48"/>
        <v>203030.64800037828</v>
      </c>
      <c r="AD138" s="5">
        <f>AC138*Assumptions!$E$43</f>
        <v>181.82927398789582</v>
      </c>
      <c r="AE138" s="2">
        <f>AD138*Assumptions!$D$44*-1</f>
        <v>-27.27439109818437</v>
      </c>
      <c r="AF138" s="2">
        <f>AC138*Assumptions!$E$46*-1</f>
        <v>-6.7664478408327833</v>
      </c>
      <c r="AG138" s="22">
        <f t="shared" si="49"/>
        <v>202996.60716143926</v>
      </c>
      <c r="AH138" s="5">
        <f>Model_30y[[#This Row],[Mortgage Payment]]+Model_30y[[#This Row],[Total Upkeep]]+Model_30y[[#This Row],[Monthly Investment]]</f>
        <v>-4009.8072668339728</v>
      </c>
      <c r="AI138" s="5">
        <f>Model_Renter!D138*-1</f>
        <v>4127.5077127612594</v>
      </c>
      <c r="AJ138" s="5">
        <f t="shared" si="50"/>
        <v>117.70044592728664</v>
      </c>
    </row>
    <row r="139" spans="1:36" x14ac:dyDescent="0.25">
      <c r="A139" s="17">
        <f t="shared" si="45"/>
        <v>137</v>
      </c>
      <c r="B139" s="17">
        <f t="shared" si="41"/>
        <v>12</v>
      </c>
      <c r="C139" s="23">
        <f>IFERROR(IPMT(Assumptions!$D$16/12,Model_30y!A139, 360,Assumptions!$D$8), 0)</f>
        <v>-1569.156066495332</v>
      </c>
      <c r="D139" s="2">
        <f>IFERROR(PPMT(Assumptions!$D$16/12, Model_30y!A139, 360, Assumptions!$D$8), 0)</f>
        <v>-629.30156643760574</v>
      </c>
      <c r="E139" s="2">
        <f t="shared" si="35"/>
        <v>-2198.4576329329375</v>
      </c>
      <c r="F139" s="2">
        <f>IF(I138&gt;1, Assumptions!$E$18, 0)*-1</f>
        <v>-2198.4576329329379</v>
      </c>
      <c r="G139" s="24">
        <f t="shared" si="36"/>
        <v>1</v>
      </c>
      <c r="H139" s="20">
        <f t="shared" si="42"/>
        <v>60422.861120842579</v>
      </c>
      <c r="I139" s="2">
        <f>MAX(Assumptions!$D$8-SUM(Model_30y!H139), 0)</f>
        <v>279577.13887915743</v>
      </c>
      <c r="J139" s="2">
        <f>J138*(1+(Assumptions!$E$51))</f>
        <v>741822.65848112211</v>
      </c>
      <c r="K139" s="22">
        <f t="shared" si="37"/>
        <v>462245.51960196468</v>
      </c>
      <c r="L139" s="5">
        <f t="shared" si="43"/>
        <v>145422.86112084257</v>
      </c>
      <c r="M139" s="63">
        <f>L139/Assumptions!$D$6</f>
        <v>0.34217143793139426</v>
      </c>
      <c r="N139" s="24">
        <f t="shared" si="34"/>
        <v>0</v>
      </c>
      <c r="O139" s="5">
        <f>N139*Assumptions!$E$25*-1</f>
        <v>0</v>
      </c>
      <c r="P139" s="20">
        <f>Assumptions!$E$35*J139*-1</f>
        <v>-1528.03321773058</v>
      </c>
      <c r="Q139" s="5">
        <f>J139*Assumptions!$E$36*-1</f>
        <v>-615.37016929568711</v>
      </c>
      <c r="R139" s="5">
        <f>(R127+(Model_30y!R127*Assumptions!$D$51))</f>
        <v>-555.71776310795894</v>
      </c>
      <c r="S139" s="5">
        <f>S127+(S127*Assumptions!$D$51)</f>
        <v>0</v>
      </c>
      <c r="T139" s="5">
        <f t="shared" si="46"/>
        <v>0</v>
      </c>
      <c r="U139" s="22">
        <f t="shared" si="38"/>
        <v>-2699.1211501342259</v>
      </c>
      <c r="V139" s="5">
        <f>MAX(Assumptions!$E$18:$E$19)-U139</f>
        <v>5540.7541619329222</v>
      </c>
      <c r="W139" s="5">
        <f t="shared" si="39"/>
        <v>-2198.4576329329379</v>
      </c>
      <c r="X139" s="5">
        <f t="shared" si="44"/>
        <v>-2699.1211501342259</v>
      </c>
      <c r="Y139" s="5">
        <f>C139*Assumptions!$D$44*-1</f>
        <v>235.37340997429979</v>
      </c>
      <c r="Z139" s="5">
        <f t="shared" si="40"/>
        <v>878.54878884005814</v>
      </c>
      <c r="AA139" s="5">
        <f t="shared" si="47"/>
        <v>202996.60716143926</v>
      </c>
      <c r="AB139" s="3">
        <f>Assumptions!$E$45</f>
        <v>6.9899151946608562E-3</v>
      </c>
      <c r="AC139" s="5">
        <f t="shared" si="48"/>
        <v>205294.08501914167</v>
      </c>
      <c r="AD139" s="5">
        <f>AC139*Assumptions!$E$43</f>
        <v>183.85635272646294</v>
      </c>
      <c r="AE139" s="2">
        <f>AD139*Assumptions!$D$44*-1</f>
        <v>-27.578452908969442</v>
      </c>
      <c r="AF139" s="2">
        <f>AC139*Assumptions!$E$46*-1</f>
        <v>-6.8418819128771382</v>
      </c>
      <c r="AG139" s="22">
        <f t="shared" si="49"/>
        <v>205259.66468431981</v>
      </c>
      <c r="AH139" s="5">
        <f>Model_30y[[#This Row],[Mortgage Payment]]+Model_30y[[#This Row],[Total Upkeep]]+Model_30y[[#This Row],[Monthly Investment]]</f>
        <v>-4019.0299942271054</v>
      </c>
      <c r="AI139" s="5">
        <f>Model_Renter!D139*-1</f>
        <v>4127.5077127612594</v>
      </c>
      <c r="AJ139" s="5">
        <f t="shared" si="50"/>
        <v>108.47771853415406</v>
      </c>
    </row>
    <row r="140" spans="1:36" x14ac:dyDescent="0.25">
      <c r="A140" s="17">
        <f t="shared" si="45"/>
        <v>138</v>
      </c>
      <c r="B140" s="17">
        <f t="shared" si="41"/>
        <v>12</v>
      </c>
      <c r="C140" s="23">
        <f>IFERROR(IPMT(Assumptions!$D$16/12,Model_30y!A140, 360,Assumptions!$D$8), 0)</f>
        <v>-1565.6319777232816</v>
      </c>
      <c r="D140" s="2">
        <f>IFERROR(PPMT(Assumptions!$D$16/12, Model_30y!A140, 360, Assumptions!$D$8), 0)</f>
        <v>-632.82565520965636</v>
      </c>
      <c r="E140" s="2">
        <f t="shared" si="35"/>
        <v>-2198.4576329329379</v>
      </c>
      <c r="F140" s="2">
        <f>IF(I139&gt;1, Assumptions!$E$18, 0)*-1</f>
        <v>-2198.4576329329379</v>
      </c>
      <c r="G140" s="24">
        <f t="shared" si="36"/>
        <v>1</v>
      </c>
      <c r="H140" s="20">
        <f t="shared" si="42"/>
        <v>61055.686776052236</v>
      </c>
      <c r="I140" s="2">
        <f>MAX(Assumptions!$D$8-SUM(Model_30y!H140), 0)</f>
        <v>278944.31322394777</v>
      </c>
      <c r="J140" s="2">
        <f>J139*(1+(Assumptions!$E$51))</f>
        <v>744844.93581728928</v>
      </c>
      <c r="K140" s="22">
        <f t="shared" si="37"/>
        <v>465900.62259334151</v>
      </c>
      <c r="L140" s="5">
        <f t="shared" si="43"/>
        <v>146055.68677605223</v>
      </c>
      <c r="M140" s="63">
        <f>L140/Assumptions!$D$6</f>
        <v>0.34366043947306407</v>
      </c>
      <c r="N140" s="24">
        <f t="shared" si="34"/>
        <v>0</v>
      </c>
      <c r="O140" s="5">
        <f>N140*Assumptions!$E$25*-1</f>
        <v>0</v>
      </c>
      <c r="P140" s="20">
        <f>Assumptions!$E$35*J140*-1</f>
        <v>-1534.2586142051409</v>
      </c>
      <c r="Q140" s="5">
        <f>J140*Assumptions!$E$36*-1</f>
        <v>-617.87726353816231</v>
      </c>
      <c r="R140" s="5">
        <f>(R128+(Model_30y!R128*Assumptions!$D$51))</f>
        <v>-555.71776310795894</v>
      </c>
      <c r="S140" s="5">
        <f>S128+(S128*Assumptions!$D$51)</f>
        <v>0</v>
      </c>
      <c r="T140" s="5">
        <f t="shared" si="46"/>
        <v>0</v>
      </c>
      <c r="U140" s="22">
        <f t="shared" si="38"/>
        <v>-2707.8536408512623</v>
      </c>
      <c r="V140" s="5">
        <f>MAX(Assumptions!$E$18:$E$19)-U140</f>
        <v>5549.4866526499591</v>
      </c>
      <c r="W140" s="5">
        <f t="shared" si="39"/>
        <v>-2198.4576329329379</v>
      </c>
      <c r="X140" s="5">
        <f t="shared" si="44"/>
        <v>-2707.8536408512623</v>
      </c>
      <c r="Y140" s="5">
        <f>C140*Assumptions!$D$44*-1</f>
        <v>234.84479665849221</v>
      </c>
      <c r="Z140" s="5">
        <f t="shared" si="40"/>
        <v>878.02017552425104</v>
      </c>
      <c r="AA140" s="5">
        <f t="shared" si="47"/>
        <v>205259.66468431981</v>
      </c>
      <c r="AB140" s="3">
        <f>Assumptions!$E$45</f>
        <v>6.9899151946608562E-3</v>
      </c>
      <c r="AC140" s="5">
        <f t="shared" si="48"/>
        <v>207572.43250887198</v>
      </c>
      <c r="AD140" s="5">
        <f>AC140*Assumptions!$E$43</f>
        <v>185.8967849175134</v>
      </c>
      <c r="AE140" s="2">
        <f>AD140*Assumptions!$D$44*-1</f>
        <v>-27.884517737627011</v>
      </c>
      <c r="AF140" s="2">
        <f>AC140*Assumptions!$E$46*-1</f>
        <v>-6.9178129095241259</v>
      </c>
      <c r="AG140" s="22">
        <f t="shared" si="49"/>
        <v>207537.63017822482</v>
      </c>
      <c r="AH140" s="5">
        <f>Model_30y[[#This Row],[Mortgage Payment]]+Model_30y[[#This Row],[Total Upkeep]]+Model_30y[[#This Row],[Monthly Investment]]</f>
        <v>-4028.2910982599492</v>
      </c>
      <c r="AI140" s="5">
        <f>Model_Renter!D140*-1</f>
        <v>4127.5077127612594</v>
      </c>
      <c r="AJ140" s="5">
        <f t="shared" si="50"/>
        <v>99.216614501310232</v>
      </c>
    </row>
    <row r="141" spans="1:36" x14ac:dyDescent="0.25">
      <c r="A141" s="17">
        <f t="shared" si="45"/>
        <v>139</v>
      </c>
      <c r="B141" s="17">
        <f t="shared" si="41"/>
        <v>12</v>
      </c>
      <c r="C141" s="23">
        <f>IFERROR(IPMT(Assumptions!$D$16/12,Model_30y!A141, 360,Assumptions!$D$8), 0)</f>
        <v>-1562.0881540541075</v>
      </c>
      <c r="D141" s="2">
        <f>IFERROR(PPMT(Assumptions!$D$16/12, Model_30y!A141, 360, Assumptions!$D$8), 0)</f>
        <v>-636.36947887883048</v>
      </c>
      <c r="E141" s="2">
        <f t="shared" si="35"/>
        <v>-2198.4576329329379</v>
      </c>
      <c r="F141" s="2">
        <f>IF(I140&gt;1, Assumptions!$E$18, 0)*-1</f>
        <v>-2198.4576329329379</v>
      </c>
      <c r="G141" s="24">
        <f t="shared" si="36"/>
        <v>1</v>
      </c>
      <c r="H141" s="20">
        <f t="shared" si="42"/>
        <v>61692.056254931063</v>
      </c>
      <c r="I141" s="2">
        <f>MAX(Assumptions!$D$8-SUM(Model_30y!H141), 0)</f>
        <v>278307.94374506891</v>
      </c>
      <c r="J141" s="2">
        <f>J140*(1+(Assumptions!$E$51))</f>
        <v>747879.52628543251</v>
      </c>
      <c r="K141" s="22">
        <f t="shared" si="37"/>
        <v>469571.5825403636</v>
      </c>
      <c r="L141" s="5">
        <f t="shared" si="43"/>
        <v>146692.05625493106</v>
      </c>
      <c r="M141" s="63">
        <f>L141/Assumptions!$D$6</f>
        <v>0.34515777942336717</v>
      </c>
      <c r="N141" s="24">
        <f t="shared" si="34"/>
        <v>0</v>
      </c>
      <c r="O141" s="5">
        <f>N141*Assumptions!$E$25*-1</f>
        <v>0</v>
      </c>
      <c r="P141" s="20">
        <f>Assumptions!$E$35*J141*-1</f>
        <v>-1540.5093737155414</v>
      </c>
      <c r="Q141" s="5">
        <f>J141*Assumptions!$E$36*-1</f>
        <v>-620.39457199291871</v>
      </c>
      <c r="R141" s="5">
        <f>(R129+(Model_30y!R129*Assumptions!$D$51))</f>
        <v>-555.71776310795894</v>
      </c>
      <c r="S141" s="5">
        <f>S129+(S129*Assumptions!$D$51)</f>
        <v>0</v>
      </c>
      <c r="T141" s="5">
        <f t="shared" si="46"/>
        <v>0</v>
      </c>
      <c r="U141" s="22">
        <f t="shared" si="38"/>
        <v>-2716.621708816419</v>
      </c>
      <c r="V141" s="5">
        <f>MAX(Assumptions!$E$18:$E$19)-U141</f>
        <v>5558.2547206151157</v>
      </c>
      <c r="W141" s="5">
        <f t="shared" si="39"/>
        <v>-2198.4576329329379</v>
      </c>
      <c r="X141" s="5">
        <f t="shared" si="44"/>
        <v>-2716.621708816419</v>
      </c>
      <c r="Y141" s="5">
        <f>C141*Assumptions!$D$44*-1</f>
        <v>234.31322310811612</v>
      </c>
      <c r="Z141" s="5">
        <f t="shared" si="40"/>
        <v>877.48860197387489</v>
      </c>
      <c r="AA141" s="5">
        <f t="shared" si="47"/>
        <v>207537.63017822482</v>
      </c>
      <c r="AB141" s="3">
        <f>Assumptions!$E$45</f>
        <v>6.9899151946608562E-3</v>
      </c>
      <c r="AC141" s="5">
        <f t="shared" si="48"/>
        <v>209865.78921484537</v>
      </c>
      <c r="AD141" s="5">
        <f>AC141*Assumptions!$E$43</f>
        <v>187.95065899489722</v>
      </c>
      <c r="AE141" s="2">
        <f>AD141*Assumptions!$D$44*-1</f>
        <v>-28.192598849234582</v>
      </c>
      <c r="AF141" s="2">
        <f>AC141*Assumptions!$E$46*-1</f>
        <v>-6.994244121679662</v>
      </c>
      <c r="AG141" s="22">
        <f t="shared" si="49"/>
        <v>209830.60237187444</v>
      </c>
      <c r="AH141" s="5">
        <f>Model_30y[[#This Row],[Mortgage Payment]]+Model_30y[[#This Row],[Total Upkeep]]+Model_30y[[#This Row],[Monthly Investment]]</f>
        <v>-4037.5907397754818</v>
      </c>
      <c r="AI141" s="5">
        <f>Model_Renter!D141*-1</f>
        <v>4127.5077127612594</v>
      </c>
      <c r="AJ141" s="5">
        <f t="shared" si="50"/>
        <v>89.916972985777647</v>
      </c>
    </row>
    <row r="142" spans="1:36" x14ac:dyDescent="0.25">
      <c r="A142" s="17">
        <f t="shared" si="45"/>
        <v>140</v>
      </c>
      <c r="B142" s="17">
        <f t="shared" si="41"/>
        <v>12</v>
      </c>
      <c r="C142" s="23">
        <f>IFERROR(IPMT(Assumptions!$D$16/12,Model_30y!A142, 360,Assumptions!$D$8), 0)</f>
        <v>-1558.5244849723863</v>
      </c>
      <c r="D142" s="2">
        <f>IFERROR(PPMT(Assumptions!$D$16/12, Model_30y!A142, 360, Assumptions!$D$8), 0)</f>
        <v>-639.93314796055176</v>
      </c>
      <c r="E142" s="2">
        <f t="shared" si="35"/>
        <v>-2198.4576329329379</v>
      </c>
      <c r="F142" s="2">
        <f>IF(I141&gt;1, Assumptions!$E$18, 0)*-1</f>
        <v>-2198.4576329329379</v>
      </c>
      <c r="G142" s="24">
        <f t="shared" si="36"/>
        <v>1</v>
      </c>
      <c r="H142" s="20">
        <f t="shared" si="42"/>
        <v>62331.989402891617</v>
      </c>
      <c r="I142" s="2">
        <f>MAX(Assumptions!$D$8-SUM(Model_30y!H142), 0)</f>
        <v>277668.0105971084</v>
      </c>
      <c r="J142" s="2">
        <f>J141*(1+(Assumptions!$E$51))</f>
        <v>750926.48005077569</v>
      </c>
      <c r="K142" s="22">
        <f t="shared" si="37"/>
        <v>473258.46945366729</v>
      </c>
      <c r="L142" s="5">
        <f t="shared" si="43"/>
        <v>147331.9894028916</v>
      </c>
      <c r="M142" s="63">
        <f>L142/Assumptions!$D$6</f>
        <v>0.34666350447739203</v>
      </c>
      <c r="N142" s="24">
        <f t="shared" si="34"/>
        <v>0</v>
      </c>
      <c r="O142" s="5">
        <f>N142*Assumptions!$E$25*-1</f>
        <v>0</v>
      </c>
      <c r="P142" s="20">
        <f>Assumptions!$E$35*J142*-1</f>
        <v>-1546.7855995939292</v>
      </c>
      <c r="Q142" s="5">
        <f>J142*Assumptions!$E$36*-1</f>
        <v>-622.92213627392141</v>
      </c>
      <c r="R142" s="5">
        <f>(R130+(Model_30y!R130*Assumptions!$D$51))</f>
        <v>-555.71776310795894</v>
      </c>
      <c r="S142" s="5">
        <f>S130+(S130*Assumptions!$D$51)</f>
        <v>0</v>
      </c>
      <c r="T142" s="5">
        <f t="shared" si="46"/>
        <v>0</v>
      </c>
      <c r="U142" s="22">
        <f t="shared" si="38"/>
        <v>-2725.4254989758097</v>
      </c>
      <c r="V142" s="5">
        <f>MAX(Assumptions!$E$18:$E$19)-U142</f>
        <v>5567.0585107745064</v>
      </c>
      <c r="W142" s="5">
        <f t="shared" si="39"/>
        <v>-2198.4576329329379</v>
      </c>
      <c r="X142" s="5">
        <f t="shared" si="44"/>
        <v>-2725.4254989758097</v>
      </c>
      <c r="Y142" s="5">
        <f>C142*Assumptions!$D$44*-1</f>
        <v>233.77867274585793</v>
      </c>
      <c r="Z142" s="5">
        <f t="shared" si="40"/>
        <v>876.95405161161671</v>
      </c>
      <c r="AA142" s="5">
        <f t="shared" si="47"/>
        <v>209830.60237187444</v>
      </c>
      <c r="AB142" s="3">
        <f>Assumptions!$E$45</f>
        <v>6.9899151946608562E-3</v>
      </c>
      <c r="AC142" s="5">
        <f t="shared" si="48"/>
        <v>212174.25453931006</v>
      </c>
      <c r="AD142" s="5">
        <f>AC142*Assumptions!$E$43</f>
        <v>190.01806398083247</v>
      </c>
      <c r="AE142" s="2">
        <f>AD142*Assumptions!$D$44*-1</f>
        <v>-28.50270959712487</v>
      </c>
      <c r="AF142" s="2">
        <f>AC142*Assumptions!$E$46*-1</f>
        <v>-7.0711788621447189</v>
      </c>
      <c r="AG142" s="22">
        <f t="shared" si="49"/>
        <v>212138.68065085079</v>
      </c>
      <c r="AH142" s="5">
        <f>Model_30y[[#This Row],[Mortgage Payment]]+Model_30y[[#This Row],[Total Upkeep]]+Model_30y[[#This Row],[Monthly Investment]]</f>
        <v>-4046.9290802971309</v>
      </c>
      <c r="AI142" s="5">
        <f>Model_Renter!D142*-1</f>
        <v>4127.5077127612594</v>
      </c>
      <c r="AJ142" s="5">
        <f t="shared" si="50"/>
        <v>80.578632464128532</v>
      </c>
    </row>
    <row r="143" spans="1:36" x14ac:dyDescent="0.25">
      <c r="A143" s="17">
        <f t="shared" si="45"/>
        <v>141</v>
      </c>
      <c r="B143" s="17">
        <f t="shared" si="41"/>
        <v>12</v>
      </c>
      <c r="C143" s="23">
        <f>IFERROR(IPMT(Assumptions!$D$16/12,Model_30y!A143, 360,Assumptions!$D$8), 0)</f>
        <v>-1554.9408593438068</v>
      </c>
      <c r="D143" s="2">
        <f>IFERROR(PPMT(Assumptions!$D$16/12, Model_30y!A143, 360, Assumptions!$D$8), 0)</f>
        <v>-643.51677358913093</v>
      </c>
      <c r="E143" s="2">
        <f t="shared" si="35"/>
        <v>-2198.4576329329375</v>
      </c>
      <c r="F143" s="2">
        <f>IF(I142&gt;1, Assumptions!$E$18, 0)*-1</f>
        <v>-2198.4576329329379</v>
      </c>
      <c r="G143" s="24">
        <f t="shared" si="36"/>
        <v>1</v>
      </c>
      <c r="H143" s="20">
        <f t="shared" si="42"/>
        <v>62975.506176480747</v>
      </c>
      <c r="I143" s="2">
        <f>MAX(Assumptions!$D$8-SUM(Model_30y!H143), 0)</f>
        <v>277024.49382351927</v>
      </c>
      <c r="J143" s="2">
        <f>J142*(1+(Assumptions!$E$51))</f>
        <v>753985.8474829219</v>
      </c>
      <c r="K143" s="22">
        <f t="shared" si="37"/>
        <v>476961.35365940264</v>
      </c>
      <c r="L143" s="5">
        <f t="shared" si="43"/>
        <v>147975.50617648073</v>
      </c>
      <c r="M143" s="63">
        <f>L143/Assumptions!$D$6</f>
        <v>0.34817766159171937</v>
      </c>
      <c r="N143" s="24">
        <f t="shared" si="34"/>
        <v>0</v>
      </c>
      <c r="O143" s="5">
        <f>N143*Assumptions!$E$25*-1</f>
        <v>0</v>
      </c>
      <c r="P143" s="20">
        <f>Assumptions!$E$35*J143*-1</f>
        <v>-1553.0873955934396</v>
      </c>
      <c r="Q143" s="5">
        <f>J143*Assumptions!$E$36*-1</f>
        <v>-625.45999816467611</v>
      </c>
      <c r="R143" s="5">
        <f>(R131+(Model_30y!R131*Assumptions!$D$51))</f>
        <v>-555.71776310795894</v>
      </c>
      <c r="S143" s="5">
        <f>S131+(S131*Assumptions!$D$51)</f>
        <v>0</v>
      </c>
      <c r="T143" s="5">
        <f t="shared" si="46"/>
        <v>0</v>
      </c>
      <c r="U143" s="22">
        <f t="shared" si="38"/>
        <v>-2734.2651568660744</v>
      </c>
      <c r="V143" s="5">
        <f>MAX(Assumptions!$E$18:$E$19)-U143</f>
        <v>5575.8981686647712</v>
      </c>
      <c r="W143" s="5">
        <f t="shared" si="39"/>
        <v>-2198.4576329329379</v>
      </c>
      <c r="X143" s="5">
        <f t="shared" si="44"/>
        <v>-2734.2651568660744</v>
      </c>
      <c r="Y143" s="5">
        <f>C143*Assumptions!$D$44*-1</f>
        <v>233.24112890157102</v>
      </c>
      <c r="Z143" s="5">
        <f t="shared" si="40"/>
        <v>876.4165077673299</v>
      </c>
      <c r="AA143" s="5">
        <f t="shared" si="47"/>
        <v>212138.68065085079</v>
      </c>
      <c r="AB143" s="3">
        <f>Assumptions!$E$45</f>
        <v>6.9899151946608562E-3</v>
      </c>
      <c r="AC143" s="5">
        <f t="shared" si="48"/>
        <v>214497.92854587481</v>
      </c>
      <c r="AD143" s="5">
        <f>AC143*Assumptions!$E$43</f>
        <v>192.09908948983556</v>
      </c>
      <c r="AE143" s="2">
        <f>AD143*Assumptions!$D$44*-1</f>
        <v>-28.814863423475334</v>
      </c>
      <c r="AF143" s="2">
        <f>AC143*Assumptions!$E$46*-1</f>
        <v>-7.1486204657615779</v>
      </c>
      <c r="AG143" s="22">
        <f t="shared" si="49"/>
        <v>214461.96506198557</v>
      </c>
      <c r="AH143" s="5">
        <f>Model_30y[[#This Row],[Mortgage Payment]]+Model_30y[[#This Row],[Total Upkeep]]+Model_30y[[#This Row],[Monthly Investment]]</f>
        <v>-4056.3062820316827</v>
      </c>
      <c r="AI143" s="5">
        <f>Model_Renter!D143*-1</f>
        <v>4127.5077127612594</v>
      </c>
      <c r="AJ143" s="5">
        <f t="shared" si="50"/>
        <v>71.201430729576714</v>
      </c>
    </row>
    <row r="144" spans="1:36" x14ac:dyDescent="0.25">
      <c r="A144" s="17">
        <f t="shared" si="45"/>
        <v>142</v>
      </c>
      <c r="B144" s="17">
        <f t="shared" si="41"/>
        <v>12</v>
      </c>
      <c r="C144" s="23">
        <f>IFERROR(IPMT(Assumptions!$D$16/12,Model_30y!A144, 360,Assumptions!$D$8), 0)</f>
        <v>-1551.3371654117079</v>
      </c>
      <c r="D144" s="2">
        <f>IFERROR(PPMT(Assumptions!$D$16/12, Model_30y!A144, 360, Assumptions!$D$8), 0)</f>
        <v>-647.12046752123001</v>
      </c>
      <c r="E144" s="2">
        <f t="shared" si="35"/>
        <v>-2198.4576329329379</v>
      </c>
      <c r="F144" s="2">
        <f>IF(I143&gt;1, Assumptions!$E$18, 0)*-1</f>
        <v>-2198.4576329329379</v>
      </c>
      <c r="G144" s="24">
        <f t="shared" si="36"/>
        <v>1</v>
      </c>
      <c r="H144" s="20">
        <f t="shared" si="42"/>
        <v>63622.626644001975</v>
      </c>
      <c r="I144" s="2">
        <f>MAX(Assumptions!$D$8-SUM(Model_30y!H144), 0)</f>
        <v>276377.37335599802</v>
      </c>
      <c r="J144" s="2">
        <f>J143*(1+(Assumptions!$E$51))</f>
        <v>757057.6791566863</v>
      </c>
      <c r="K144" s="22">
        <f t="shared" si="37"/>
        <v>480680.30580068828</v>
      </c>
      <c r="L144" s="5">
        <f t="shared" si="43"/>
        <v>148622.62664400195</v>
      </c>
      <c r="M144" s="63">
        <f>L144/Assumptions!$D$6</f>
        <v>0.34970029798588698</v>
      </c>
      <c r="N144" s="24">
        <f t="shared" si="34"/>
        <v>0</v>
      </c>
      <c r="O144" s="5">
        <f>N144*Assumptions!$E$25*-1</f>
        <v>0</v>
      </c>
      <c r="P144" s="20">
        <f>Assumptions!$E$35*J144*-1</f>
        <v>-1559.4148658899112</v>
      </c>
      <c r="Q144" s="5">
        <f>J144*Assumptions!$E$36*-1</f>
        <v>-628.00819961891943</v>
      </c>
      <c r="R144" s="5">
        <f>(R132+(Model_30y!R132*Assumptions!$D$51))</f>
        <v>-555.71776310795894</v>
      </c>
      <c r="S144" s="5">
        <f>S132+(S132*Assumptions!$D$51)</f>
        <v>0</v>
      </c>
      <c r="T144" s="5">
        <f t="shared" si="46"/>
        <v>0</v>
      </c>
      <c r="U144" s="22">
        <f t="shared" si="38"/>
        <v>-2743.1408286167893</v>
      </c>
      <c r="V144" s="5">
        <f>MAX(Assumptions!$E$18:$E$19)-U144</f>
        <v>5584.7738404154861</v>
      </c>
      <c r="W144" s="5">
        <f t="shared" si="39"/>
        <v>-2198.4576329329379</v>
      </c>
      <c r="X144" s="5">
        <f t="shared" si="44"/>
        <v>-2743.1408286167893</v>
      </c>
      <c r="Y144" s="5">
        <f>C144*Assumptions!$D$44*-1</f>
        <v>232.70057481175618</v>
      </c>
      <c r="Z144" s="5">
        <f t="shared" si="40"/>
        <v>875.87595367751499</v>
      </c>
      <c r="AA144" s="5">
        <f t="shared" si="47"/>
        <v>214461.96506198557</v>
      </c>
      <c r="AB144" s="3">
        <f>Assumptions!$E$45</f>
        <v>6.9899151946608562E-3</v>
      </c>
      <c r="AC144" s="5">
        <f t="shared" si="48"/>
        <v>216836.91196392669</v>
      </c>
      <c r="AD144" s="5">
        <f>AC144*Assumptions!$E$43</f>
        <v>194.19382573267762</v>
      </c>
      <c r="AE144" s="2">
        <f>AD144*Assumptions!$D$44*-1</f>
        <v>-29.129073859901641</v>
      </c>
      <c r="AF144" s="2">
        <f>AC144*Assumptions!$E$46*-1</f>
        <v>-7.226572289561064</v>
      </c>
      <c r="AG144" s="22">
        <f t="shared" si="49"/>
        <v>216800.55631777723</v>
      </c>
      <c r="AH144" s="5">
        <f>Model_30y[[#This Row],[Mortgage Payment]]+Model_30y[[#This Row],[Total Upkeep]]+Model_30y[[#This Row],[Monthly Investment]]</f>
        <v>-4065.7225078722122</v>
      </c>
      <c r="AI144" s="5">
        <f>Model_Renter!D144*-1</f>
        <v>4127.5077127612594</v>
      </c>
      <c r="AJ144" s="5">
        <f t="shared" si="50"/>
        <v>61.785204889047236</v>
      </c>
    </row>
    <row r="145" spans="1:36" x14ac:dyDescent="0.25">
      <c r="A145" s="17">
        <f t="shared" si="45"/>
        <v>143</v>
      </c>
      <c r="B145" s="17">
        <f t="shared" si="41"/>
        <v>12</v>
      </c>
      <c r="C145" s="23">
        <f>IFERROR(IPMT(Assumptions!$D$16/12,Model_30y!A145, 360,Assumptions!$D$8), 0)</f>
        <v>-1547.7132907935888</v>
      </c>
      <c r="D145" s="2">
        <f>IFERROR(PPMT(Assumptions!$D$16/12, Model_30y!A145, 360, Assumptions!$D$8), 0)</f>
        <v>-650.74434213934887</v>
      </c>
      <c r="E145" s="2">
        <f t="shared" si="35"/>
        <v>-2198.4576329329375</v>
      </c>
      <c r="F145" s="2">
        <f>IF(I144&gt;1, Assumptions!$E$18, 0)*-1</f>
        <v>-2198.4576329329379</v>
      </c>
      <c r="G145" s="24">
        <f t="shared" si="36"/>
        <v>1</v>
      </c>
      <c r="H145" s="20">
        <f t="shared" si="42"/>
        <v>64273.370986141323</v>
      </c>
      <c r="I145" s="2">
        <f>MAX(Assumptions!$D$8-SUM(Model_30y!H145), 0)</f>
        <v>275726.62901385868</v>
      </c>
      <c r="J145" s="2">
        <f>J144*(1+(Assumptions!$E$51))</f>
        <v>760142.02585293213</v>
      </c>
      <c r="K145" s="22">
        <f t="shared" si="37"/>
        <v>484415.39683907345</v>
      </c>
      <c r="L145" s="5">
        <f t="shared" si="43"/>
        <v>149273.37098614129</v>
      </c>
      <c r="M145" s="63">
        <f>L145/Assumptions!$D$6</f>
        <v>0.35123146114386189</v>
      </c>
      <c r="N145" s="24">
        <f t="shared" si="34"/>
        <v>0</v>
      </c>
      <c r="O145" s="5">
        <f>N145*Assumptions!$E$25*-1</f>
        <v>0</v>
      </c>
      <c r="P145" s="20">
        <f>Assumptions!$E$35*J145*-1</f>
        <v>-1565.7681150836079</v>
      </c>
      <c r="Q145" s="5">
        <f>J145*Assumptions!$E$36*-1</f>
        <v>-630.56678276131299</v>
      </c>
      <c r="R145" s="5">
        <f>(R133+(Model_30y!R133*Assumptions!$D$51))</f>
        <v>-555.71776310795894</v>
      </c>
      <c r="S145" s="5">
        <f>S133+(S133*Assumptions!$D$51)</f>
        <v>0</v>
      </c>
      <c r="T145" s="5">
        <f t="shared" si="46"/>
        <v>0</v>
      </c>
      <c r="U145" s="22">
        <f t="shared" si="38"/>
        <v>-2752.0526609528797</v>
      </c>
      <c r="V145" s="5">
        <f>MAX(Assumptions!$E$18:$E$19)-U145</f>
        <v>5593.6856727515769</v>
      </c>
      <c r="W145" s="5">
        <f t="shared" si="39"/>
        <v>-2198.4576329329379</v>
      </c>
      <c r="X145" s="5">
        <f t="shared" si="44"/>
        <v>-2752.0526609528797</v>
      </c>
      <c r="Y145" s="5">
        <f>C145*Assumptions!$D$44*-1</f>
        <v>232.1569936190383</v>
      </c>
      <c r="Z145" s="5">
        <f t="shared" si="40"/>
        <v>875.33237248479759</v>
      </c>
      <c r="AA145" s="5">
        <f t="shared" si="47"/>
        <v>216800.55631777723</v>
      </c>
      <c r="AB145" s="3">
        <f>Assumptions!$E$45</f>
        <v>6.9899151946608562E-3</v>
      </c>
      <c r="AC145" s="5">
        <f t="shared" si="48"/>
        <v>219191.30619307858</v>
      </c>
      <c r="AD145" s="5">
        <f>AC145*Assumptions!$E$43</f>
        <v>196.30236352036758</v>
      </c>
      <c r="AE145" s="2">
        <f>AD145*Assumptions!$D$44*-1</f>
        <v>-29.445354528055134</v>
      </c>
      <c r="AF145" s="2">
        <f>AC145*Assumptions!$E$46*-1</f>
        <v>-7.3050377129107655</v>
      </c>
      <c r="AG145" s="22">
        <f t="shared" si="49"/>
        <v>219154.55580083761</v>
      </c>
      <c r="AH145" s="5">
        <f>Model_30y[[#This Row],[Mortgage Payment]]+Model_30y[[#This Row],[Total Upkeep]]+Model_30y[[#This Row],[Monthly Investment]]</f>
        <v>-4075.1779214010203</v>
      </c>
      <c r="AI145" s="5">
        <f>Model_Renter!D145*-1</f>
        <v>4127.5077127612594</v>
      </c>
      <c r="AJ145" s="5">
        <f t="shared" si="50"/>
        <v>52.329791360239142</v>
      </c>
    </row>
    <row r="146" spans="1:36" x14ac:dyDescent="0.25">
      <c r="A146" s="17">
        <f t="shared" si="45"/>
        <v>144</v>
      </c>
      <c r="B146" s="17">
        <f t="shared" si="41"/>
        <v>12</v>
      </c>
      <c r="C146" s="23">
        <f>IFERROR(IPMT(Assumptions!$D$16/12,Model_30y!A146, 360,Assumptions!$D$8), 0)</f>
        <v>-1544.0691224776085</v>
      </c>
      <c r="D146" s="2">
        <f>IFERROR(PPMT(Assumptions!$D$16/12, Model_30y!A146, 360, Assumptions!$D$8), 0)</f>
        <v>-654.38851045532931</v>
      </c>
      <c r="E146" s="2">
        <f t="shared" si="35"/>
        <v>-2198.4576329329379</v>
      </c>
      <c r="F146" s="2">
        <f>IF(I145&gt;1, Assumptions!$E$18, 0)*-1</f>
        <v>-2198.4576329329379</v>
      </c>
      <c r="G146" s="24">
        <f t="shared" si="36"/>
        <v>1</v>
      </c>
      <c r="H146" s="20">
        <f t="shared" si="42"/>
        <v>64927.759496596649</v>
      </c>
      <c r="I146" s="2">
        <f>MAX(Assumptions!$D$8-SUM(Model_30y!H146), 0)</f>
        <v>275072.24050340336</v>
      </c>
      <c r="J146" s="2">
        <f>J145*(1+(Assumptions!$E$51))</f>
        <v>763238.93855941016</v>
      </c>
      <c r="K146" s="22">
        <f t="shared" si="37"/>
        <v>488166.6980560068</v>
      </c>
      <c r="L146" s="5">
        <f t="shared" si="43"/>
        <v>149927.75949659661</v>
      </c>
      <c r="M146" s="63">
        <f>L146/Assumptions!$D$6</f>
        <v>0.35277119881552144</v>
      </c>
      <c r="N146" s="24">
        <f t="shared" ref="N146:N209" si="51">IF(M146&lt;0.2, 1, 0)</f>
        <v>0</v>
      </c>
      <c r="O146" s="5">
        <f>N146*Assumptions!$E$25*-1</f>
        <v>0</v>
      </c>
      <c r="P146" s="20">
        <f>Assumptions!$E$35*J146*-1</f>
        <v>-1572.1472482009483</v>
      </c>
      <c r="Q146" s="5">
        <f>J146*Assumptions!$E$36*-1</f>
        <v>-633.13578988813947</v>
      </c>
      <c r="R146" s="5">
        <f>(R134+(Model_30y!R134*Assumptions!$D$51))</f>
        <v>-555.71776310795894</v>
      </c>
      <c r="S146" s="5">
        <f>S134+(S134*Assumptions!$D$51)</f>
        <v>0</v>
      </c>
      <c r="T146" s="5">
        <f t="shared" si="46"/>
        <v>0</v>
      </c>
      <c r="U146" s="22">
        <f t="shared" si="38"/>
        <v>-2761.0008011970467</v>
      </c>
      <c r="V146" s="5">
        <f>MAX(Assumptions!$E$18:$E$19)-U146</f>
        <v>5602.6338129957439</v>
      </c>
      <c r="W146" s="5">
        <f t="shared" si="39"/>
        <v>-2198.4576329329379</v>
      </c>
      <c r="X146" s="5">
        <f t="shared" si="44"/>
        <v>-2761.0008011970467</v>
      </c>
      <c r="Y146" s="5">
        <f>C146*Assumptions!$D$44*-1</f>
        <v>231.61036837164127</v>
      </c>
      <c r="Z146" s="5">
        <f t="shared" si="40"/>
        <v>874.78574723740053</v>
      </c>
      <c r="AA146" s="5">
        <f t="shared" si="47"/>
        <v>219154.55580083761</v>
      </c>
      <c r="AB146" s="3">
        <f>Assumptions!$E$45</f>
        <v>6.9899151946608562E-3</v>
      </c>
      <c r="AC146" s="5">
        <f t="shared" si="48"/>
        <v>221561.21330764642</v>
      </c>
      <c r="AD146" s="5">
        <f>AC146*Assumptions!$E$43</f>
        <v>198.42479426816197</v>
      </c>
      <c r="AE146" s="2">
        <f>AD146*Assumptions!$D$44*-1</f>
        <v>-29.763719140224296</v>
      </c>
      <c r="AF146" s="2">
        <f>AC146*Assumptions!$E$46*-1</f>
        <v>-7.3840201376642538</v>
      </c>
      <c r="AG146" s="22">
        <f t="shared" si="49"/>
        <v>221524.06556836853</v>
      </c>
      <c r="AH146" s="5">
        <f>Model_30y[[#This Row],[Mortgage Payment]]+Model_30y[[#This Row],[Total Upkeep]]+Model_30y[[#This Row],[Monthly Investment]]</f>
        <v>-4084.6726868925844</v>
      </c>
      <c r="AI146" s="5">
        <f>Model_Renter!D146*-1</f>
        <v>4127.5077127612594</v>
      </c>
      <c r="AJ146" s="5">
        <f t="shared" si="50"/>
        <v>42.835025868675075</v>
      </c>
    </row>
    <row r="147" spans="1:36" x14ac:dyDescent="0.25">
      <c r="A147" s="17">
        <f t="shared" si="45"/>
        <v>145</v>
      </c>
      <c r="B147" s="17">
        <f t="shared" si="41"/>
        <v>13</v>
      </c>
      <c r="C147" s="23">
        <f>IFERROR(IPMT(Assumptions!$D$16/12,Model_30y!A147, 360,Assumptions!$D$8), 0)</f>
        <v>-1540.4045468190589</v>
      </c>
      <c r="D147" s="2">
        <f>IFERROR(PPMT(Assumptions!$D$16/12, Model_30y!A147, 360, Assumptions!$D$8), 0)</f>
        <v>-658.0530861138792</v>
      </c>
      <c r="E147" s="2">
        <f t="shared" si="35"/>
        <v>-2198.4576329329379</v>
      </c>
      <c r="F147" s="2">
        <f>IF(I146&gt;1, Assumptions!$E$18, 0)*-1</f>
        <v>-2198.4576329329379</v>
      </c>
      <c r="G147" s="24">
        <f t="shared" si="36"/>
        <v>1</v>
      </c>
      <c r="H147" s="20">
        <f t="shared" si="42"/>
        <v>65585.812582710525</v>
      </c>
      <c r="I147" s="2">
        <f>MAX(Assumptions!$D$8-SUM(Model_30y!H147), 0)</f>
        <v>274414.18741728947</v>
      </c>
      <c r="J147" s="2">
        <f>J146*(1+(Assumptions!$E$51))</f>
        <v>766348.46847160161</v>
      </c>
      <c r="K147" s="22">
        <f t="shared" si="37"/>
        <v>491934.28105431213</v>
      </c>
      <c r="L147" s="5">
        <f t="shared" si="43"/>
        <v>150585.8125827105</v>
      </c>
      <c r="M147" s="63">
        <f>L147/Assumptions!$D$6</f>
        <v>0.35431955901814233</v>
      </c>
      <c r="N147" s="24">
        <f t="shared" si="51"/>
        <v>0</v>
      </c>
      <c r="O147" s="5">
        <f>N147*Assumptions!$E$25*-1</f>
        <v>0</v>
      </c>
      <c r="P147" s="20">
        <f>Assumptions!$E$35*J147*-1</f>
        <v>-1578.552370696241</v>
      </c>
      <c r="Q147" s="5">
        <f>J147*Assumptions!$E$36*-1</f>
        <v>-635.71526346800169</v>
      </c>
      <c r="R147" s="5">
        <f>(R135+(Model_30y!R135*Assumptions!$D$51))</f>
        <v>-583.50365126335691</v>
      </c>
      <c r="S147" s="5">
        <f>S135+(S135*Assumptions!$D$51)</f>
        <v>0</v>
      </c>
      <c r="T147" s="5">
        <f t="shared" si="46"/>
        <v>0</v>
      </c>
      <c r="U147" s="22">
        <f t="shared" si="38"/>
        <v>-2797.7712854275997</v>
      </c>
      <c r="V147" s="5">
        <f>MAX(Assumptions!$E$18:$E$19)-U147</f>
        <v>5639.404297226296</v>
      </c>
      <c r="W147" s="5">
        <f t="shared" si="39"/>
        <v>-2198.4576329329379</v>
      </c>
      <c r="X147" s="5">
        <f t="shared" si="44"/>
        <v>-2797.7712854275997</v>
      </c>
      <c r="Y147" s="5">
        <f>C147*Assumptions!$D$44*-1</f>
        <v>231.06068202285883</v>
      </c>
      <c r="Z147" s="5">
        <f t="shared" si="40"/>
        <v>874.2360608886172</v>
      </c>
      <c r="AA147" s="5">
        <f t="shared" si="47"/>
        <v>221524.06556836853</v>
      </c>
      <c r="AB147" s="3">
        <f>Assumptions!$E$45</f>
        <v>6.9899151946608562E-3</v>
      </c>
      <c r="AC147" s="5">
        <f t="shared" si="48"/>
        <v>223946.73606115655</v>
      </c>
      <c r="AD147" s="5">
        <f>AC147*Assumptions!$E$43</f>
        <v>200.56120999960143</v>
      </c>
      <c r="AE147" s="2">
        <f>AD147*Assumptions!$D$44*-1</f>
        <v>-30.084181499940215</v>
      </c>
      <c r="AF147" s="2">
        <f>AC147*Assumptions!$E$46*-1</f>
        <v>-7.4635229883112952</v>
      </c>
      <c r="AG147" s="22">
        <f t="shared" si="49"/>
        <v>223909.18835666831</v>
      </c>
      <c r="AH147" s="5">
        <f>Model_30y[[#This Row],[Mortgage Payment]]+Model_30y[[#This Row],[Total Upkeep]]+Model_30y[[#This Row],[Monthly Investment]]</f>
        <v>-4121.9928574719197</v>
      </c>
      <c r="AI147" s="5">
        <f>Model_Renter!D147*-1</f>
        <v>4281.8765012185313</v>
      </c>
      <c r="AJ147" s="5">
        <f t="shared" si="50"/>
        <v>159.8836437466116</v>
      </c>
    </row>
    <row r="148" spans="1:36" x14ac:dyDescent="0.25">
      <c r="A148" s="17">
        <f t="shared" si="45"/>
        <v>146</v>
      </c>
      <c r="B148" s="17">
        <f t="shared" si="41"/>
        <v>13</v>
      </c>
      <c r="C148" s="23">
        <f>IFERROR(IPMT(Assumptions!$D$16/12,Model_30y!A148, 360,Assumptions!$D$8), 0)</f>
        <v>-1536.7194495368208</v>
      </c>
      <c r="D148" s="2">
        <f>IFERROR(PPMT(Assumptions!$D$16/12, Model_30y!A148, 360, Assumptions!$D$8), 0)</f>
        <v>-661.73818339611694</v>
      </c>
      <c r="E148" s="2">
        <f t="shared" si="35"/>
        <v>-2198.4576329329375</v>
      </c>
      <c r="F148" s="2">
        <f>IF(I147&gt;1, Assumptions!$E$18, 0)*-1</f>
        <v>-2198.4576329329379</v>
      </c>
      <c r="G148" s="24">
        <f t="shared" si="36"/>
        <v>1</v>
      </c>
      <c r="H148" s="20">
        <f t="shared" si="42"/>
        <v>66247.550766106637</v>
      </c>
      <c r="I148" s="2">
        <f>MAX(Assumptions!$D$8-SUM(Model_30y!H148), 0)</f>
        <v>273752.44923389336</v>
      </c>
      <c r="J148" s="2">
        <f>J147*(1+(Assumptions!$E$51))</f>
        <v>769470.66699356423</v>
      </c>
      <c r="K148" s="22">
        <f t="shared" si="37"/>
        <v>495718.21775967086</v>
      </c>
      <c r="L148" s="5">
        <f t="shared" si="43"/>
        <v>151247.55076610661</v>
      </c>
      <c r="M148" s="63">
        <f>L148/Assumptions!$D$6</f>
        <v>0.3558765900378979</v>
      </c>
      <c r="N148" s="24">
        <f t="shared" si="51"/>
        <v>0</v>
      </c>
      <c r="O148" s="5">
        <f>N148*Assumptions!$E$25*-1</f>
        <v>0</v>
      </c>
      <c r="P148" s="20">
        <f>Assumptions!$E$35*J148*-1</f>
        <v>-1584.9835884534291</v>
      </c>
      <c r="Q148" s="5">
        <f>J148*Assumptions!$E$36*-1</f>
        <v>-638.30524614252499</v>
      </c>
      <c r="R148" s="5">
        <f>(R136+(Model_30y!R136*Assumptions!$D$51))</f>
        <v>-583.50365126335691</v>
      </c>
      <c r="S148" s="5">
        <f>S136+(S136*Assumptions!$D$51)</f>
        <v>0</v>
      </c>
      <c r="T148" s="5">
        <f t="shared" si="46"/>
        <v>0</v>
      </c>
      <c r="U148" s="22">
        <f t="shared" si="38"/>
        <v>-2806.792485859311</v>
      </c>
      <c r="V148" s="5">
        <f>MAX(Assumptions!$E$18:$E$19)-U148</f>
        <v>5648.4254976580078</v>
      </c>
      <c r="W148" s="5">
        <f t="shared" si="39"/>
        <v>-2198.4576329329379</v>
      </c>
      <c r="X148" s="5">
        <f t="shared" si="44"/>
        <v>-2806.792485859311</v>
      </c>
      <c r="Y148" s="5">
        <f>C148*Assumptions!$D$44*-1</f>
        <v>230.50791743052309</v>
      </c>
      <c r="Z148" s="5">
        <f t="shared" si="40"/>
        <v>873.68329629628192</v>
      </c>
      <c r="AA148" s="5">
        <f t="shared" si="47"/>
        <v>223909.18835666831</v>
      </c>
      <c r="AB148" s="3">
        <f>Assumptions!$E$45</f>
        <v>6.9899151946608562E-3</v>
      </c>
      <c r="AC148" s="5">
        <f t="shared" si="48"/>
        <v>226347.97789088305</v>
      </c>
      <c r="AD148" s="5">
        <f>AC148*Assumptions!$E$43</f>
        <v>202.71170335057434</v>
      </c>
      <c r="AE148" s="2">
        <f>AD148*Assumptions!$D$44*-1</f>
        <v>-30.406755502586151</v>
      </c>
      <c r="AF148" s="2">
        <f>AC148*Assumptions!$E$46*-1</f>
        <v>-7.54354971212907</v>
      </c>
      <c r="AG148" s="22">
        <f t="shared" si="49"/>
        <v>226310.02758566834</v>
      </c>
      <c r="AH148" s="5">
        <f>Model_30y[[#This Row],[Mortgage Payment]]+Model_30y[[#This Row],[Total Upkeep]]+Model_30y[[#This Row],[Monthly Investment]]</f>
        <v>-4131.5668224959672</v>
      </c>
      <c r="AI148" s="5">
        <f>Model_Renter!D148*-1</f>
        <v>4281.8765012185313</v>
      </c>
      <c r="AJ148" s="5">
        <f t="shared" si="50"/>
        <v>150.30967872256406</v>
      </c>
    </row>
    <row r="149" spans="1:36" x14ac:dyDescent="0.25">
      <c r="A149" s="17">
        <f t="shared" si="45"/>
        <v>147</v>
      </c>
      <c r="B149" s="17">
        <f t="shared" si="41"/>
        <v>13</v>
      </c>
      <c r="C149" s="23">
        <f>IFERROR(IPMT(Assumptions!$D$16/12,Model_30y!A149, 360,Assumptions!$D$8), 0)</f>
        <v>-1533.0137157098029</v>
      </c>
      <c r="D149" s="2">
        <f>IFERROR(PPMT(Assumptions!$D$16/12, Model_30y!A149, 360, Assumptions!$D$8), 0)</f>
        <v>-665.44391722313514</v>
      </c>
      <c r="E149" s="2">
        <f t="shared" si="35"/>
        <v>-2198.4576329329379</v>
      </c>
      <c r="F149" s="2">
        <f>IF(I148&gt;1, Assumptions!$E$18, 0)*-1</f>
        <v>-2198.4576329329379</v>
      </c>
      <c r="G149" s="24">
        <f t="shared" si="36"/>
        <v>1</v>
      </c>
      <c r="H149" s="20">
        <f t="shared" si="42"/>
        <v>66912.994683329773</v>
      </c>
      <c r="I149" s="2">
        <f>MAX(Assumptions!$D$8-SUM(Model_30y!H149), 0)</f>
        <v>273087.00531667023</v>
      </c>
      <c r="J149" s="2">
        <f>J148*(1+(Assumptions!$E$51))</f>
        <v>772605.58573878242</v>
      </c>
      <c r="K149" s="22">
        <f t="shared" si="37"/>
        <v>499518.58042211219</v>
      </c>
      <c r="L149" s="5">
        <f t="shared" si="43"/>
        <v>151912.99468332974</v>
      </c>
      <c r="M149" s="63">
        <f>L149/Assumptions!$D$6</f>
        <v>0.35744234043136408</v>
      </c>
      <c r="N149" s="24">
        <f t="shared" si="51"/>
        <v>0</v>
      </c>
      <c r="O149" s="5">
        <f>N149*Assumptions!$E$25*-1</f>
        <v>0</v>
      </c>
      <c r="P149" s="20">
        <f>Assumptions!$E$35*J149*-1</f>
        <v>-1591.4410077878395</v>
      </c>
      <c r="Q149" s="5">
        <f>J149*Assumptions!$E$36*-1</f>
        <v>-640.90578072706171</v>
      </c>
      <c r="R149" s="5">
        <f>(R137+(Model_30y!R137*Assumptions!$D$51))</f>
        <v>-583.50365126335691</v>
      </c>
      <c r="S149" s="5">
        <f>S137+(S137*Assumptions!$D$51)</f>
        <v>0</v>
      </c>
      <c r="T149" s="5">
        <f t="shared" si="46"/>
        <v>0</v>
      </c>
      <c r="U149" s="22">
        <f t="shared" si="38"/>
        <v>-2815.8504397782581</v>
      </c>
      <c r="V149" s="5">
        <f>MAX(Assumptions!$E$18:$E$19)-U149</f>
        <v>5657.4834515769544</v>
      </c>
      <c r="W149" s="5">
        <f t="shared" si="39"/>
        <v>-2198.4576329329379</v>
      </c>
      <c r="X149" s="5">
        <f t="shared" si="44"/>
        <v>-2815.8504397782581</v>
      </c>
      <c r="Y149" s="5">
        <f>C149*Assumptions!$D$44*-1</f>
        <v>229.95205735647042</v>
      </c>
      <c r="Z149" s="5">
        <f t="shared" si="40"/>
        <v>873.12743622222877</v>
      </c>
      <c r="AA149" s="5">
        <f t="shared" si="47"/>
        <v>226310.02758566834</v>
      </c>
      <c r="AB149" s="3">
        <f>Assumptions!$E$45</f>
        <v>6.9899151946608562E-3</v>
      </c>
      <c r="AC149" s="5">
        <f t="shared" si="48"/>
        <v>228765.04292241574</v>
      </c>
      <c r="AD149" s="5">
        <f>AC149*Assumptions!$E$43</f>
        <v>204.87636757340783</v>
      </c>
      <c r="AE149" s="2">
        <f>AD149*Assumptions!$D$44*-1</f>
        <v>-30.731455136011174</v>
      </c>
      <c r="AF149" s="2">
        <f>AC149*Assumptions!$E$46*-1</f>
        <v>-7.6241037793344137</v>
      </c>
      <c r="AG149" s="22">
        <f t="shared" si="49"/>
        <v>228726.68736350039</v>
      </c>
      <c r="AH149" s="5">
        <f>Model_30y[[#This Row],[Mortgage Payment]]+Model_30y[[#This Row],[Total Upkeep]]+Model_30y[[#This Row],[Monthly Investment]]</f>
        <v>-4141.1806364889671</v>
      </c>
      <c r="AI149" s="5">
        <f>Model_Renter!D149*-1</f>
        <v>4281.8765012185313</v>
      </c>
      <c r="AJ149" s="5">
        <f t="shared" si="50"/>
        <v>140.69586472956416</v>
      </c>
    </row>
    <row r="150" spans="1:36" x14ac:dyDescent="0.25">
      <c r="A150" s="17">
        <f t="shared" si="45"/>
        <v>148</v>
      </c>
      <c r="B150" s="17">
        <f t="shared" si="41"/>
        <v>13</v>
      </c>
      <c r="C150" s="23">
        <f>IFERROR(IPMT(Assumptions!$D$16/12,Model_30y!A150, 360,Assumptions!$D$8), 0)</f>
        <v>-1529.2872297733531</v>
      </c>
      <c r="D150" s="2">
        <f>IFERROR(PPMT(Assumptions!$D$16/12, Model_30y!A150, 360, Assumptions!$D$8), 0)</f>
        <v>-669.17040315958468</v>
      </c>
      <c r="E150" s="2">
        <f t="shared" si="35"/>
        <v>-2198.4576329329379</v>
      </c>
      <c r="F150" s="2">
        <f>IF(I149&gt;1, Assumptions!$E$18, 0)*-1</f>
        <v>-2198.4576329329379</v>
      </c>
      <c r="G150" s="24">
        <f t="shared" si="36"/>
        <v>1</v>
      </c>
      <c r="H150" s="20">
        <f t="shared" si="42"/>
        <v>67582.16508648936</v>
      </c>
      <c r="I150" s="2">
        <f>MAX(Assumptions!$D$8-SUM(Model_30y!H150), 0)</f>
        <v>272417.83491351065</v>
      </c>
      <c r="J150" s="2">
        <f>J149*(1+(Assumptions!$E$51))</f>
        <v>775753.27653102041</v>
      </c>
      <c r="K150" s="22">
        <f t="shared" si="37"/>
        <v>503335.44161750976</v>
      </c>
      <c r="L150" s="5">
        <f t="shared" si="43"/>
        <v>152582.16508648932</v>
      </c>
      <c r="M150" s="63">
        <f>L150/Assumptions!$D$6</f>
        <v>0.35901685902703367</v>
      </c>
      <c r="N150" s="24">
        <f t="shared" si="51"/>
        <v>0</v>
      </c>
      <c r="O150" s="5">
        <f>N150*Assumptions!$E$25*-1</f>
        <v>0</v>
      </c>
      <c r="P150" s="20">
        <f>Assumptions!$E$35*J150*-1</f>
        <v>-1597.9247354479412</v>
      </c>
      <c r="Q150" s="5">
        <f>J150*Assumptions!$E$36*-1</f>
        <v>-643.51691021139959</v>
      </c>
      <c r="R150" s="5">
        <f>(R138+(Model_30y!R138*Assumptions!$D$51))</f>
        <v>-583.50365126335691</v>
      </c>
      <c r="S150" s="5">
        <f>S138+(S138*Assumptions!$D$51)</f>
        <v>0</v>
      </c>
      <c r="T150" s="5">
        <f t="shared" si="46"/>
        <v>0</v>
      </c>
      <c r="U150" s="22">
        <f t="shared" si="38"/>
        <v>-2824.9452969226977</v>
      </c>
      <c r="V150" s="5">
        <f>MAX(Assumptions!$E$18:$E$19)-U150</f>
        <v>5666.5783087213949</v>
      </c>
      <c r="W150" s="5">
        <f t="shared" si="39"/>
        <v>-2198.4576329329379</v>
      </c>
      <c r="X150" s="5">
        <f t="shared" si="44"/>
        <v>-2824.9452969226977</v>
      </c>
      <c r="Y150" s="5">
        <f>C150*Assumptions!$D$44*-1</f>
        <v>229.39308446600296</v>
      </c>
      <c r="Z150" s="5">
        <f t="shared" si="40"/>
        <v>872.56846333176225</v>
      </c>
      <c r="AA150" s="5">
        <f t="shared" si="47"/>
        <v>228726.68736350039</v>
      </c>
      <c r="AB150" s="3">
        <f>Assumptions!$E$45</f>
        <v>6.9899151946608562E-3</v>
      </c>
      <c r="AC150" s="5">
        <f t="shared" si="48"/>
        <v>231198.03597425873</v>
      </c>
      <c r="AD150" s="5">
        <f>AC150*Assumptions!$E$43</f>
        <v>207.05529654098606</v>
      </c>
      <c r="AE150" s="2">
        <f>AD150*Assumptions!$D$44*-1</f>
        <v>-31.058294481147907</v>
      </c>
      <c r="AF150" s="2">
        <f>AC150*Assumptions!$E$46*-1</f>
        <v>-7.7051886832370666</v>
      </c>
      <c r="AG150" s="22">
        <f t="shared" si="49"/>
        <v>231159.27249109434</v>
      </c>
      <c r="AH150" s="5">
        <f>Model_30y[[#This Row],[Mortgage Payment]]+Model_30y[[#This Row],[Total Upkeep]]+Model_30y[[#This Row],[Monthly Investment]]</f>
        <v>-4150.8344665238737</v>
      </c>
      <c r="AI150" s="5">
        <f>Model_Renter!D150*-1</f>
        <v>4281.8765012185313</v>
      </c>
      <c r="AJ150" s="5">
        <f t="shared" si="50"/>
        <v>131.04203469465756</v>
      </c>
    </row>
    <row r="151" spans="1:36" x14ac:dyDescent="0.25">
      <c r="A151" s="17">
        <f t="shared" si="45"/>
        <v>149</v>
      </c>
      <c r="B151" s="17">
        <f t="shared" si="41"/>
        <v>13</v>
      </c>
      <c r="C151" s="23">
        <f>IFERROR(IPMT(Assumptions!$D$16/12,Model_30y!A151, 360,Assumptions!$D$8), 0)</f>
        <v>-1525.5398755156596</v>
      </c>
      <c r="D151" s="2">
        <f>IFERROR(PPMT(Assumptions!$D$16/12, Model_30y!A151, 360, Assumptions!$D$8), 0)</f>
        <v>-672.91775741727838</v>
      </c>
      <c r="E151" s="2">
        <f t="shared" si="35"/>
        <v>-2198.4576329329379</v>
      </c>
      <c r="F151" s="2">
        <f>IF(I150&gt;1, Assumptions!$E$18, 0)*-1</f>
        <v>-2198.4576329329379</v>
      </c>
      <c r="G151" s="24">
        <f t="shared" si="36"/>
        <v>1</v>
      </c>
      <c r="H151" s="20">
        <f t="shared" si="42"/>
        <v>68255.082843906639</v>
      </c>
      <c r="I151" s="2">
        <f>MAX(Assumptions!$D$8-SUM(Model_30y!H151), 0)</f>
        <v>271744.91715609335</v>
      </c>
      <c r="J151" s="2">
        <f>J150*(1+(Assumptions!$E$51))</f>
        <v>778913.79140517861</v>
      </c>
      <c r="K151" s="22">
        <f t="shared" si="37"/>
        <v>507168.87424908526</v>
      </c>
      <c r="L151" s="5">
        <f t="shared" si="43"/>
        <v>153255.0828439066</v>
      </c>
      <c r="M151" s="63">
        <f>L151/Assumptions!$D$6</f>
        <v>0.36060019492683903</v>
      </c>
      <c r="N151" s="24">
        <f t="shared" si="51"/>
        <v>0</v>
      </c>
      <c r="O151" s="5">
        <f>N151*Assumptions!$E$25*-1</f>
        <v>0</v>
      </c>
      <c r="P151" s="20">
        <f>Assumptions!$E$35*J151*-1</f>
        <v>-1604.4348786171099</v>
      </c>
      <c r="Q151" s="5">
        <f>J151*Assumptions!$E$36*-1</f>
        <v>-646.13867776047175</v>
      </c>
      <c r="R151" s="5">
        <f>(R139+(Model_30y!R139*Assumptions!$D$51))</f>
        <v>-583.50365126335691</v>
      </c>
      <c r="S151" s="5">
        <f>S139+(S139*Assumptions!$D$51)</f>
        <v>0</v>
      </c>
      <c r="T151" s="5">
        <f t="shared" si="46"/>
        <v>0</v>
      </c>
      <c r="U151" s="22">
        <f t="shared" si="38"/>
        <v>-2834.0772076409385</v>
      </c>
      <c r="V151" s="5">
        <f>MAX(Assumptions!$E$18:$E$19)-U151</f>
        <v>5675.7102194396357</v>
      </c>
      <c r="W151" s="5">
        <f t="shared" si="39"/>
        <v>-2198.4576329329379</v>
      </c>
      <c r="X151" s="5">
        <f t="shared" si="44"/>
        <v>-2834.0772076409385</v>
      </c>
      <c r="Y151" s="5">
        <f>C151*Assumptions!$D$44*-1</f>
        <v>228.83098132734892</v>
      </c>
      <c r="Z151" s="5">
        <f t="shared" si="40"/>
        <v>872.00636019310821</v>
      </c>
      <c r="AA151" s="5">
        <f t="shared" si="47"/>
        <v>231159.27249109434</v>
      </c>
      <c r="AB151" s="3">
        <f>Assumptions!$E$45</f>
        <v>6.9899151946608562E-3</v>
      </c>
      <c r="AC151" s="5">
        <f t="shared" si="48"/>
        <v>233647.0625624597</v>
      </c>
      <c r="AD151" s="5">
        <f>AC151*Assumptions!$E$43</f>
        <v>209.24858475089616</v>
      </c>
      <c r="AE151" s="2">
        <f>AD151*Assumptions!$D$44*-1</f>
        <v>-31.387287712634421</v>
      </c>
      <c r="AF151" s="2">
        <f>AC151*Assumptions!$E$46*-1</f>
        <v>-7.786807940393965</v>
      </c>
      <c r="AG151" s="22">
        <f t="shared" si="49"/>
        <v>233607.88846680667</v>
      </c>
      <c r="AH151" s="5">
        <f>Model_30y[[#This Row],[Mortgage Payment]]+Model_30y[[#This Row],[Total Upkeep]]+Model_30y[[#This Row],[Monthly Investment]]</f>
        <v>-4160.528480380769</v>
      </c>
      <c r="AI151" s="5">
        <f>Model_Renter!D151*-1</f>
        <v>4281.8765012185313</v>
      </c>
      <c r="AJ151" s="5">
        <f t="shared" si="50"/>
        <v>121.34802083776231</v>
      </c>
    </row>
    <row r="152" spans="1:36" x14ac:dyDescent="0.25">
      <c r="A152" s="17">
        <f t="shared" si="45"/>
        <v>150</v>
      </c>
      <c r="B152" s="17">
        <f t="shared" si="41"/>
        <v>13</v>
      </c>
      <c r="C152" s="23">
        <f>IFERROR(IPMT(Assumptions!$D$16/12,Model_30y!A152, 360,Assumptions!$D$8), 0)</f>
        <v>-1521.7715360741227</v>
      </c>
      <c r="D152" s="2">
        <f>IFERROR(PPMT(Assumptions!$D$16/12, Model_30y!A152, 360, Assumptions!$D$8), 0)</f>
        <v>-676.68609685881506</v>
      </c>
      <c r="E152" s="2">
        <f t="shared" si="35"/>
        <v>-2198.4576329329375</v>
      </c>
      <c r="F152" s="2">
        <f>IF(I151&gt;1, Assumptions!$E$18, 0)*-1</f>
        <v>-2198.4576329329379</v>
      </c>
      <c r="G152" s="24">
        <f t="shared" si="36"/>
        <v>1</v>
      </c>
      <c r="H152" s="20">
        <f t="shared" si="42"/>
        <v>68931.768940765454</v>
      </c>
      <c r="I152" s="2">
        <f>MAX(Assumptions!$D$8-SUM(Model_30y!H152), 0)</f>
        <v>271068.23105923453</v>
      </c>
      <c r="J152" s="2">
        <f>J151*(1+(Assumptions!$E$51))</f>
        <v>782087.18260815414</v>
      </c>
      <c r="K152" s="22">
        <f t="shared" si="37"/>
        <v>511018.95154891961</v>
      </c>
      <c r="L152" s="5">
        <f t="shared" si="43"/>
        <v>153931.76894076541</v>
      </c>
      <c r="M152" s="63">
        <f>L152/Assumptions!$D$6</f>
        <v>0.36219239750768334</v>
      </c>
      <c r="N152" s="24">
        <f t="shared" si="51"/>
        <v>0</v>
      </c>
      <c r="O152" s="5">
        <f>N152*Assumptions!$E$25*-1</f>
        <v>0</v>
      </c>
      <c r="P152" s="20">
        <f>Assumptions!$E$35*J152*-1</f>
        <v>-1610.9715449153987</v>
      </c>
      <c r="Q152" s="5">
        <f>J152*Assumptions!$E$36*-1</f>
        <v>-648.77112671507075</v>
      </c>
      <c r="R152" s="5">
        <f>(R140+(Model_30y!R140*Assumptions!$D$51))</f>
        <v>-583.50365126335691</v>
      </c>
      <c r="S152" s="5">
        <f>S140+(S140*Assumptions!$D$51)</f>
        <v>0</v>
      </c>
      <c r="T152" s="5">
        <f t="shared" si="46"/>
        <v>0</v>
      </c>
      <c r="U152" s="22">
        <f t="shared" si="38"/>
        <v>-2843.2463228938263</v>
      </c>
      <c r="V152" s="5">
        <f>MAX(Assumptions!$E$18:$E$19)-U152</f>
        <v>5684.8793346925231</v>
      </c>
      <c r="W152" s="5">
        <f t="shared" si="39"/>
        <v>-2198.4576329329379</v>
      </c>
      <c r="X152" s="5">
        <f t="shared" si="44"/>
        <v>-2843.2463228938263</v>
      </c>
      <c r="Y152" s="5">
        <f>C152*Assumptions!$D$44*-1</f>
        <v>228.2657304111184</v>
      </c>
      <c r="Z152" s="5">
        <f t="shared" si="40"/>
        <v>871.44110927687723</v>
      </c>
      <c r="AA152" s="5">
        <f t="shared" si="47"/>
        <v>233607.88846680667</v>
      </c>
      <c r="AB152" s="3">
        <f>Assumptions!$E$45</f>
        <v>6.9899151946608562E-3</v>
      </c>
      <c r="AC152" s="5">
        <f t="shared" si="48"/>
        <v>236112.22890527031</v>
      </c>
      <c r="AD152" s="5">
        <f>AC152*Assumptions!$E$43</f>
        <v>211.45632732960189</v>
      </c>
      <c r="AE152" s="2">
        <f>AD152*Assumptions!$D$44*-1</f>
        <v>-31.718449099440281</v>
      </c>
      <c r="AF152" s="2">
        <f>AC152*Assumptions!$E$46*-1</f>
        <v>-7.8689650907645508</v>
      </c>
      <c r="AG152" s="22">
        <f t="shared" si="49"/>
        <v>236072.64149108011</v>
      </c>
      <c r="AH152" s="5">
        <f>Model_30y[[#This Row],[Mortgage Payment]]+Model_30y[[#This Row],[Total Upkeep]]+Model_30y[[#This Row],[Monthly Investment]]</f>
        <v>-4170.2628465498874</v>
      </c>
      <c r="AI152" s="5">
        <f>Model_Renter!D152*-1</f>
        <v>4281.8765012185313</v>
      </c>
      <c r="AJ152" s="5">
        <f t="shared" si="50"/>
        <v>111.6136546686439</v>
      </c>
    </row>
    <row r="153" spans="1:36" x14ac:dyDescent="0.25">
      <c r="A153" s="17">
        <f t="shared" si="45"/>
        <v>151</v>
      </c>
      <c r="B153" s="17">
        <f t="shared" si="41"/>
        <v>13</v>
      </c>
      <c r="C153" s="23">
        <f>IFERROR(IPMT(Assumptions!$D$16/12,Model_30y!A153, 360,Assumptions!$D$8), 0)</f>
        <v>-1517.9820939317133</v>
      </c>
      <c r="D153" s="2">
        <f>IFERROR(PPMT(Assumptions!$D$16/12, Model_30y!A153, 360, Assumptions!$D$8), 0)</f>
        <v>-680.47553900122455</v>
      </c>
      <c r="E153" s="2">
        <f t="shared" si="35"/>
        <v>-2198.4576329329379</v>
      </c>
      <c r="F153" s="2">
        <f>IF(I152&gt;1, Assumptions!$E$18, 0)*-1</f>
        <v>-2198.4576329329379</v>
      </c>
      <c r="G153" s="24">
        <f t="shared" si="36"/>
        <v>1</v>
      </c>
      <c r="H153" s="20">
        <f t="shared" si="42"/>
        <v>69612.244479766683</v>
      </c>
      <c r="I153" s="2">
        <f>MAX(Assumptions!$D$8-SUM(Model_30y!H153), 0)</f>
        <v>270387.7555202333</v>
      </c>
      <c r="J153" s="2">
        <f>J152*(1+(Assumptions!$E$51))</f>
        <v>785273.50259970454</v>
      </c>
      <c r="K153" s="22">
        <f t="shared" si="37"/>
        <v>514885.74707947124</v>
      </c>
      <c r="L153" s="5">
        <f t="shared" si="43"/>
        <v>154612.24447976664</v>
      </c>
      <c r="M153" s="63">
        <f>L153/Assumptions!$D$6</f>
        <v>0.3637935164229803</v>
      </c>
      <c r="N153" s="24">
        <f t="shared" si="51"/>
        <v>0</v>
      </c>
      <c r="O153" s="5">
        <f>N153*Assumptions!$E$25*-1</f>
        <v>0</v>
      </c>
      <c r="P153" s="20">
        <f>Assumptions!$E$35*J153*-1</f>
        <v>-1617.5348424013193</v>
      </c>
      <c r="Q153" s="5">
        <f>J153*Assumptions!$E$36*-1</f>
        <v>-651.41430059256504</v>
      </c>
      <c r="R153" s="5">
        <f>(R141+(Model_30y!R141*Assumptions!$D$51))</f>
        <v>-583.50365126335691</v>
      </c>
      <c r="S153" s="5">
        <f>S141+(S141*Assumptions!$D$51)</f>
        <v>0</v>
      </c>
      <c r="T153" s="5">
        <f t="shared" si="46"/>
        <v>0</v>
      </c>
      <c r="U153" s="22">
        <f t="shared" si="38"/>
        <v>-2852.4527942572413</v>
      </c>
      <c r="V153" s="5">
        <f>MAX(Assumptions!$E$18:$E$19)-U153</f>
        <v>5694.0858060559385</v>
      </c>
      <c r="W153" s="5">
        <f t="shared" si="39"/>
        <v>-2198.4576329329379</v>
      </c>
      <c r="X153" s="5">
        <f t="shared" si="44"/>
        <v>-2852.4527942572413</v>
      </c>
      <c r="Y153" s="5">
        <f>C153*Assumptions!$D$44*-1</f>
        <v>227.69731408975699</v>
      </c>
      <c r="Z153" s="5">
        <f t="shared" si="40"/>
        <v>870.8726929555163</v>
      </c>
      <c r="AA153" s="5">
        <f t="shared" si="47"/>
        <v>236072.64149108011</v>
      </c>
      <c r="AB153" s="3">
        <f>Assumptions!$E$45</f>
        <v>6.9899151946608562E-3</v>
      </c>
      <c r="AC153" s="5">
        <f t="shared" si="48"/>
        <v>238593.64192783786</v>
      </c>
      <c r="AD153" s="5">
        <f>AC153*Assumptions!$E$43</f>
        <v>213.67862003664544</v>
      </c>
      <c r="AE153" s="2">
        <f>AD153*Assumptions!$D$44*-1</f>
        <v>-32.051793005496812</v>
      </c>
      <c r="AF153" s="2">
        <f>AC153*Assumptions!$E$46*-1</f>
        <v>-7.9516636978671356</v>
      </c>
      <c r="AG153" s="22">
        <f t="shared" si="49"/>
        <v>238553.6384711345</v>
      </c>
      <c r="AH153" s="5">
        <f>Model_30y[[#This Row],[Mortgage Payment]]+Model_30y[[#This Row],[Total Upkeep]]+Model_30y[[#This Row],[Monthly Investment]]</f>
        <v>-4180.0377342346637</v>
      </c>
      <c r="AI153" s="5">
        <f>Model_Renter!D153*-1</f>
        <v>4281.8765012185313</v>
      </c>
      <c r="AJ153" s="5">
        <f t="shared" si="50"/>
        <v>101.83876698386757</v>
      </c>
    </row>
    <row r="154" spans="1:36" x14ac:dyDescent="0.25">
      <c r="A154" s="17">
        <f t="shared" si="45"/>
        <v>152</v>
      </c>
      <c r="B154" s="17">
        <f t="shared" si="41"/>
        <v>13</v>
      </c>
      <c r="C154" s="23">
        <f>IFERROR(IPMT(Assumptions!$D$16/12,Model_30y!A154, 360,Assumptions!$D$8), 0)</f>
        <v>-1514.1714309133065</v>
      </c>
      <c r="D154" s="2">
        <f>IFERROR(PPMT(Assumptions!$D$16/12, Model_30y!A154, 360, Assumptions!$D$8), 0)</f>
        <v>-684.28620201963145</v>
      </c>
      <c r="E154" s="2">
        <f t="shared" si="35"/>
        <v>-2198.4576329329379</v>
      </c>
      <c r="F154" s="2">
        <f>IF(I153&gt;1, Assumptions!$E$18, 0)*-1</f>
        <v>-2198.4576329329379</v>
      </c>
      <c r="G154" s="24">
        <f t="shared" si="36"/>
        <v>1</v>
      </c>
      <c r="H154" s="20">
        <f t="shared" si="42"/>
        <v>70296.530681786317</v>
      </c>
      <c r="I154" s="2">
        <f>MAX(Assumptions!$D$8-SUM(Model_30y!H154), 0)</f>
        <v>269703.4693182137</v>
      </c>
      <c r="J154" s="2">
        <f>J153*(1+(Assumptions!$E$51))</f>
        <v>788472.80405331485</v>
      </c>
      <c r="K154" s="22">
        <f t="shared" si="37"/>
        <v>518769.33473510115</v>
      </c>
      <c r="L154" s="5">
        <f t="shared" si="43"/>
        <v>155296.53068178627</v>
      </c>
      <c r="M154" s="63">
        <f>L154/Assumptions!$D$6</f>
        <v>0.36540360160420299</v>
      </c>
      <c r="N154" s="24">
        <f t="shared" si="51"/>
        <v>0</v>
      </c>
      <c r="O154" s="5">
        <f>N154*Assumptions!$E$25*-1</f>
        <v>0</v>
      </c>
      <c r="P154" s="20">
        <f>Assumptions!$E$35*J154*-1</f>
        <v>-1624.1248795736262</v>
      </c>
      <c r="Q154" s="5">
        <f>J154*Assumptions!$E$36*-1</f>
        <v>-654.06824308761782</v>
      </c>
      <c r="R154" s="5">
        <f>(R142+(Model_30y!R142*Assumptions!$D$51))</f>
        <v>-583.50365126335691</v>
      </c>
      <c r="S154" s="5">
        <f>S142+(S142*Assumptions!$D$51)</f>
        <v>0</v>
      </c>
      <c r="T154" s="5">
        <f t="shared" si="46"/>
        <v>0</v>
      </c>
      <c r="U154" s="22">
        <f t="shared" si="38"/>
        <v>-2861.6967739246011</v>
      </c>
      <c r="V154" s="5">
        <f>MAX(Assumptions!$E$18:$E$19)-U154</f>
        <v>5703.3297857232974</v>
      </c>
      <c r="W154" s="5">
        <f t="shared" si="39"/>
        <v>-2198.4576329329379</v>
      </c>
      <c r="X154" s="5">
        <f t="shared" si="44"/>
        <v>-2861.6967739246011</v>
      </c>
      <c r="Y154" s="5">
        <f>C154*Assumptions!$D$44*-1</f>
        <v>227.12571463699598</v>
      </c>
      <c r="Z154" s="5">
        <f t="shared" si="40"/>
        <v>870.30109350275438</v>
      </c>
      <c r="AA154" s="5">
        <f t="shared" si="47"/>
        <v>238553.6384711345</v>
      </c>
      <c r="AB154" s="3">
        <f>Assumptions!$E$45</f>
        <v>6.9899151946608562E-3</v>
      </c>
      <c r="AC154" s="5">
        <f t="shared" si="48"/>
        <v>241091.40926692827</v>
      </c>
      <c r="AD154" s="5">
        <f>AC154*Assumptions!$E$43</f>
        <v>215.91555926887722</v>
      </c>
      <c r="AE154" s="2">
        <f>AD154*Assumptions!$D$44*-1</f>
        <v>-32.387333890331583</v>
      </c>
      <c r="AF154" s="2">
        <f>AC154*Assumptions!$E$46*-1</f>
        <v>-8.0349073489363061</v>
      </c>
      <c r="AG154" s="22">
        <f t="shared" si="49"/>
        <v>241050.98702568901</v>
      </c>
      <c r="AH154" s="5">
        <f>Model_30y[[#This Row],[Mortgage Payment]]+Model_30y[[#This Row],[Total Upkeep]]+Model_30y[[#This Row],[Monthly Investment]]</f>
        <v>-4189.8533133547844</v>
      </c>
      <c r="AI154" s="5">
        <f>Model_Renter!D154*-1</f>
        <v>4281.8765012185313</v>
      </c>
      <c r="AJ154" s="5">
        <f t="shared" si="50"/>
        <v>92.023187863746898</v>
      </c>
    </row>
    <row r="155" spans="1:36" x14ac:dyDescent="0.25">
      <c r="A155" s="17">
        <f t="shared" si="45"/>
        <v>153</v>
      </c>
      <c r="B155" s="17">
        <f t="shared" si="41"/>
        <v>13</v>
      </c>
      <c r="C155" s="23">
        <f>IFERROR(IPMT(Assumptions!$D$16/12,Model_30y!A155, 360,Assumptions!$D$8), 0)</f>
        <v>-1510.3394281819967</v>
      </c>
      <c r="D155" s="2">
        <f>IFERROR(PPMT(Assumptions!$D$16/12, Model_30y!A155, 360, Assumptions!$D$8), 0)</f>
        <v>-688.11820475094123</v>
      </c>
      <c r="E155" s="2">
        <f t="shared" si="35"/>
        <v>-2198.4576329329379</v>
      </c>
      <c r="F155" s="2">
        <f>IF(I154&gt;1, Assumptions!$E$18, 0)*-1</f>
        <v>-2198.4576329329379</v>
      </c>
      <c r="G155" s="24">
        <f t="shared" si="36"/>
        <v>1</v>
      </c>
      <c r="H155" s="20">
        <f t="shared" si="42"/>
        <v>70984.648886537252</v>
      </c>
      <c r="I155" s="2">
        <f>MAX(Assumptions!$D$8-SUM(Model_30y!H155), 0)</f>
        <v>269015.35111346276</v>
      </c>
      <c r="J155" s="2">
        <f>J154*(1+(Assumptions!$E$51))</f>
        <v>791685.13985706831</v>
      </c>
      <c r="K155" s="22">
        <f t="shared" si="37"/>
        <v>522669.78874360555</v>
      </c>
      <c r="L155" s="5">
        <f t="shared" si="43"/>
        <v>155984.64888653721</v>
      </c>
      <c r="M155" s="63">
        <f>L155/Assumptions!$D$6</f>
        <v>0.36702270326244046</v>
      </c>
      <c r="N155" s="24">
        <f t="shared" si="51"/>
        <v>0</v>
      </c>
      <c r="O155" s="5">
        <f>N155*Assumptions!$E$25*-1</f>
        <v>0</v>
      </c>
      <c r="P155" s="20">
        <f>Assumptions!$E$35*J155*-1</f>
        <v>-1630.7417653731122</v>
      </c>
      <c r="Q155" s="5">
        <f>J155*Assumptions!$E$36*-1</f>
        <v>-656.73299807291016</v>
      </c>
      <c r="R155" s="5">
        <f>(R143+(Model_30y!R143*Assumptions!$D$51))</f>
        <v>-583.50365126335691</v>
      </c>
      <c r="S155" s="5">
        <f>S143+(S143*Assumptions!$D$51)</f>
        <v>0</v>
      </c>
      <c r="T155" s="5">
        <f t="shared" si="46"/>
        <v>0</v>
      </c>
      <c r="U155" s="22">
        <f t="shared" si="38"/>
        <v>-2870.9784147093792</v>
      </c>
      <c r="V155" s="5">
        <f>MAX(Assumptions!$E$18:$E$19)-U155</f>
        <v>5712.611426508076</v>
      </c>
      <c r="W155" s="5">
        <f t="shared" si="39"/>
        <v>-2198.4576329329379</v>
      </c>
      <c r="X155" s="5">
        <f t="shared" si="44"/>
        <v>-2870.9784147093792</v>
      </c>
      <c r="Y155" s="5">
        <f>C155*Assumptions!$D$44*-1</f>
        <v>226.5509142272995</v>
      </c>
      <c r="Z155" s="5">
        <f t="shared" si="40"/>
        <v>869.7262930930583</v>
      </c>
      <c r="AA155" s="5">
        <f t="shared" si="47"/>
        <v>241050.98702568901</v>
      </c>
      <c r="AB155" s="3">
        <f>Assumptions!$E$45</f>
        <v>6.9899151946608562E-3</v>
      </c>
      <c r="AC155" s="5">
        <f t="shared" si="48"/>
        <v>243605.63927568094</v>
      </c>
      <c r="AD155" s="5">
        <f>AC155*Assumptions!$E$43</f>
        <v>218.16724206471417</v>
      </c>
      <c r="AE155" s="2">
        <f>AD155*Assumptions!$D$44*-1</f>
        <v>-32.725086309707123</v>
      </c>
      <c r="AF155" s="2">
        <f>AC155*Assumptions!$E$46*-1</f>
        <v>-8.1186996550813841</v>
      </c>
      <c r="AG155" s="22">
        <f t="shared" si="49"/>
        <v>243564.79548971614</v>
      </c>
      <c r="AH155" s="5">
        <f>Model_30y[[#This Row],[Mortgage Payment]]+Model_30y[[#This Row],[Total Upkeep]]+Model_30y[[#This Row],[Monthly Investment]]</f>
        <v>-4199.7097545492588</v>
      </c>
      <c r="AI155" s="5">
        <f>Model_Renter!D155*-1</f>
        <v>4281.8765012185313</v>
      </c>
      <c r="AJ155" s="5">
        <f t="shared" si="50"/>
        <v>82.16674666927247</v>
      </c>
    </row>
    <row r="156" spans="1:36" x14ac:dyDescent="0.25">
      <c r="A156" s="17">
        <f t="shared" si="45"/>
        <v>154</v>
      </c>
      <c r="B156" s="17">
        <f t="shared" si="41"/>
        <v>13</v>
      </c>
      <c r="C156" s="23">
        <f>IFERROR(IPMT(Assumptions!$D$16/12,Model_30y!A156, 360,Assumptions!$D$8), 0)</f>
        <v>-1506.4859662353915</v>
      </c>
      <c r="D156" s="2">
        <f>IFERROR(PPMT(Assumptions!$D$16/12, Model_30y!A156, 360, Assumptions!$D$8), 0)</f>
        <v>-691.97166669754642</v>
      </c>
      <c r="E156" s="2">
        <f t="shared" si="35"/>
        <v>-2198.4576329329379</v>
      </c>
      <c r="F156" s="2">
        <f>IF(I155&gt;1, Assumptions!$E$18, 0)*-1</f>
        <v>-2198.4576329329379</v>
      </c>
      <c r="G156" s="24">
        <f t="shared" si="36"/>
        <v>1</v>
      </c>
      <c r="H156" s="20">
        <f t="shared" si="42"/>
        <v>71676.620553234796</v>
      </c>
      <c r="I156" s="2">
        <f>MAX(Assumptions!$D$8-SUM(Model_30y!H156), 0)</f>
        <v>268323.37944676518</v>
      </c>
      <c r="J156" s="2">
        <f>J155*(1+(Assumptions!$E$51))</f>
        <v>794910.56311452098</v>
      </c>
      <c r="K156" s="22">
        <f t="shared" si="37"/>
        <v>526587.1836677558</v>
      </c>
      <c r="L156" s="5">
        <f t="shared" si="43"/>
        <v>156676.62055323477</v>
      </c>
      <c r="M156" s="63">
        <f>L156/Assumptions!$D$6</f>
        <v>0.36865087188996415</v>
      </c>
      <c r="N156" s="24">
        <f t="shared" si="51"/>
        <v>0</v>
      </c>
      <c r="O156" s="5">
        <f>N156*Assumptions!$E$25*-1</f>
        <v>0</v>
      </c>
      <c r="P156" s="20">
        <f>Assumptions!$E$35*J156*-1</f>
        <v>-1637.3856091844075</v>
      </c>
      <c r="Q156" s="5">
        <f>J156*Assumptions!$E$36*-1</f>
        <v>-659.40860959986571</v>
      </c>
      <c r="R156" s="5">
        <f>(R144+(Model_30y!R144*Assumptions!$D$51))</f>
        <v>-583.50365126335691</v>
      </c>
      <c r="S156" s="5">
        <f>S144+(S144*Assumptions!$D$51)</f>
        <v>0</v>
      </c>
      <c r="T156" s="5">
        <f t="shared" si="46"/>
        <v>0</v>
      </c>
      <c r="U156" s="22">
        <f t="shared" si="38"/>
        <v>-2880.2978700476301</v>
      </c>
      <c r="V156" s="5">
        <f>MAX(Assumptions!$E$18:$E$19)-U156</f>
        <v>5721.9308818463269</v>
      </c>
      <c r="W156" s="5">
        <f t="shared" si="39"/>
        <v>-2198.4576329329379</v>
      </c>
      <c r="X156" s="5">
        <f t="shared" si="44"/>
        <v>-2880.2978700476301</v>
      </c>
      <c r="Y156" s="5">
        <f>C156*Assumptions!$D$44*-1</f>
        <v>225.97289493530872</v>
      </c>
      <c r="Z156" s="5">
        <f t="shared" si="40"/>
        <v>869.14827380106749</v>
      </c>
      <c r="AA156" s="5">
        <f t="shared" si="47"/>
        <v>243564.79548971614</v>
      </c>
      <c r="AB156" s="3">
        <f>Assumptions!$E$45</f>
        <v>6.9899151946608562E-3</v>
      </c>
      <c r="AC156" s="5">
        <f t="shared" si="48"/>
        <v>246136.44102839526</v>
      </c>
      <c r="AD156" s="5">
        <f>AC156*Assumptions!$E$43</f>
        <v>220.43376610842643</v>
      </c>
      <c r="AE156" s="2">
        <f>AD156*Assumptions!$D$44*-1</f>
        <v>-33.065064916263964</v>
      </c>
      <c r="AF156" s="2">
        <f>AC156*Assumptions!$E$46*-1</f>
        <v>-8.2030442514459576</v>
      </c>
      <c r="AG156" s="22">
        <f t="shared" si="49"/>
        <v>246095.17291922754</v>
      </c>
      <c r="AH156" s="5">
        <f>Model_30y[[#This Row],[Mortgage Payment]]+Model_30y[[#This Row],[Total Upkeep]]+Model_30y[[#This Row],[Monthly Investment]]</f>
        <v>-4209.6072291795008</v>
      </c>
      <c r="AI156" s="5">
        <f>Model_Renter!D156*-1</f>
        <v>4281.8765012185313</v>
      </c>
      <c r="AJ156" s="5">
        <f t="shared" si="50"/>
        <v>72.269272039030511</v>
      </c>
    </row>
    <row r="157" spans="1:36" x14ac:dyDescent="0.25">
      <c r="A157" s="17">
        <f t="shared" si="45"/>
        <v>155</v>
      </c>
      <c r="B157" s="17">
        <f t="shared" si="41"/>
        <v>13</v>
      </c>
      <c r="C157" s="23">
        <f>IFERROR(IPMT(Assumptions!$D$16/12,Model_30y!A157, 360,Assumptions!$D$8), 0)</f>
        <v>-1502.610924901885</v>
      </c>
      <c r="D157" s="2">
        <f>IFERROR(PPMT(Assumptions!$D$16/12, Model_30y!A157, 360, Assumptions!$D$8), 0)</f>
        <v>-695.84670803105291</v>
      </c>
      <c r="E157" s="2">
        <f t="shared" si="35"/>
        <v>-2198.4576329329379</v>
      </c>
      <c r="F157" s="2">
        <f>IF(I156&gt;1, Assumptions!$E$18, 0)*-1</f>
        <v>-2198.4576329329379</v>
      </c>
      <c r="G157" s="24">
        <f t="shared" si="36"/>
        <v>1</v>
      </c>
      <c r="H157" s="20">
        <f t="shared" si="42"/>
        <v>72372.467261265847</v>
      </c>
      <c r="I157" s="2">
        <f>MAX(Assumptions!$D$8-SUM(Model_30y!H157), 0)</f>
        <v>267627.53273873415</v>
      </c>
      <c r="J157" s="2">
        <f>J156*(1+(Assumptions!$E$51))</f>
        <v>798149.1271455792</v>
      </c>
      <c r="K157" s="22">
        <f t="shared" si="37"/>
        <v>530521.59440684505</v>
      </c>
      <c r="L157" s="5">
        <f t="shared" si="43"/>
        <v>157372.46726126582</v>
      </c>
      <c r="M157" s="63">
        <f>L157/Assumptions!$D$6</f>
        <v>0.37028815826180195</v>
      </c>
      <c r="N157" s="24">
        <f t="shared" si="51"/>
        <v>0</v>
      </c>
      <c r="O157" s="5">
        <f>N157*Assumptions!$E$25*-1</f>
        <v>0</v>
      </c>
      <c r="P157" s="20">
        <f>Assumptions!$E$35*J157*-1</f>
        <v>-1644.0565208377893</v>
      </c>
      <c r="Q157" s="5">
        <f>J157*Assumptions!$E$36*-1</f>
        <v>-662.09512189937902</v>
      </c>
      <c r="R157" s="5">
        <f>(R145+(Model_30y!R145*Assumptions!$D$51))</f>
        <v>-583.50365126335691</v>
      </c>
      <c r="S157" s="5">
        <f>S145+(S145*Assumptions!$D$51)</f>
        <v>0</v>
      </c>
      <c r="T157" s="5">
        <f t="shared" si="46"/>
        <v>0</v>
      </c>
      <c r="U157" s="22">
        <f t="shared" si="38"/>
        <v>-2889.6552940005254</v>
      </c>
      <c r="V157" s="5">
        <f>MAX(Assumptions!$E$18:$E$19)-U157</f>
        <v>5731.2883057992221</v>
      </c>
      <c r="W157" s="5">
        <f t="shared" si="39"/>
        <v>-2198.4576329329379</v>
      </c>
      <c r="X157" s="5">
        <f t="shared" si="44"/>
        <v>-2889.6552940005254</v>
      </c>
      <c r="Y157" s="5">
        <f>C157*Assumptions!$D$44*-1</f>
        <v>225.39163873528275</v>
      </c>
      <c r="Z157" s="5">
        <f t="shared" si="40"/>
        <v>868.56701760104158</v>
      </c>
      <c r="AA157" s="5">
        <f t="shared" si="47"/>
        <v>246095.17291922754</v>
      </c>
      <c r="AB157" s="3">
        <f>Assumptions!$E$45</f>
        <v>6.9899151946608562E-3</v>
      </c>
      <c r="AC157" s="5">
        <f t="shared" si="48"/>
        <v>248683.92432534939</v>
      </c>
      <c r="AD157" s="5">
        <f>AC157*Assumptions!$E$43</f>
        <v>222.71522973445298</v>
      </c>
      <c r="AE157" s="2">
        <f>AD157*Assumptions!$D$44*-1</f>
        <v>-33.407284460167944</v>
      </c>
      <c r="AF157" s="2">
        <f>AC157*Assumptions!$E$46*-1</f>
        <v>-8.2879447973684677</v>
      </c>
      <c r="AG157" s="22">
        <f t="shared" si="49"/>
        <v>248642.22909609185</v>
      </c>
      <c r="AH157" s="5">
        <f>Model_30y[[#This Row],[Mortgage Payment]]+Model_30y[[#This Row],[Total Upkeep]]+Model_30y[[#This Row],[Monthly Investment]]</f>
        <v>-4219.5459093324216</v>
      </c>
      <c r="AI157" s="5">
        <f>Model_Renter!D157*-1</f>
        <v>4281.8765012185313</v>
      </c>
      <c r="AJ157" s="5">
        <f t="shared" si="50"/>
        <v>62.330591886109687</v>
      </c>
    </row>
    <row r="158" spans="1:36" x14ac:dyDescent="0.25">
      <c r="A158" s="17">
        <f t="shared" si="45"/>
        <v>156</v>
      </c>
      <c r="B158" s="17">
        <f t="shared" si="41"/>
        <v>13</v>
      </c>
      <c r="C158" s="23">
        <f>IFERROR(IPMT(Assumptions!$D$16/12,Model_30y!A158, 360,Assumptions!$D$8), 0)</f>
        <v>-1498.7141833369112</v>
      </c>
      <c r="D158" s="2">
        <f>IFERROR(PPMT(Assumptions!$D$16/12, Model_30y!A158, 360, Assumptions!$D$8), 0)</f>
        <v>-699.74344959602661</v>
      </c>
      <c r="E158" s="2">
        <f t="shared" si="35"/>
        <v>-2198.4576329329379</v>
      </c>
      <c r="F158" s="2">
        <f>IF(I157&gt;1, Assumptions!$E$18, 0)*-1</f>
        <v>-2198.4576329329379</v>
      </c>
      <c r="G158" s="24">
        <f t="shared" si="36"/>
        <v>1</v>
      </c>
      <c r="H158" s="20">
        <f t="shared" si="42"/>
        <v>73072.21071086188</v>
      </c>
      <c r="I158" s="2">
        <f>MAX(Assumptions!$D$8-SUM(Model_30y!H158), 0)</f>
        <v>266927.78928913811</v>
      </c>
      <c r="J158" s="2">
        <f>J157*(1+(Assumptions!$E$51))</f>
        <v>801400.88548738114</v>
      </c>
      <c r="K158" s="22">
        <f t="shared" si="37"/>
        <v>534473.09619824309</v>
      </c>
      <c r="L158" s="5">
        <f t="shared" si="43"/>
        <v>158072.21071086184</v>
      </c>
      <c r="M158" s="63">
        <f>L158/Assumptions!$D$6</f>
        <v>0.37193461343732198</v>
      </c>
      <c r="N158" s="24">
        <f t="shared" si="51"/>
        <v>0</v>
      </c>
      <c r="O158" s="5">
        <f>N158*Assumptions!$E$25*-1</f>
        <v>0</v>
      </c>
      <c r="P158" s="20">
        <f>Assumptions!$E$35*J158*-1</f>
        <v>-1650.7546106109967</v>
      </c>
      <c r="Q158" s="5">
        <f>J158*Assumptions!$E$36*-1</f>
        <v>-664.79257938254682</v>
      </c>
      <c r="R158" s="5">
        <f>(R146+(Model_30y!R146*Assumptions!$D$51))</f>
        <v>-583.50365126335691</v>
      </c>
      <c r="S158" s="5">
        <f>S146+(S146*Assumptions!$D$51)</f>
        <v>0</v>
      </c>
      <c r="T158" s="5">
        <f t="shared" si="46"/>
        <v>0</v>
      </c>
      <c r="U158" s="22">
        <f t="shared" si="38"/>
        <v>-2899.0508412569006</v>
      </c>
      <c r="V158" s="5">
        <f>MAX(Assumptions!$E$18:$E$19)-U158</f>
        <v>5740.6838530555979</v>
      </c>
      <c r="W158" s="5">
        <f t="shared" si="39"/>
        <v>-2198.4576329329379</v>
      </c>
      <c r="X158" s="5">
        <f t="shared" si="44"/>
        <v>-2899.0508412569006</v>
      </c>
      <c r="Y158" s="5">
        <f>C158*Assumptions!$D$44*-1</f>
        <v>224.80712750053667</v>
      </c>
      <c r="Z158" s="5">
        <f t="shared" si="40"/>
        <v>867.98250636629598</v>
      </c>
      <c r="AA158" s="5">
        <f t="shared" si="47"/>
        <v>248642.22909609185</v>
      </c>
      <c r="AB158" s="3">
        <f>Assumptions!$E$45</f>
        <v>6.9899151946608562E-3</v>
      </c>
      <c r="AC158" s="5">
        <f t="shared" si="48"/>
        <v>251248.19969765126</v>
      </c>
      <c r="AD158" s="5">
        <f>AC158*Assumptions!$E$43</f>
        <v>225.01173193174597</v>
      </c>
      <c r="AE158" s="2">
        <f>AD158*Assumptions!$D$44*-1</f>
        <v>-33.751759789761891</v>
      </c>
      <c r="AF158" s="2">
        <f>AC158*Assumptions!$E$46*-1</f>
        <v>-8.3734049765438812</v>
      </c>
      <c r="AG158" s="22">
        <f t="shared" si="49"/>
        <v>251206.07453288496</v>
      </c>
      <c r="AH158" s="5">
        <f>Model_30y[[#This Row],[Mortgage Payment]]+Model_30y[[#This Row],[Total Upkeep]]+Model_30y[[#This Row],[Monthly Investment]]</f>
        <v>-4229.5259678235434</v>
      </c>
      <c r="AI158" s="5">
        <f>Model_Renter!D158*-1</f>
        <v>4281.8765012185313</v>
      </c>
      <c r="AJ158" s="5">
        <f t="shared" si="50"/>
        <v>52.350533394987906</v>
      </c>
    </row>
    <row r="159" spans="1:36" x14ac:dyDescent="0.25">
      <c r="A159" s="17">
        <f t="shared" si="45"/>
        <v>157</v>
      </c>
      <c r="B159" s="17">
        <f t="shared" si="41"/>
        <v>14</v>
      </c>
      <c r="C159" s="23">
        <f>IFERROR(IPMT(Assumptions!$D$16/12,Model_30y!A159, 360,Assumptions!$D$8), 0)</f>
        <v>-1494.7956200191734</v>
      </c>
      <c r="D159" s="2">
        <f>IFERROR(PPMT(Assumptions!$D$16/12, Model_30y!A159, 360, Assumptions!$D$8), 0)</f>
        <v>-703.66201291376433</v>
      </c>
      <c r="E159" s="2">
        <f t="shared" si="35"/>
        <v>-2198.4576329329375</v>
      </c>
      <c r="F159" s="2">
        <f>IF(I158&gt;1, Assumptions!$E$18, 0)*-1</f>
        <v>-2198.4576329329379</v>
      </c>
      <c r="G159" s="24">
        <f t="shared" si="36"/>
        <v>1</v>
      </c>
      <c r="H159" s="20">
        <f t="shared" si="42"/>
        <v>73775.872723775639</v>
      </c>
      <c r="I159" s="2">
        <f>MAX(Assumptions!$D$8-SUM(Model_30y!H159), 0)</f>
        <v>266224.12727622438</v>
      </c>
      <c r="J159" s="2">
        <f>J158*(1+(Assumptions!$E$51))</f>
        <v>804665.89189518208</v>
      </c>
      <c r="K159" s="22">
        <f t="shared" si="37"/>
        <v>538441.76461895765</v>
      </c>
      <c r="L159" s="5">
        <f t="shared" si="43"/>
        <v>158775.8727237756</v>
      </c>
      <c r="M159" s="63">
        <f>L159/Assumptions!$D$6</f>
        <v>0.37359028876182493</v>
      </c>
      <c r="N159" s="24">
        <f t="shared" si="51"/>
        <v>0</v>
      </c>
      <c r="O159" s="5">
        <f>N159*Assumptions!$E$25*-1</f>
        <v>0</v>
      </c>
      <c r="P159" s="20">
        <f>Assumptions!$E$35*J159*-1</f>
        <v>-1657.4799892310539</v>
      </c>
      <c r="Q159" s="5">
        <f>J159*Assumptions!$E$36*-1</f>
        <v>-667.50102664140218</v>
      </c>
      <c r="R159" s="5">
        <f>(R147+(Model_30y!R147*Assumptions!$D$51))</f>
        <v>-612.67883382652474</v>
      </c>
      <c r="S159" s="5">
        <f>S147+(S147*Assumptions!$D$51)</f>
        <v>0</v>
      </c>
      <c r="T159" s="5">
        <f t="shared" si="46"/>
        <v>0</v>
      </c>
      <c r="U159" s="22">
        <f t="shared" si="38"/>
        <v>-2937.6598496989805</v>
      </c>
      <c r="V159" s="5">
        <f>MAX(Assumptions!$E$18:$E$19)-U159</f>
        <v>5779.2928614976772</v>
      </c>
      <c r="W159" s="5">
        <f t="shared" si="39"/>
        <v>-2198.4576329329379</v>
      </c>
      <c r="X159" s="5">
        <f t="shared" si="44"/>
        <v>-2937.6598496989805</v>
      </c>
      <c r="Y159" s="5">
        <f>C159*Assumptions!$D$44*-1</f>
        <v>224.219343002876</v>
      </c>
      <c r="Z159" s="5">
        <f t="shared" si="40"/>
        <v>867.39472186863486</v>
      </c>
      <c r="AA159" s="5">
        <f t="shared" si="47"/>
        <v>251206.07453288496</v>
      </c>
      <c r="AB159" s="3">
        <f>Assumptions!$E$45</f>
        <v>6.9899151946608562E-3</v>
      </c>
      <c r="AC159" s="5">
        <f t="shared" si="48"/>
        <v>253829.37841212211</v>
      </c>
      <c r="AD159" s="5">
        <f>AC159*Assumptions!$E$43</f>
        <v>227.32337234814443</v>
      </c>
      <c r="AE159" s="2">
        <f>AD159*Assumptions!$D$44*-1</f>
        <v>-34.098505852221663</v>
      </c>
      <c r="AF159" s="2">
        <f>AC159*Assumptions!$E$46*-1</f>
        <v>-8.4594284971864493</v>
      </c>
      <c r="AG159" s="22">
        <f t="shared" si="49"/>
        <v>253786.82047777271</v>
      </c>
      <c r="AH159" s="5">
        <f>Model_30y[[#This Row],[Mortgage Payment]]+Model_30y[[#This Row],[Total Upkeep]]+Model_30y[[#This Row],[Monthly Investment]]</f>
        <v>-4268.7227607632831</v>
      </c>
      <c r="AI159" s="5">
        <f>Model_Renter!D159*-1</f>
        <v>4442.0186823641052</v>
      </c>
      <c r="AJ159" s="5">
        <f t="shared" si="50"/>
        <v>173.29592160082211</v>
      </c>
    </row>
    <row r="160" spans="1:36" x14ac:dyDescent="0.25">
      <c r="A160" s="17">
        <f t="shared" si="45"/>
        <v>158</v>
      </c>
      <c r="B160" s="17">
        <f t="shared" si="41"/>
        <v>14</v>
      </c>
      <c r="C160" s="23">
        <f>IFERROR(IPMT(Assumptions!$D$16/12,Model_30y!A160, 360,Assumptions!$D$8), 0)</f>
        <v>-1490.8551127468561</v>
      </c>
      <c r="D160" s="2">
        <f>IFERROR(PPMT(Assumptions!$D$16/12, Model_30y!A160, 360, Assumptions!$D$8), 0)</f>
        <v>-707.60252018608162</v>
      </c>
      <c r="E160" s="2">
        <f t="shared" si="35"/>
        <v>-2198.4576329329375</v>
      </c>
      <c r="F160" s="2">
        <f>IF(I159&gt;1, Assumptions!$E$18, 0)*-1</f>
        <v>-2198.4576329329379</v>
      </c>
      <c r="G160" s="24">
        <f t="shared" si="36"/>
        <v>1</v>
      </c>
      <c r="H160" s="20">
        <f t="shared" si="42"/>
        <v>74483.475243961715</v>
      </c>
      <c r="I160" s="2">
        <f>MAX(Assumptions!$D$8-SUM(Model_30y!H160), 0)</f>
        <v>265516.52475603827</v>
      </c>
      <c r="J160" s="2">
        <f>J159*(1+(Assumptions!$E$51))</f>
        <v>807944.20034324285</v>
      </c>
      <c r="K160" s="22">
        <f t="shared" si="37"/>
        <v>542427.67558720452</v>
      </c>
      <c r="L160" s="5">
        <f t="shared" si="43"/>
        <v>159483.47524396167</v>
      </c>
      <c r="M160" s="63">
        <f>L160/Assumptions!$D$6</f>
        <v>0.37525523586814513</v>
      </c>
      <c r="N160" s="24">
        <f t="shared" si="51"/>
        <v>0</v>
      </c>
      <c r="O160" s="5">
        <f>N160*Assumptions!$E$25*-1</f>
        <v>0</v>
      </c>
      <c r="P160" s="20">
        <f>Assumptions!$E$35*J160*-1</f>
        <v>-1664.2327678761014</v>
      </c>
      <c r="Q160" s="5">
        <f>J160*Assumptions!$E$36*-1</f>
        <v>-670.22050844965156</v>
      </c>
      <c r="R160" s="5">
        <f>(R148+(Model_30y!R148*Assumptions!$D$51))</f>
        <v>-612.67883382652474</v>
      </c>
      <c r="S160" s="5">
        <f>S148+(S148*Assumptions!$D$51)</f>
        <v>0</v>
      </c>
      <c r="T160" s="5">
        <f t="shared" si="46"/>
        <v>0</v>
      </c>
      <c r="U160" s="22">
        <f t="shared" si="38"/>
        <v>-2947.1321101522776</v>
      </c>
      <c r="V160" s="5">
        <f>MAX(Assumptions!$E$18:$E$19)-U160</f>
        <v>5788.7651219509744</v>
      </c>
      <c r="W160" s="5">
        <f t="shared" si="39"/>
        <v>-2198.4576329329379</v>
      </c>
      <c r="X160" s="5">
        <f t="shared" si="44"/>
        <v>-2947.1321101522776</v>
      </c>
      <c r="Y160" s="5">
        <f>C160*Assumptions!$D$44*-1</f>
        <v>223.62826691202841</v>
      </c>
      <c r="Z160" s="5">
        <f t="shared" si="40"/>
        <v>866.80364577778721</v>
      </c>
      <c r="AA160" s="5">
        <f t="shared" si="47"/>
        <v>253786.82047777271</v>
      </c>
      <c r="AB160" s="3">
        <f>Assumptions!$E$45</f>
        <v>6.9899151946608562E-3</v>
      </c>
      <c r="AC160" s="5">
        <f t="shared" si="48"/>
        <v>256427.57247621275</v>
      </c>
      <c r="AD160" s="5">
        <f>AC160*Assumptions!$E$43</f>
        <v>229.65025129477706</v>
      </c>
      <c r="AE160" s="2">
        <f>AD160*Assumptions!$D$44*-1</f>
        <v>-34.447537694216557</v>
      </c>
      <c r="AF160" s="2">
        <f>AC160*Assumptions!$E$46*-1</f>
        <v>-8.5460190921935535</v>
      </c>
      <c r="AG160" s="22">
        <f t="shared" si="49"/>
        <v>256384.57891942633</v>
      </c>
      <c r="AH160" s="5">
        <f>Model_30y[[#This Row],[Mortgage Payment]]+Model_30y[[#This Row],[Total Upkeep]]+Model_30y[[#This Row],[Monthly Investment]]</f>
        <v>-4278.7860973074285</v>
      </c>
      <c r="AI160" s="5">
        <f>Model_Renter!D160*-1</f>
        <v>4442.0186823641052</v>
      </c>
      <c r="AJ160" s="5">
        <f t="shared" si="50"/>
        <v>163.23258505667673</v>
      </c>
    </row>
    <row r="161" spans="1:36" x14ac:dyDescent="0.25">
      <c r="A161" s="17">
        <f t="shared" si="45"/>
        <v>159</v>
      </c>
      <c r="B161" s="17">
        <f t="shared" si="41"/>
        <v>14</v>
      </c>
      <c r="C161" s="23">
        <f>IFERROR(IPMT(Assumptions!$D$16/12,Model_30y!A161, 360,Assumptions!$D$8), 0)</f>
        <v>-1486.8925386338144</v>
      </c>
      <c r="D161" s="2">
        <f>IFERROR(PPMT(Assumptions!$D$16/12, Model_30y!A161, 360, Assumptions!$D$8), 0)</f>
        <v>-711.56509429912364</v>
      </c>
      <c r="E161" s="2">
        <f t="shared" si="35"/>
        <v>-2198.4576329329379</v>
      </c>
      <c r="F161" s="2">
        <f>IF(I160&gt;1, Assumptions!$E$18, 0)*-1</f>
        <v>-2198.4576329329379</v>
      </c>
      <c r="G161" s="24">
        <f t="shared" si="36"/>
        <v>1</v>
      </c>
      <c r="H161" s="20">
        <f t="shared" si="42"/>
        <v>75195.040338260835</v>
      </c>
      <c r="I161" s="2">
        <f>MAX(Assumptions!$D$8-SUM(Model_30y!H161), 0)</f>
        <v>264804.95966173918</v>
      </c>
      <c r="J161" s="2">
        <f>J160*(1+(Assumptions!$E$51))</f>
        <v>811235.86502572196</v>
      </c>
      <c r="K161" s="22">
        <f t="shared" si="37"/>
        <v>546430.90536398278</v>
      </c>
      <c r="L161" s="5">
        <f t="shared" si="43"/>
        <v>160195.04033826079</v>
      </c>
      <c r="M161" s="63">
        <f>L161/Assumptions!$D$6</f>
        <v>0.3769295066782607</v>
      </c>
      <c r="N161" s="24">
        <f t="shared" si="51"/>
        <v>0</v>
      </c>
      <c r="O161" s="5">
        <f>N161*Assumptions!$E$25*-1</f>
        <v>0</v>
      </c>
      <c r="P161" s="20">
        <f>Assumptions!$E$35*J161*-1</f>
        <v>-1671.0130581772323</v>
      </c>
      <c r="Q161" s="5">
        <f>J161*Assumptions!$E$36*-1</f>
        <v>-672.95106976341515</v>
      </c>
      <c r="R161" s="5">
        <f>(R149+(Model_30y!R149*Assumptions!$D$51))</f>
        <v>-612.67883382652474</v>
      </c>
      <c r="S161" s="5">
        <f>S149+(S149*Assumptions!$D$51)</f>
        <v>0</v>
      </c>
      <c r="T161" s="5">
        <f t="shared" si="46"/>
        <v>0</v>
      </c>
      <c r="U161" s="22">
        <f t="shared" si="38"/>
        <v>-2956.642961767172</v>
      </c>
      <c r="V161" s="5">
        <f>MAX(Assumptions!$E$18:$E$19)-U161</f>
        <v>5798.2759735658692</v>
      </c>
      <c r="W161" s="5">
        <f t="shared" si="39"/>
        <v>-2198.4576329329379</v>
      </c>
      <c r="X161" s="5">
        <f t="shared" si="44"/>
        <v>-2956.642961767172</v>
      </c>
      <c r="Y161" s="5">
        <f>C161*Assumptions!$D$44*-1</f>
        <v>223.03388079507215</v>
      </c>
      <c r="Z161" s="5">
        <f t="shared" si="40"/>
        <v>866.20925966083144</v>
      </c>
      <c r="AA161" s="5">
        <f t="shared" si="47"/>
        <v>256384.57891942633</v>
      </c>
      <c r="AB161" s="3">
        <f>Assumptions!$E$45</f>
        <v>6.9899151946608562E-3</v>
      </c>
      <c r="AC161" s="5">
        <f t="shared" si="48"/>
        <v>259042.89464295277</v>
      </c>
      <c r="AD161" s="5">
        <f>AC161*Assumptions!$E$43</f>
        <v>231.99246975049468</v>
      </c>
      <c r="AE161" s="2">
        <f>AD161*Assumptions!$D$44*-1</f>
        <v>-34.7988704625742</v>
      </c>
      <c r="AF161" s="2">
        <f>AC161*Assumptions!$E$46*-1</f>
        <v>-8.6331805193106419</v>
      </c>
      <c r="AG161" s="22">
        <f t="shared" si="49"/>
        <v>258999.46259197089</v>
      </c>
      <c r="AH161" s="5">
        <f>Model_30y[[#This Row],[Mortgage Payment]]+Model_30y[[#This Row],[Total Upkeep]]+Model_30y[[#This Row],[Monthly Investment]]</f>
        <v>-4288.8913350392786</v>
      </c>
      <c r="AI161" s="5">
        <f>Model_Renter!D161*-1</f>
        <v>4442.0186823641052</v>
      </c>
      <c r="AJ161" s="5">
        <f t="shared" si="50"/>
        <v>153.12734732482659</v>
      </c>
    </row>
    <row r="162" spans="1:36" x14ac:dyDescent="0.25">
      <c r="A162" s="17">
        <f t="shared" si="45"/>
        <v>160</v>
      </c>
      <c r="B162" s="17">
        <f t="shared" si="41"/>
        <v>14</v>
      </c>
      <c r="C162" s="23">
        <f>IFERROR(IPMT(Assumptions!$D$16/12,Model_30y!A162, 360,Assumptions!$D$8), 0)</f>
        <v>-1482.9077741057395</v>
      </c>
      <c r="D162" s="2">
        <f>IFERROR(PPMT(Assumptions!$D$16/12, Model_30y!A162, 360, Assumptions!$D$8), 0)</f>
        <v>-715.5498588271987</v>
      </c>
      <c r="E162" s="2">
        <f t="shared" si="35"/>
        <v>-2198.4576329329384</v>
      </c>
      <c r="F162" s="2">
        <f>IF(I161&gt;1, Assumptions!$E$18, 0)*-1</f>
        <v>-2198.4576329329379</v>
      </c>
      <c r="G162" s="24">
        <f t="shared" si="36"/>
        <v>1</v>
      </c>
      <c r="H162" s="20">
        <f t="shared" si="42"/>
        <v>75910.590197088037</v>
      </c>
      <c r="I162" s="2">
        <f>MAX(Assumptions!$D$8-SUM(Model_30y!H162), 0)</f>
        <v>264089.40980291198</v>
      </c>
      <c r="J162" s="2">
        <f>J161*(1+(Assumptions!$E$51))</f>
        <v>814540.94035757182</v>
      </c>
      <c r="K162" s="22">
        <f t="shared" si="37"/>
        <v>550451.5305546599</v>
      </c>
      <c r="L162" s="5">
        <f t="shared" si="43"/>
        <v>160910.59019708799</v>
      </c>
      <c r="M162" s="63">
        <f>L162/Assumptions!$D$6</f>
        <v>0.37861315340491292</v>
      </c>
      <c r="N162" s="24">
        <f t="shared" si="51"/>
        <v>0</v>
      </c>
      <c r="O162" s="5">
        <f>N162*Assumptions!$E$25*-1</f>
        <v>0</v>
      </c>
      <c r="P162" s="20">
        <f>Assumptions!$E$35*J162*-1</f>
        <v>-1677.8209722203392</v>
      </c>
      <c r="Q162" s="5">
        <f>J162*Assumptions!$E$36*-1</f>
        <v>-675.69275572196989</v>
      </c>
      <c r="R162" s="5">
        <f>(R150+(Model_30y!R150*Assumptions!$D$51))</f>
        <v>-612.67883382652474</v>
      </c>
      <c r="S162" s="5">
        <f>S150+(S150*Assumptions!$D$51)</f>
        <v>0</v>
      </c>
      <c r="T162" s="5">
        <f t="shared" si="46"/>
        <v>0</v>
      </c>
      <c r="U162" s="22">
        <f t="shared" si="38"/>
        <v>-2966.1925617688335</v>
      </c>
      <c r="V162" s="5">
        <f>MAX(Assumptions!$E$18:$E$19)-U162</f>
        <v>5807.8255735675302</v>
      </c>
      <c r="W162" s="5">
        <f t="shared" si="39"/>
        <v>-2198.4576329329379</v>
      </c>
      <c r="X162" s="5">
        <f t="shared" si="44"/>
        <v>-2966.1925617688335</v>
      </c>
      <c r="Y162" s="5">
        <f>C162*Assumptions!$D$44*-1</f>
        <v>222.43616611586091</v>
      </c>
      <c r="Z162" s="5">
        <f t="shared" si="40"/>
        <v>865.61154498161977</v>
      </c>
      <c r="AA162" s="5">
        <f t="shared" si="47"/>
        <v>258999.46259197089</v>
      </c>
      <c r="AB162" s="3">
        <f>Assumptions!$E$45</f>
        <v>6.9899151946608562E-3</v>
      </c>
      <c r="AC162" s="5">
        <f t="shared" si="48"/>
        <v>261675.45841593313</v>
      </c>
      <c r="AD162" s="5">
        <f>AC162*Assumptions!$E$43</f>
        <v>234.3501293663324</v>
      </c>
      <c r="AE162" s="2">
        <f>AD162*Assumptions!$D$44*-1</f>
        <v>-35.152519404949857</v>
      </c>
      <c r="AF162" s="2">
        <f>AC162*Assumptions!$E$46*-1</f>
        <v>-8.7209165612972903</v>
      </c>
      <c r="AG162" s="22">
        <f t="shared" si="49"/>
        <v>261631.58497996689</v>
      </c>
      <c r="AH162" s="5">
        <f>Model_30y[[#This Row],[Mortgage Payment]]+Model_30y[[#This Row],[Total Upkeep]]+Model_30y[[#This Row],[Monthly Investment]]</f>
        <v>-4299.0386497201516</v>
      </c>
      <c r="AI162" s="5">
        <f>Model_Renter!D162*-1</f>
        <v>4442.0186823641052</v>
      </c>
      <c r="AJ162" s="5">
        <f t="shared" si="50"/>
        <v>142.98003264395356</v>
      </c>
    </row>
    <row r="163" spans="1:36" x14ac:dyDescent="0.25">
      <c r="A163" s="17">
        <f t="shared" si="45"/>
        <v>161</v>
      </c>
      <c r="B163" s="17">
        <f t="shared" si="41"/>
        <v>14</v>
      </c>
      <c r="C163" s="23">
        <f>IFERROR(IPMT(Assumptions!$D$16/12,Model_30y!A163, 360,Assumptions!$D$8), 0)</f>
        <v>-1478.9006948963067</v>
      </c>
      <c r="D163" s="2">
        <f>IFERROR(PPMT(Assumptions!$D$16/12, Model_30y!A163, 360, Assumptions!$D$8), 0)</f>
        <v>-719.55693803663098</v>
      </c>
      <c r="E163" s="2">
        <f t="shared" si="35"/>
        <v>-2198.4576329329375</v>
      </c>
      <c r="F163" s="2">
        <f>IF(I162&gt;1, Assumptions!$E$18, 0)*-1</f>
        <v>-2198.4576329329379</v>
      </c>
      <c r="G163" s="24">
        <f t="shared" si="36"/>
        <v>1</v>
      </c>
      <c r="H163" s="20">
        <f t="shared" si="42"/>
        <v>76630.147135124673</v>
      </c>
      <c r="I163" s="2">
        <f>MAX(Assumptions!$D$8-SUM(Model_30y!H163), 0)</f>
        <v>263369.85286487534</v>
      </c>
      <c r="J163" s="2">
        <f>J162*(1+(Assumptions!$E$51))</f>
        <v>817859.48097543791</v>
      </c>
      <c r="K163" s="22">
        <f t="shared" si="37"/>
        <v>554489.62811056257</v>
      </c>
      <c r="L163" s="5">
        <f t="shared" si="43"/>
        <v>161630.14713512463</v>
      </c>
      <c r="M163" s="63">
        <f>L163/Assumptions!$D$6</f>
        <v>0.38030622855323443</v>
      </c>
      <c r="N163" s="24">
        <f t="shared" si="51"/>
        <v>0</v>
      </c>
      <c r="O163" s="5">
        <f>N163*Assumptions!$E$25*-1</f>
        <v>0</v>
      </c>
      <c r="P163" s="20">
        <f>Assumptions!$E$35*J163*-1</f>
        <v>-1684.656622547966</v>
      </c>
      <c r="Q163" s="5">
        <f>J163*Assumptions!$E$36*-1</f>
        <v>-678.44561164849563</v>
      </c>
      <c r="R163" s="5">
        <f>(R151+(Model_30y!R151*Assumptions!$D$51))</f>
        <v>-612.67883382652474</v>
      </c>
      <c r="S163" s="5">
        <f>S151+(S151*Assumptions!$D$51)</f>
        <v>0</v>
      </c>
      <c r="T163" s="5">
        <f t="shared" si="46"/>
        <v>0</v>
      </c>
      <c r="U163" s="22">
        <f t="shared" si="38"/>
        <v>-2975.7810680229863</v>
      </c>
      <c r="V163" s="5">
        <f>MAX(Assumptions!$E$18:$E$19)-U163</f>
        <v>5817.4140798216831</v>
      </c>
      <c r="W163" s="5">
        <f t="shared" si="39"/>
        <v>-2198.4576329329379</v>
      </c>
      <c r="X163" s="5">
        <f t="shared" si="44"/>
        <v>-2975.7810680229863</v>
      </c>
      <c r="Y163" s="5">
        <f>C163*Assumptions!$D$44*-1</f>
        <v>221.83510423444599</v>
      </c>
      <c r="Z163" s="5">
        <f t="shared" si="40"/>
        <v>865.01048310020485</v>
      </c>
      <c r="AA163" s="5">
        <f t="shared" si="47"/>
        <v>261631.58497996689</v>
      </c>
      <c r="AB163" s="3">
        <f>Assumptions!$E$45</f>
        <v>6.9899151946608562E-3</v>
      </c>
      <c r="AC163" s="5">
        <f t="shared" si="48"/>
        <v>264325.3780543218</v>
      </c>
      <c r="AD163" s="5">
        <f>AC163*Assumptions!$E$43</f>
        <v>236.72333247000165</v>
      </c>
      <c r="AE163" s="2">
        <f>AD163*Assumptions!$D$44*-1</f>
        <v>-35.508499870500245</v>
      </c>
      <c r="AF163" s="2">
        <f>AC163*Assumptions!$E$46*-1</f>
        <v>-8.8092310260943592</v>
      </c>
      <c r="AG163" s="22">
        <f t="shared" si="49"/>
        <v>264281.06032342522</v>
      </c>
      <c r="AH163" s="5">
        <f>Model_30y[[#This Row],[Mortgage Payment]]+Model_30y[[#This Row],[Total Upkeep]]+Model_30y[[#This Row],[Monthly Investment]]</f>
        <v>-4309.2282178557198</v>
      </c>
      <c r="AI163" s="5">
        <f>Model_Renter!D163*-1</f>
        <v>4442.0186823641052</v>
      </c>
      <c r="AJ163" s="5">
        <f t="shared" si="50"/>
        <v>132.79046450838541</v>
      </c>
    </row>
    <row r="164" spans="1:36" x14ac:dyDescent="0.25">
      <c r="A164" s="17">
        <f t="shared" si="45"/>
        <v>162</v>
      </c>
      <c r="B164" s="17">
        <f t="shared" si="41"/>
        <v>14</v>
      </c>
      <c r="C164" s="23">
        <f>IFERROR(IPMT(Assumptions!$D$16/12,Model_30y!A164, 360,Assumptions!$D$8), 0)</f>
        <v>-1474.8711760433016</v>
      </c>
      <c r="D164" s="2">
        <f>IFERROR(PPMT(Assumptions!$D$16/12, Model_30y!A164, 360, Assumptions!$D$8), 0)</f>
        <v>-723.58645688963622</v>
      </c>
      <c r="E164" s="2">
        <f t="shared" si="35"/>
        <v>-2198.4576329329379</v>
      </c>
      <c r="F164" s="2">
        <f>IF(I163&gt;1, Assumptions!$E$18, 0)*-1</f>
        <v>-2198.4576329329379</v>
      </c>
      <c r="G164" s="24">
        <f t="shared" si="36"/>
        <v>1</v>
      </c>
      <c r="H164" s="20">
        <f t="shared" si="42"/>
        <v>77353.733592014309</v>
      </c>
      <c r="I164" s="2">
        <f>MAX(Assumptions!$D$8-SUM(Model_30y!H164), 0)</f>
        <v>262646.26640798571</v>
      </c>
      <c r="J164" s="2">
        <f>J163*(1+(Assumptions!$E$51))</f>
        <v>821191.54173856229</v>
      </c>
      <c r="K164" s="22">
        <f t="shared" si="37"/>
        <v>558545.27533057658</v>
      </c>
      <c r="L164" s="5">
        <f t="shared" si="43"/>
        <v>162353.73359201427</v>
      </c>
      <c r="M164" s="63">
        <f>L164/Assumptions!$D$6</f>
        <v>0.38200878492238649</v>
      </c>
      <c r="N164" s="24">
        <f t="shared" si="51"/>
        <v>0</v>
      </c>
      <c r="O164" s="5">
        <f>N164*Assumptions!$E$25*-1</f>
        <v>0</v>
      </c>
      <c r="P164" s="20">
        <f>Assumptions!$E$35*J164*-1</f>
        <v>-1691.5201221611696</v>
      </c>
      <c r="Q164" s="5">
        <f>J164*Assumptions!$E$36*-1</f>
        <v>-681.20968305082476</v>
      </c>
      <c r="R164" s="5">
        <f>(R152+(Model_30y!R152*Assumptions!$D$51))</f>
        <v>-612.67883382652474</v>
      </c>
      <c r="S164" s="5">
        <f>S152+(S152*Assumptions!$D$51)</f>
        <v>0</v>
      </c>
      <c r="T164" s="5">
        <f t="shared" si="46"/>
        <v>0</v>
      </c>
      <c r="U164" s="22">
        <f t="shared" si="38"/>
        <v>-2985.4086390385191</v>
      </c>
      <c r="V164" s="5">
        <f>MAX(Assumptions!$E$18:$E$19)-U164</f>
        <v>5827.0416508372164</v>
      </c>
      <c r="W164" s="5">
        <f t="shared" si="39"/>
        <v>-2198.4576329329379</v>
      </c>
      <c r="X164" s="5">
        <f t="shared" si="44"/>
        <v>-2985.4086390385191</v>
      </c>
      <c r="Y164" s="5">
        <f>C164*Assumptions!$D$44*-1</f>
        <v>221.23067640649523</v>
      </c>
      <c r="Z164" s="5">
        <f t="shared" si="40"/>
        <v>864.40605527225455</v>
      </c>
      <c r="AA164" s="5">
        <f t="shared" si="47"/>
        <v>264281.06032342522</v>
      </c>
      <c r="AB164" s="3">
        <f>Assumptions!$E$45</f>
        <v>6.9899151946608562E-3</v>
      </c>
      <c r="AC164" s="5">
        <f t="shared" si="48"/>
        <v>266992.76857791329</v>
      </c>
      <c r="AD164" s="5">
        <f>AC164*Assumptions!$E$43</f>
        <v>239.11218207041236</v>
      </c>
      <c r="AE164" s="2">
        <f>AD164*Assumptions!$D$44*-1</f>
        <v>-35.866827310561852</v>
      </c>
      <c r="AF164" s="2">
        <f>AC164*Assumptions!$E$46*-1</f>
        <v>-8.8981277469922784</v>
      </c>
      <c r="AG164" s="22">
        <f t="shared" si="49"/>
        <v>266948.00362285576</v>
      </c>
      <c r="AH164" s="5">
        <f>Model_30y[[#This Row],[Mortgage Payment]]+Model_30y[[#This Row],[Total Upkeep]]+Model_30y[[#This Row],[Monthly Investment]]</f>
        <v>-4319.4602166992026</v>
      </c>
      <c r="AI164" s="5">
        <f>Model_Renter!D164*-1</f>
        <v>4442.0186823641052</v>
      </c>
      <c r="AJ164" s="5">
        <f t="shared" si="50"/>
        <v>122.55846566490254</v>
      </c>
    </row>
    <row r="165" spans="1:36" x14ac:dyDescent="0.25">
      <c r="A165" s="17">
        <f t="shared" si="45"/>
        <v>163</v>
      </c>
      <c r="B165" s="17">
        <f t="shared" si="41"/>
        <v>14</v>
      </c>
      <c r="C165" s="23">
        <f>IFERROR(IPMT(Assumptions!$D$16/12,Model_30y!A165, 360,Assumptions!$D$8), 0)</f>
        <v>-1470.8190918847199</v>
      </c>
      <c r="D165" s="2">
        <f>IFERROR(PPMT(Assumptions!$D$16/12, Model_30y!A165, 360, Assumptions!$D$8), 0)</f>
        <v>-727.63854104821803</v>
      </c>
      <c r="E165" s="2">
        <f t="shared" si="35"/>
        <v>-2198.4576329329379</v>
      </c>
      <c r="F165" s="2">
        <f>IF(I164&gt;1, Assumptions!$E$18, 0)*-1</f>
        <v>-2198.4576329329379</v>
      </c>
      <c r="G165" s="24">
        <f t="shared" si="36"/>
        <v>1</v>
      </c>
      <c r="H165" s="20">
        <f t="shared" si="42"/>
        <v>78081.372133062527</v>
      </c>
      <c r="I165" s="2">
        <f>MAX(Assumptions!$D$8-SUM(Model_30y!H165), 0)</f>
        <v>261918.62786693749</v>
      </c>
      <c r="J165" s="2">
        <f>J164*(1+(Assumptions!$E$51))</f>
        <v>824537.17772969021</v>
      </c>
      <c r="K165" s="22">
        <f t="shared" si="37"/>
        <v>562618.54986275267</v>
      </c>
      <c r="L165" s="5">
        <f t="shared" si="43"/>
        <v>163081.37213306248</v>
      </c>
      <c r="M165" s="63">
        <f>L165/Assumptions!$D$6</f>
        <v>0.38372087560720586</v>
      </c>
      <c r="N165" s="24">
        <f t="shared" si="51"/>
        <v>0</v>
      </c>
      <c r="O165" s="5">
        <f>N165*Assumptions!$E$25*-1</f>
        <v>0</v>
      </c>
      <c r="P165" s="20">
        <f>Assumptions!$E$35*J165*-1</f>
        <v>-1698.4115845213862</v>
      </c>
      <c r="Q165" s="5">
        <f>J165*Assumptions!$E$36*-1</f>
        <v>-683.9850156221936</v>
      </c>
      <c r="R165" s="5">
        <f>(R153+(Model_30y!R153*Assumptions!$D$51))</f>
        <v>-612.67883382652474</v>
      </c>
      <c r="S165" s="5">
        <f>S153+(S153*Assumptions!$D$51)</f>
        <v>0</v>
      </c>
      <c r="T165" s="5">
        <f t="shared" si="46"/>
        <v>0</v>
      </c>
      <c r="U165" s="22">
        <f t="shared" si="38"/>
        <v>-2995.0754339701043</v>
      </c>
      <c r="V165" s="5">
        <f>MAX(Assumptions!$E$18:$E$19)-U165</f>
        <v>5836.7084457688015</v>
      </c>
      <c r="W165" s="5">
        <f t="shared" si="39"/>
        <v>-2198.4576329329379</v>
      </c>
      <c r="X165" s="5">
        <f t="shared" si="44"/>
        <v>-2995.0754339701043</v>
      </c>
      <c r="Y165" s="5">
        <f>C165*Assumptions!$D$44*-1</f>
        <v>220.62286378270798</v>
      </c>
      <c r="Z165" s="5">
        <f t="shared" si="40"/>
        <v>863.79824264846729</v>
      </c>
      <c r="AA165" s="5">
        <f t="shared" si="47"/>
        <v>266948.00362285576</v>
      </c>
      <c r="AB165" s="3">
        <f>Assumptions!$E$45</f>
        <v>6.9899151946608562E-3</v>
      </c>
      <c r="AC165" s="5">
        <f t="shared" si="48"/>
        <v>269677.74577221205</v>
      </c>
      <c r="AD165" s="5">
        <f>AC165*Assumptions!$E$43</f>
        <v>241.51678186222554</v>
      </c>
      <c r="AE165" s="2">
        <f>AD165*Assumptions!$D$44*-1</f>
        <v>-36.227517279333831</v>
      </c>
      <c r="AF165" s="2">
        <f>AC165*Assumptions!$E$46*-1</f>
        <v>-8.9876105828004675</v>
      </c>
      <c r="AG165" s="22">
        <f t="shared" si="49"/>
        <v>269632.53064434993</v>
      </c>
      <c r="AH165" s="5">
        <f>Model_30y[[#This Row],[Mortgage Payment]]+Model_30y[[#This Row],[Total Upkeep]]+Model_30y[[#This Row],[Monthly Investment]]</f>
        <v>-4329.7348242545759</v>
      </c>
      <c r="AI165" s="5">
        <f>Model_Renter!D165*-1</f>
        <v>4442.0186823641052</v>
      </c>
      <c r="AJ165" s="5">
        <f t="shared" si="50"/>
        <v>112.28385810952932</v>
      </c>
    </row>
    <row r="166" spans="1:36" x14ac:dyDescent="0.25">
      <c r="A166" s="17">
        <f t="shared" si="45"/>
        <v>164</v>
      </c>
      <c r="B166" s="17">
        <f t="shared" si="41"/>
        <v>14</v>
      </c>
      <c r="C166" s="23">
        <f>IFERROR(IPMT(Assumptions!$D$16/12,Model_30y!A166, 360,Assumptions!$D$8), 0)</f>
        <v>-1466.7443160548498</v>
      </c>
      <c r="D166" s="2">
        <f>IFERROR(PPMT(Assumptions!$D$16/12, Model_30y!A166, 360, Assumptions!$D$8), 0)</f>
        <v>-731.71331687808811</v>
      </c>
      <c r="E166" s="2">
        <f t="shared" si="35"/>
        <v>-2198.4576329329379</v>
      </c>
      <c r="F166" s="2">
        <f>IF(I165&gt;1, Assumptions!$E$18, 0)*-1</f>
        <v>-2198.4576329329379</v>
      </c>
      <c r="G166" s="24">
        <f t="shared" si="36"/>
        <v>1</v>
      </c>
      <c r="H166" s="20">
        <f t="shared" si="42"/>
        <v>78813.085449940612</v>
      </c>
      <c r="I166" s="2">
        <f>MAX(Assumptions!$D$8-SUM(Model_30y!H166), 0)</f>
        <v>261186.91455005939</v>
      </c>
      <c r="J166" s="2">
        <f>J165*(1+(Assumptions!$E$51))</f>
        <v>827896.44425598101</v>
      </c>
      <c r="K166" s="22">
        <f t="shared" si="37"/>
        <v>566709.52970592165</v>
      </c>
      <c r="L166" s="5">
        <f t="shared" si="43"/>
        <v>163813.08544994058</v>
      </c>
      <c r="M166" s="63">
        <f>L166/Assumptions!$D$6</f>
        <v>0.38544255399986022</v>
      </c>
      <c r="N166" s="24">
        <f t="shared" si="51"/>
        <v>0</v>
      </c>
      <c r="O166" s="5">
        <f>N166*Assumptions!$E$25*-1</f>
        <v>0</v>
      </c>
      <c r="P166" s="20">
        <f>Assumptions!$E$35*J166*-1</f>
        <v>-1705.3311235523086</v>
      </c>
      <c r="Q166" s="5">
        <f>J166*Assumptions!$E$36*-1</f>
        <v>-686.77165524199904</v>
      </c>
      <c r="R166" s="5">
        <f>(R154+(Model_30y!R154*Assumptions!$D$51))</f>
        <v>-612.67883382652474</v>
      </c>
      <c r="S166" s="5">
        <f>S154+(S154*Assumptions!$D$51)</f>
        <v>0</v>
      </c>
      <c r="T166" s="5">
        <f t="shared" si="46"/>
        <v>0</v>
      </c>
      <c r="U166" s="22">
        <f t="shared" si="38"/>
        <v>-3004.7816126208322</v>
      </c>
      <c r="V166" s="5">
        <f>MAX(Assumptions!$E$18:$E$19)-U166</f>
        <v>5846.414624419529</v>
      </c>
      <c r="W166" s="5">
        <f t="shared" si="39"/>
        <v>-2198.4576329329379</v>
      </c>
      <c r="X166" s="5">
        <f t="shared" si="44"/>
        <v>-3004.7816126208322</v>
      </c>
      <c r="Y166" s="5">
        <f>C166*Assumptions!$D$44*-1</f>
        <v>220.01164740822747</v>
      </c>
      <c r="Z166" s="5">
        <f t="shared" si="40"/>
        <v>863.18702627398625</v>
      </c>
      <c r="AA166" s="5">
        <f t="shared" si="47"/>
        <v>269632.53064434993</v>
      </c>
      <c r="AB166" s="3">
        <f>Assumptions!$E$45</f>
        <v>6.9899151946608562E-3</v>
      </c>
      <c r="AC166" s="5">
        <f t="shared" si="48"/>
        <v>272380.42619354971</v>
      </c>
      <c r="AD166" s="5">
        <f>AC166*Assumptions!$E$43</f>
        <v>243.93723623043604</v>
      </c>
      <c r="AE166" s="2">
        <f>AD166*Assumptions!$D$44*-1</f>
        <v>-36.590585434565405</v>
      </c>
      <c r="AF166" s="2">
        <f>AC166*Assumptions!$E$46*-1</f>
        <v>-9.0776834180178732</v>
      </c>
      <c r="AG166" s="22">
        <f t="shared" si="49"/>
        <v>272334.75792469713</v>
      </c>
      <c r="AH166" s="5">
        <f>Model_30y[[#This Row],[Mortgage Payment]]+Model_30y[[#This Row],[Total Upkeep]]+Model_30y[[#This Row],[Monthly Investment]]</f>
        <v>-4340.0522192797835</v>
      </c>
      <c r="AI166" s="5">
        <f>Model_Renter!D166*-1</f>
        <v>4442.0186823641052</v>
      </c>
      <c r="AJ166" s="5">
        <f t="shared" si="50"/>
        <v>101.96646308432173</v>
      </c>
    </row>
    <row r="167" spans="1:36" x14ac:dyDescent="0.25">
      <c r="A167" s="17">
        <f t="shared" si="45"/>
        <v>165</v>
      </c>
      <c r="B167" s="17">
        <f t="shared" si="41"/>
        <v>14</v>
      </c>
      <c r="C167" s="23">
        <f>IFERROR(IPMT(Assumptions!$D$16/12,Model_30y!A167, 360,Assumptions!$D$8), 0)</f>
        <v>-1462.6467214803326</v>
      </c>
      <c r="D167" s="2">
        <f>IFERROR(PPMT(Assumptions!$D$16/12, Model_30y!A167, 360, Assumptions!$D$8), 0)</f>
        <v>-735.81091145260541</v>
      </c>
      <c r="E167" s="2">
        <f t="shared" si="35"/>
        <v>-2198.4576329329379</v>
      </c>
      <c r="F167" s="2">
        <f>IF(I166&gt;1, Assumptions!$E$18, 0)*-1</f>
        <v>-2198.4576329329379</v>
      </c>
      <c r="G167" s="24">
        <f t="shared" si="36"/>
        <v>1</v>
      </c>
      <c r="H167" s="20">
        <f t="shared" si="42"/>
        <v>79548.896361393214</v>
      </c>
      <c r="I167" s="2">
        <f>MAX(Assumptions!$D$8-SUM(Model_30y!H167), 0)</f>
        <v>260451.10363860679</v>
      </c>
      <c r="J167" s="2">
        <f>J166*(1+(Assumptions!$E$51))</f>
        <v>831269.39684992225</v>
      </c>
      <c r="K167" s="22">
        <f t="shared" si="37"/>
        <v>570818.29321131553</v>
      </c>
      <c r="L167" s="5">
        <f t="shared" si="43"/>
        <v>164548.89636139318</v>
      </c>
      <c r="M167" s="63">
        <f>L167/Assumptions!$D$6</f>
        <v>0.38717387379151336</v>
      </c>
      <c r="N167" s="24">
        <f t="shared" si="51"/>
        <v>0</v>
      </c>
      <c r="O167" s="5">
        <f>N167*Assumptions!$E$25*-1</f>
        <v>0</v>
      </c>
      <c r="P167" s="20">
        <f>Assumptions!$E$35*J167*-1</f>
        <v>-1712.2788536417688</v>
      </c>
      <c r="Q167" s="5">
        <f>J167*Assumptions!$E$36*-1</f>
        <v>-689.5696479765561</v>
      </c>
      <c r="R167" s="5">
        <f>(R155+(Model_30y!R155*Assumptions!$D$51))</f>
        <v>-612.67883382652474</v>
      </c>
      <c r="S167" s="5">
        <f>S155+(S155*Assumptions!$D$51)</f>
        <v>0</v>
      </c>
      <c r="T167" s="5">
        <f t="shared" si="46"/>
        <v>0</v>
      </c>
      <c r="U167" s="22">
        <f t="shared" si="38"/>
        <v>-3014.5273354448495</v>
      </c>
      <c r="V167" s="5">
        <f>MAX(Assumptions!$E$18:$E$19)-U167</f>
        <v>5856.1603472435463</v>
      </c>
      <c r="W167" s="5">
        <f t="shared" si="39"/>
        <v>-2198.4576329329379</v>
      </c>
      <c r="X167" s="5">
        <f t="shared" si="44"/>
        <v>-3014.5273354448495</v>
      </c>
      <c r="Y167" s="5">
        <f>C167*Assumptions!$D$44*-1</f>
        <v>219.39700822204989</v>
      </c>
      <c r="Z167" s="5">
        <f t="shared" si="40"/>
        <v>862.57238708780869</v>
      </c>
      <c r="AA167" s="5">
        <f t="shared" si="47"/>
        <v>272334.75792469713</v>
      </c>
      <c r="AB167" s="3">
        <f>Assumptions!$E$45</f>
        <v>6.9899151946608562E-3</v>
      </c>
      <c r="AC167" s="5">
        <f t="shared" si="48"/>
        <v>275100.92717423703</v>
      </c>
      <c r="AD167" s="5">
        <f>AC167*Assumptions!$E$43</f>
        <v>246.37365025498673</v>
      </c>
      <c r="AE167" s="2">
        <f>AD167*Assumptions!$D$44*-1</f>
        <v>-36.956047538248008</v>
      </c>
      <c r="AF167" s="2">
        <f>AC167*Assumptions!$E$46*-1</f>
        <v>-9.1683501630046749</v>
      </c>
      <c r="AG167" s="22">
        <f t="shared" si="49"/>
        <v>275054.8027765358</v>
      </c>
      <c r="AH167" s="5">
        <f>Model_30y[[#This Row],[Mortgage Payment]]+Model_30y[[#This Row],[Total Upkeep]]+Model_30y[[#This Row],[Monthly Investment]]</f>
        <v>-4350.4125812899783</v>
      </c>
      <c r="AI167" s="5">
        <f>Model_Renter!D167*-1</f>
        <v>4442.0186823641052</v>
      </c>
      <c r="AJ167" s="5">
        <f t="shared" si="50"/>
        <v>91.606101074126855</v>
      </c>
    </row>
    <row r="168" spans="1:36" x14ac:dyDescent="0.25">
      <c r="A168" s="17">
        <f t="shared" si="45"/>
        <v>166</v>
      </c>
      <c r="B168" s="17">
        <f t="shared" si="41"/>
        <v>14</v>
      </c>
      <c r="C168" s="23">
        <f>IFERROR(IPMT(Assumptions!$D$16/12,Model_30y!A168, 360,Assumptions!$D$8), 0)</f>
        <v>-1458.526180376198</v>
      </c>
      <c r="D168" s="2">
        <f>IFERROR(PPMT(Assumptions!$D$16/12, Model_30y!A168, 360, Assumptions!$D$8), 0)</f>
        <v>-739.93145255673994</v>
      </c>
      <c r="E168" s="2">
        <f t="shared" si="35"/>
        <v>-2198.4576329329379</v>
      </c>
      <c r="F168" s="2">
        <f>IF(I167&gt;1, Assumptions!$E$18, 0)*-1</f>
        <v>-2198.4576329329379</v>
      </c>
      <c r="G168" s="24">
        <f t="shared" si="36"/>
        <v>1</v>
      </c>
      <c r="H168" s="20">
        <f t="shared" si="42"/>
        <v>80288.82781394996</v>
      </c>
      <c r="I168" s="2">
        <f>MAX(Assumptions!$D$8-SUM(Model_30y!H168), 0)</f>
        <v>259711.17218605004</v>
      </c>
      <c r="J168" s="2">
        <f>J167*(1+(Assumptions!$E$51))</f>
        <v>834656.09127024759</v>
      </c>
      <c r="K168" s="22">
        <f t="shared" si="37"/>
        <v>574944.91908419761</v>
      </c>
      <c r="L168" s="5">
        <f t="shared" si="43"/>
        <v>165288.82781394993</v>
      </c>
      <c r="M168" s="63">
        <f>L168/Assumptions!$D$6</f>
        <v>0.38891488897399984</v>
      </c>
      <c r="N168" s="24">
        <f t="shared" si="51"/>
        <v>0</v>
      </c>
      <c r="O168" s="5">
        <f>N168*Assumptions!$E$25*-1</f>
        <v>0</v>
      </c>
      <c r="P168" s="20">
        <f>Assumptions!$E$35*J168*-1</f>
        <v>-1719.254889643629</v>
      </c>
      <c r="Q168" s="5">
        <f>J168*Assumptions!$E$36*-1</f>
        <v>-692.37904007985946</v>
      </c>
      <c r="R168" s="5">
        <f>(R156+(Model_30y!R156*Assumptions!$D$51))</f>
        <v>-612.67883382652474</v>
      </c>
      <c r="S168" s="5">
        <f>S156+(S156*Assumptions!$D$51)</f>
        <v>0</v>
      </c>
      <c r="T168" s="5">
        <f t="shared" si="46"/>
        <v>0</v>
      </c>
      <c r="U168" s="22">
        <f t="shared" si="38"/>
        <v>-3024.3127635500132</v>
      </c>
      <c r="V168" s="5">
        <f>MAX(Assumptions!$E$18:$E$19)-U168</f>
        <v>5865.9457753487095</v>
      </c>
      <c r="W168" s="5">
        <f t="shared" si="39"/>
        <v>-2198.4576329329379</v>
      </c>
      <c r="X168" s="5">
        <f t="shared" si="44"/>
        <v>-3024.3127635500132</v>
      </c>
      <c r="Y168" s="5">
        <f>C168*Assumptions!$D$44*-1</f>
        <v>218.77892705642969</v>
      </c>
      <c r="Z168" s="5">
        <f t="shared" si="40"/>
        <v>861.95430592218804</v>
      </c>
      <c r="AA168" s="5">
        <f t="shared" si="47"/>
        <v>275054.8027765358</v>
      </c>
      <c r="AB168" s="3">
        <f>Assumptions!$E$45</f>
        <v>6.9899151946608562E-3</v>
      </c>
      <c r="AC168" s="5">
        <f t="shared" si="48"/>
        <v>277839.36682775017</v>
      </c>
      <c r="AD168" s="5">
        <f>AC168*Assumptions!$E$43</f>
        <v>248.82612971541297</v>
      </c>
      <c r="AE168" s="2">
        <f>AD168*Assumptions!$D$44*-1</f>
        <v>-37.323919457311945</v>
      </c>
      <c r="AF168" s="2">
        <f>AC168*Assumptions!$E$46*-1</f>
        <v>-9.2596147541551215</v>
      </c>
      <c r="AG168" s="22">
        <f t="shared" si="49"/>
        <v>277792.78329353873</v>
      </c>
      <c r="AH168" s="5">
        <f>Model_30y[[#This Row],[Mortgage Payment]]+Model_30y[[#This Row],[Total Upkeep]]+Model_30y[[#This Row],[Monthly Investment]]</f>
        <v>-4360.8160905607629</v>
      </c>
      <c r="AI168" s="5">
        <f>Model_Renter!D168*-1</f>
        <v>4442.0186823641052</v>
      </c>
      <c r="AJ168" s="5">
        <f t="shared" si="50"/>
        <v>81.20259180334233</v>
      </c>
    </row>
    <row r="169" spans="1:36" x14ac:dyDescent="0.25">
      <c r="A169" s="17">
        <f t="shared" si="45"/>
        <v>167</v>
      </c>
      <c r="B169" s="17">
        <f t="shared" si="41"/>
        <v>14</v>
      </c>
      <c r="C169" s="23">
        <f>IFERROR(IPMT(Assumptions!$D$16/12,Model_30y!A169, 360,Assumptions!$D$8), 0)</f>
        <v>-1454.3825642418801</v>
      </c>
      <c r="D169" s="2">
        <f>IFERROR(PPMT(Assumptions!$D$16/12, Model_30y!A169, 360, Assumptions!$D$8), 0)</f>
        <v>-744.07506869105771</v>
      </c>
      <c r="E169" s="2">
        <f t="shared" si="35"/>
        <v>-2198.4576329329379</v>
      </c>
      <c r="F169" s="2">
        <f>IF(I168&gt;1, Assumptions!$E$18, 0)*-1</f>
        <v>-2198.4576329329379</v>
      </c>
      <c r="G169" s="24">
        <f t="shared" si="36"/>
        <v>1</v>
      </c>
      <c r="H169" s="20">
        <f t="shared" si="42"/>
        <v>81032.902882641021</v>
      </c>
      <c r="I169" s="2">
        <f>MAX(Assumptions!$D$8-SUM(Model_30y!H169), 0)</f>
        <v>258967.09711735899</v>
      </c>
      <c r="J169" s="2">
        <f>J168*(1+(Assumptions!$E$51))</f>
        <v>838056.58350285864</v>
      </c>
      <c r="K169" s="22">
        <f t="shared" si="37"/>
        <v>579089.48638549959</v>
      </c>
      <c r="L169" s="5">
        <f t="shared" si="43"/>
        <v>166032.90288264098</v>
      </c>
      <c r="M169" s="63">
        <f>L169/Assumptions!$D$6</f>
        <v>0.3906656538415082</v>
      </c>
      <c r="N169" s="24">
        <f t="shared" si="51"/>
        <v>0</v>
      </c>
      <c r="O169" s="5">
        <f>N169*Assumptions!$E$25*-1</f>
        <v>0</v>
      </c>
      <c r="P169" s="20">
        <f>Assumptions!$E$35*J169*-1</f>
        <v>-1726.2593468796797</v>
      </c>
      <c r="Q169" s="5">
        <f>J169*Assumptions!$E$36*-1</f>
        <v>-695.19987799434841</v>
      </c>
      <c r="R169" s="5">
        <f>(R157+(Model_30y!R157*Assumptions!$D$51))</f>
        <v>-612.67883382652474</v>
      </c>
      <c r="S169" s="5">
        <f>S157+(S157*Assumptions!$D$51)</f>
        <v>0</v>
      </c>
      <c r="T169" s="5">
        <f t="shared" si="46"/>
        <v>0</v>
      </c>
      <c r="U169" s="22">
        <f t="shared" si="38"/>
        <v>-3034.1380587005528</v>
      </c>
      <c r="V169" s="5">
        <f>MAX(Assumptions!$E$18:$E$19)-U169</f>
        <v>5875.7710704992496</v>
      </c>
      <c r="W169" s="5">
        <f t="shared" si="39"/>
        <v>-2198.4576329329379</v>
      </c>
      <c r="X169" s="5">
        <f t="shared" si="44"/>
        <v>-3034.1380587005528</v>
      </c>
      <c r="Y169" s="5">
        <f>C169*Assumptions!$D$44*-1</f>
        <v>218.15738463628202</v>
      </c>
      <c r="Z169" s="5">
        <f t="shared" si="40"/>
        <v>861.33276350204085</v>
      </c>
      <c r="AA169" s="5">
        <f t="shared" si="47"/>
        <v>277792.78329353873</v>
      </c>
      <c r="AB169" s="3">
        <f>Assumptions!$E$45</f>
        <v>6.9899151946608562E-3</v>
      </c>
      <c r="AC169" s="5">
        <f t="shared" si="48"/>
        <v>280595.8640539514</v>
      </c>
      <c r="AD169" s="5">
        <f>AC169*Assumptions!$E$43</f>
        <v>251.29478109551835</v>
      </c>
      <c r="AE169" s="2">
        <f>AD169*Assumptions!$D$44*-1</f>
        <v>-37.694217164327753</v>
      </c>
      <c r="AF169" s="2">
        <f>AC169*Assumptions!$E$46*-1</f>
        <v>-9.3514811540715321</v>
      </c>
      <c r="AG169" s="22">
        <f t="shared" si="49"/>
        <v>280548.818355633</v>
      </c>
      <c r="AH169" s="5">
        <f>Model_30y[[#This Row],[Mortgage Payment]]+Model_30y[[#This Row],[Total Upkeep]]+Model_30y[[#This Row],[Monthly Investment]]</f>
        <v>-4371.2629281314503</v>
      </c>
      <c r="AI169" s="5">
        <f>Model_Renter!D169*-1</f>
        <v>4442.0186823641052</v>
      </c>
      <c r="AJ169" s="5">
        <f t="shared" si="50"/>
        <v>70.755754232654908</v>
      </c>
    </row>
    <row r="170" spans="1:36" x14ac:dyDescent="0.25">
      <c r="A170" s="17">
        <f t="shared" si="45"/>
        <v>168</v>
      </c>
      <c r="B170" s="17">
        <f t="shared" si="41"/>
        <v>14</v>
      </c>
      <c r="C170" s="23">
        <f>IFERROR(IPMT(Assumptions!$D$16/12,Model_30y!A170, 360,Assumptions!$D$8), 0)</f>
        <v>-1450.2157438572103</v>
      </c>
      <c r="D170" s="2">
        <f>IFERROR(PPMT(Assumptions!$D$16/12, Model_30y!A170, 360, Assumptions!$D$8), 0)</f>
        <v>-748.24188907572773</v>
      </c>
      <c r="E170" s="2">
        <f t="shared" si="35"/>
        <v>-2198.4576329329379</v>
      </c>
      <c r="F170" s="2">
        <f>IF(I169&gt;1, Assumptions!$E$18, 0)*-1</f>
        <v>-2198.4576329329379</v>
      </c>
      <c r="G170" s="24">
        <f t="shared" si="36"/>
        <v>1</v>
      </c>
      <c r="H170" s="20">
        <f t="shared" si="42"/>
        <v>81781.144771716747</v>
      </c>
      <c r="I170" s="2">
        <f>MAX(Assumptions!$D$8-SUM(Model_30y!H170), 0)</f>
        <v>258218.85522828327</v>
      </c>
      <c r="J170" s="2">
        <f>J169*(1+(Assumptions!$E$51))</f>
        <v>841470.92976175074</v>
      </c>
      <c r="K170" s="22">
        <f t="shared" si="37"/>
        <v>583252.07453346741</v>
      </c>
      <c r="L170" s="5">
        <f t="shared" si="43"/>
        <v>166781.1447717167</v>
      </c>
      <c r="M170" s="63">
        <f>L170/Assumptions!$D$6</f>
        <v>0.39242622299227459</v>
      </c>
      <c r="N170" s="24">
        <f t="shared" si="51"/>
        <v>0</v>
      </c>
      <c r="O170" s="5">
        <f>N170*Assumptions!$E$25*-1</f>
        <v>0</v>
      </c>
      <c r="P170" s="20">
        <f>Assumptions!$E$35*J170*-1</f>
        <v>-1733.2923411415477</v>
      </c>
      <c r="Q170" s="5">
        <f>J170*Assumptions!$E$36*-1</f>
        <v>-698.03220835167463</v>
      </c>
      <c r="R170" s="5">
        <f>(R158+(Model_30y!R158*Assumptions!$D$51))</f>
        <v>-612.67883382652474</v>
      </c>
      <c r="S170" s="5">
        <f>S158+(S158*Assumptions!$D$51)</f>
        <v>0</v>
      </c>
      <c r="T170" s="5">
        <f t="shared" si="46"/>
        <v>0</v>
      </c>
      <c r="U170" s="22">
        <f t="shared" si="38"/>
        <v>-3044.0033833197472</v>
      </c>
      <c r="V170" s="5">
        <f>MAX(Assumptions!$E$18:$E$19)-U170</f>
        <v>5885.6363951184439</v>
      </c>
      <c r="W170" s="5">
        <f t="shared" si="39"/>
        <v>-2198.4576329329379</v>
      </c>
      <c r="X170" s="5">
        <f t="shared" si="44"/>
        <v>-3044.0033833197472</v>
      </c>
      <c r="Y170" s="5">
        <f>C170*Assumptions!$D$44*-1</f>
        <v>217.53236157858154</v>
      </c>
      <c r="Z170" s="5">
        <f t="shared" si="40"/>
        <v>860.7077404443404</v>
      </c>
      <c r="AA170" s="5">
        <f t="shared" si="47"/>
        <v>280548.818355633</v>
      </c>
      <c r="AB170" s="3">
        <f>Assumptions!$E$45</f>
        <v>6.9899151946608562E-3</v>
      </c>
      <c r="AC170" s="5">
        <f t="shared" si="48"/>
        <v>283370.53854434553</v>
      </c>
      <c r="AD170" s="5">
        <f>AC170*Assumptions!$E$43</f>
        <v>253.77971158808199</v>
      </c>
      <c r="AE170" s="2">
        <f>AD170*Assumptions!$D$44*-1</f>
        <v>-38.066956738212298</v>
      </c>
      <c r="AF170" s="2">
        <f>AC170*Assumptions!$E$46*-1</f>
        <v>-9.4439533517394736</v>
      </c>
      <c r="AG170" s="22">
        <f t="shared" si="49"/>
        <v>283323.02763425559</v>
      </c>
      <c r="AH170" s="5">
        <f>Model_30y[[#This Row],[Mortgage Payment]]+Model_30y[[#This Row],[Total Upkeep]]+Model_30y[[#This Row],[Monthly Investment]]</f>
        <v>-4381.7532758083444</v>
      </c>
      <c r="AI170" s="5">
        <f>Model_Renter!D170*-1</f>
        <v>4442.0186823641052</v>
      </c>
      <c r="AJ170" s="5">
        <f t="shared" si="50"/>
        <v>60.265406555760819</v>
      </c>
    </row>
    <row r="171" spans="1:36" x14ac:dyDescent="0.25">
      <c r="A171" s="17">
        <f t="shared" si="45"/>
        <v>169</v>
      </c>
      <c r="B171" s="17">
        <f t="shared" si="41"/>
        <v>15</v>
      </c>
      <c r="C171" s="23">
        <f>IFERROR(IPMT(Assumptions!$D$16/12,Model_30y!A171, 360,Assumptions!$D$8), 0)</f>
        <v>-1446.0255892783862</v>
      </c>
      <c r="D171" s="2">
        <f>IFERROR(PPMT(Assumptions!$D$16/12, Model_30y!A171, 360, Assumptions!$D$8), 0)</f>
        <v>-752.43204365455165</v>
      </c>
      <c r="E171" s="2">
        <f t="shared" si="35"/>
        <v>-2198.4576329329379</v>
      </c>
      <c r="F171" s="2">
        <f>IF(I170&gt;1, Assumptions!$E$18, 0)*-1</f>
        <v>-2198.4576329329379</v>
      </c>
      <c r="G171" s="24">
        <f t="shared" si="36"/>
        <v>1</v>
      </c>
      <c r="H171" s="20">
        <f t="shared" si="42"/>
        <v>82533.5768153713</v>
      </c>
      <c r="I171" s="2">
        <f>MAX(Assumptions!$D$8-SUM(Model_30y!H171), 0)</f>
        <v>257466.42318462871</v>
      </c>
      <c r="J171" s="2">
        <f>J170*(1+(Assumptions!$E$51))</f>
        <v>844899.18648994179</v>
      </c>
      <c r="K171" s="22">
        <f t="shared" si="37"/>
        <v>587432.76330531307</v>
      </c>
      <c r="L171" s="5">
        <f t="shared" si="43"/>
        <v>167533.57681537126</v>
      </c>
      <c r="M171" s="63">
        <f>L171/Assumptions!$D$6</f>
        <v>0.39419665133028531</v>
      </c>
      <c r="N171" s="24">
        <f t="shared" si="51"/>
        <v>0</v>
      </c>
      <c r="O171" s="5">
        <f>N171*Assumptions!$E$25*-1</f>
        <v>0</v>
      </c>
      <c r="P171" s="20">
        <f>Assumptions!$E$35*J171*-1</f>
        <v>-1740.353988692608</v>
      </c>
      <c r="Q171" s="5">
        <f>J171*Assumptions!$E$36*-1</f>
        <v>-700.87607797347277</v>
      </c>
      <c r="R171" s="5">
        <f>(R159+(Model_30y!R159*Assumptions!$D$51))</f>
        <v>-643.31277551785092</v>
      </c>
      <c r="S171" s="5">
        <f>S159+(S159*Assumptions!$D$51)</f>
        <v>0</v>
      </c>
      <c r="T171" s="5">
        <f t="shared" si="46"/>
        <v>0</v>
      </c>
      <c r="U171" s="22">
        <f t="shared" si="38"/>
        <v>-3084.5428421839315</v>
      </c>
      <c r="V171" s="5">
        <f>MAX(Assumptions!$E$18:$E$19)-U171</f>
        <v>5926.1758539826278</v>
      </c>
      <c r="W171" s="5">
        <f t="shared" si="39"/>
        <v>-2198.4576329329379</v>
      </c>
      <c r="X171" s="5">
        <f t="shared" si="44"/>
        <v>-3084.5428421839315</v>
      </c>
      <c r="Y171" s="5">
        <f>C171*Assumptions!$D$44*-1</f>
        <v>216.90383839175792</v>
      </c>
      <c r="Z171" s="5">
        <f t="shared" si="40"/>
        <v>860.07921725751635</v>
      </c>
      <c r="AA171" s="5">
        <f t="shared" si="47"/>
        <v>283323.02763425559</v>
      </c>
      <c r="AB171" s="3">
        <f>Assumptions!$E$45</f>
        <v>6.9899151946608562E-3</v>
      </c>
      <c r="AC171" s="5">
        <f t="shared" si="48"/>
        <v>286163.51078737108</v>
      </c>
      <c r="AD171" s="5">
        <f>AC171*Assumptions!$E$43</f>
        <v>256.28102909959745</v>
      </c>
      <c r="AE171" s="2">
        <f>AD171*Assumptions!$D$44*-1</f>
        <v>-38.442154364939618</v>
      </c>
      <c r="AF171" s="2">
        <f>AC171*Assumptions!$E$46*-1</f>
        <v>-9.5370353627040991</v>
      </c>
      <c r="AG171" s="22">
        <f t="shared" si="49"/>
        <v>286115.53159764345</v>
      </c>
      <c r="AH171" s="5">
        <f>Model_30y[[#This Row],[Mortgage Payment]]+Model_30y[[#This Row],[Total Upkeep]]+Model_30y[[#This Row],[Monthly Investment]]</f>
        <v>-4422.9212578593524</v>
      </c>
      <c r="AI171" s="5">
        <f>Model_Renter!D171*-1</f>
        <v>4608.150181084523</v>
      </c>
      <c r="AJ171" s="5">
        <f t="shared" si="50"/>
        <v>185.22892322517055</v>
      </c>
    </row>
    <row r="172" spans="1:36" x14ac:dyDescent="0.25">
      <c r="A172" s="17">
        <f t="shared" si="45"/>
        <v>170</v>
      </c>
      <c r="B172" s="17">
        <f t="shared" si="41"/>
        <v>15</v>
      </c>
      <c r="C172" s="23">
        <f>IFERROR(IPMT(Assumptions!$D$16/12,Model_30y!A172, 360,Assumptions!$D$8), 0)</f>
        <v>-1441.8119698339208</v>
      </c>
      <c r="D172" s="2">
        <f>IFERROR(PPMT(Assumptions!$D$16/12, Model_30y!A172, 360, Assumptions!$D$8), 0)</f>
        <v>-756.64566309901716</v>
      </c>
      <c r="E172" s="2">
        <f t="shared" si="35"/>
        <v>-2198.4576329329379</v>
      </c>
      <c r="F172" s="2">
        <f>IF(I171&gt;1, Assumptions!$E$18, 0)*-1</f>
        <v>-2198.4576329329379</v>
      </c>
      <c r="G172" s="24">
        <f t="shared" si="36"/>
        <v>1</v>
      </c>
      <c r="H172" s="20">
        <f t="shared" si="42"/>
        <v>83290.222478470314</v>
      </c>
      <c r="I172" s="2">
        <f>MAX(Assumptions!$D$8-SUM(Model_30y!H172), 0)</f>
        <v>256709.7775215297</v>
      </c>
      <c r="J172" s="2">
        <f>J171*(1+(Assumptions!$E$51))</f>
        <v>848341.41036040557</v>
      </c>
      <c r="K172" s="22">
        <f t="shared" si="37"/>
        <v>591631.63283887587</v>
      </c>
      <c r="L172" s="5">
        <f t="shared" si="43"/>
        <v>168290.22247847027</v>
      </c>
      <c r="M172" s="63">
        <f>L172/Assumptions!$D$6</f>
        <v>0.39597699406698889</v>
      </c>
      <c r="N172" s="24">
        <f t="shared" si="51"/>
        <v>0</v>
      </c>
      <c r="O172" s="5">
        <f>N172*Assumptions!$E$25*-1</f>
        <v>0</v>
      </c>
      <c r="P172" s="20">
        <f>Assumptions!$E$35*J172*-1</f>
        <v>-1747.4444062699076</v>
      </c>
      <c r="Q172" s="5">
        <f>J172*Assumptions!$E$36*-1</f>
        <v>-703.73153387213461</v>
      </c>
      <c r="R172" s="5">
        <f>(R160+(Model_30y!R160*Assumptions!$D$51))</f>
        <v>-643.31277551785092</v>
      </c>
      <c r="S172" s="5">
        <f>S160+(S160*Assumptions!$D$51)</f>
        <v>0</v>
      </c>
      <c r="T172" s="5">
        <f t="shared" si="46"/>
        <v>0</v>
      </c>
      <c r="U172" s="22">
        <f t="shared" si="38"/>
        <v>-3094.4887156598934</v>
      </c>
      <c r="V172" s="5">
        <f>MAX(Assumptions!$E$18:$E$19)-U172</f>
        <v>5936.1217274585906</v>
      </c>
      <c r="W172" s="5">
        <f t="shared" si="39"/>
        <v>-2198.4576329329379</v>
      </c>
      <c r="X172" s="5">
        <f t="shared" si="44"/>
        <v>-3094.4887156598934</v>
      </c>
      <c r="Y172" s="5">
        <f>C172*Assumptions!$D$44*-1</f>
        <v>216.27179547508811</v>
      </c>
      <c r="Z172" s="5">
        <f t="shared" si="40"/>
        <v>859.44717434084737</v>
      </c>
      <c r="AA172" s="5">
        <f t="shared" si="47"/>
        <v>286115.53159764345</v>
      </c>
      <c r="AB172" s="3">
        <f>Assumptions!$E$45</f>
        <v>6.9899151946608562E-3</v>
      </c>
      <c r="AC172" s="5">
        <f t="shared" si="48"/>
        <v>288974.90207372711</v>
      </c>
      <c r="AD172" s="5">
        <f>AC172*Assumptions!$E$43</f>
        <v>258.79884225504316</v>
      </c>
      <c r="AE172" s="2">
        <f>AD172*Assumptions!$D$44*-1</f>
        <v>-38.819826338256469</v>
      </c>
      <c r="AF172" s="2">
        <f>AC172*Assumptions!$E$46*-1</f>
        <v>-9.6307312292476777</v>
      </c>
      <c r="AG172" s="22">
        <f t="shared" si="49"/>
        <v>288926.45151615958</v>
      </c>
      <c r="AH172" s="5">
        <f>Model_30y[[#This Row],[Mortgage Payment]]+Model_30y[[#This Row],[Total Upkeep]]+Model_30y[[#This Row],[Monthly Investment]]</f>
        <v>-4433.4991742519842</v>
      </c>
      <c r="AI172" s="5">
        <f>Model_Renter!D172*-1</f>
        <v>4608.150181084523</v>
      </c>
      <c r="AJ172" s="5">
        <f t="shared" si="50"/>
        <v>174.65100683253877</v>
      </c>
    </row>
    <row r="173" spans="1:36" x14ac:dyDescent="0.25">
      <c r="A173" s="17">
        <f t="shared" si="45"/>
        <v>171</v>
      </c>
      <c r="B173" s="17">
        <f t="shared" si="41"/>
        <v>15</v>
      </c>
      <c r="C173" s="23">
        <f>IFERROR(IPMT(Assumptions!$D$16/12,Model_30y!A173, 360,Assumptions!$D$8), 0)</f>
        <v>-1437.574754120566</v>
      </c>
      <c r="D173" s="2">
        <f>IFERROR(PPMT(Assumptions!$D$16/12, Model_30y!A173, 360, Assumptions!$D$8), 0)</f>
        <v>-760.88287881237181</v>
      </c>
      <c r="E173" s="2">
        <f t="shared" si="35"/>
        <v>-2198.4576329329379</v>
      </c>
      <c r="F173" s="2">
        <f>IF(I172&gt;1, Assumptions!$E$18, 0)*-1</f>
        <v>-2198.4576329329379</v>
      </c>
      <c r="G173" s="24">
        <f t="shared" si="36"/>
        <v>1</v>
      </c>
      <c r="H173" s="20">
        <f t="shared" si="42"/>
        <v>84051.105357282679</v>
      </c>
      <c r="I173" s="2">
        <f>MAX(Assumptions!$D$8-SUM(Model_30y!H173), 0)</f>
        <v>255948.89464271732</v>
      </c>
      <c r="J173" s="2">
        <f>J172*(1+(Assumptions!$E$51))</f>
        <v>851797.65827700868</v>
      </c>
      <c r="K173" s="22">
        <f t="shared" si="37"/>
        <v>595848.76363429136</v>
      </c>
      <c r="L173" s="5">
        <f t="shared" si="43"/>
        <v>169051.10535728265</v>
      </c>
      <c r="M173" s="63">
        <f>L173/Assumptions!$D$6</f>
        <v>0.39776730672301802</v>
      </c>
      <c r="N173" s="24">
        <f t="shared" si="51"/>
        <v>0</v>
      </c>
      <c r="O173" s="5">
        <f>N173*Assumptions!$E$25*-1</f>
        <v>0</v>
      </c>
      <c r="P173" s="20">
        <f>Assumptions!$E$35*J173*-1</f>
        <v>-1754.5637110860953</v>
      </c>
      <c r="Q173" s="5">
        <f>J173*Assumptions!$E$36*-1</f>
        <v>-706.59862325158645</v>
      </c>
      <c r="R173" s="5">
        <f>(R161+(Model_30y!R161*Assumptions!$D$51))</f>
        <v>-643.31277551785092</v>
      </c>
      <c r="S173" s="5">
        <f>S161+(S161*Assumptions!$D$51)</f>
        <v>0</v>
      </c>
      <c r="T173" s="5">
        <f t="shared" si="46"/>
        <v>0</v>
      </c>
      <c r="U173" s="22">
        <f t="shared" si="38"/>
        <v>-3104.4751098555325</v>
      </c>
      <c r="V173" s="5">
        <f>MAX(Assumptions!$E$18:$E$19)-U173</f>
        <v>5946.1081216542298</v>
      </c>
      <c r="W173" s="5">
        <f t="shared" si="39"/>
        <v>-2198.4576329329379</v>
      </c>
      <c r="X173" s="5">
        <f t="shared" si="44"/>
        <v>-3104.4751098555325</v>
      </c>
      <c r="Y173" s="5">
        <f>C173*Assumptions!$D$44*-1</f>
        <v>215.6362131180849</v>
      </c>
      <c r="Z173" s="5">
        <f t="shared" si="40"/>
        <v>858.81159198384421</v>
      </c>
      <c r="AA173" s="5">
        <f t="shared" si="47"/>
        <v>288926.45151615958</v>
      </c>
      <c r="AB173" s="3">
        <f>Assumptions!$E$45</f>
        <v>6.9899151946608562E-3</v>
      </c>
      <c r="AC173" s="5">
        <f t="shared" si="48"/>
        <v>291804.83450173563</v>
      </c>
      <c r="AD173" s="5">
        <f>AC173*Assumptions!$E$43</f>
        <v>261.33326040268474</v>
      </c>
      <c r="AE173" s="2">
        <f>AD173*Assumptions!$D$44*-1</f>
        <v>-39.199989060402707</v>
      </c>
      <c r="AF173" s="2">
        <f>AC173*Assumptions!$E$46*-1</f>
        <v>-9.725045020568313</v>
      </c>
      <c r="AG173" s="22">
        <f t="shared" si="49"/>
        <v>291755.90946765465</v>
      </c>
      <c r="AH173" s="5">
        <f>Model_30y[[#This Row],[Mortgage Payment]]+Model_30y[[#This Row],[Total Upkeep]]+Model_30y[[#This Row],[Monthly Investment]]</f>
        <v>-4444.1211508046272</v>
      </c>
      <c r="AI173" s="5">
        <f>Model_Renter!D173*-1</f>
        <v>4608.150181084523</v>
      </c>
      <c r="AJ173" s="5">
        <f t="shared" si="50"/>
        <v>164.02903027989578</v>
      </c>
    </row>
    <row r="174" spans="1:36" x14ac:dyDescent="0.25">
      <c r="A174" s="17">
        <f t="shared" si="45"/>
        <v>172</v>
      </c>
      <c r="B174" s="17">
        <f t="shared" si="41"/>
        <v>15</v>
      </c>
      <c r="C174" s="23">
        <f>IFERROR(IPMT(Assumptions!$D$16/12,Model_30y!A174, 360,Assumptions!$D$8), 0)</f>
        <v>-1433.3138099992168</v>
      </c>
      <c r="D174" s="2">
        <f>IFERROR(PPMT(Assumptions!$D$16/12, Model_30y!A174, 360, Assumptions!$D$8), 0)</f>
        <v>-765.14382293372114</v>
      </c>
      <c r="E174" s="2">
        <f t="shared" si="35"/>
        <v>-2198.4576329329379</v>
      </c>
      <c r="F174" s="2">
        <f>IF(I173&gt;1, Assumptions!$E$18, 0)*-1</f>
        <v>-2198.4576329329379</v>
      </c>
      <c r="G174" s="24">
        <f t="shared" si="36"/>
        <v>1</v>
      </c>
      <c r="H174" s="20">
        <f t="shared" si="42"/>
        <v>84816.2491802164</v>
      </c>
      <c r="I174" s="2">
        <f>MAX(Assumptions!$D$8-SUM(Model_30y!H174), 0)</f>
        <v>255183.7508197836</v>
      </c>
      <c r="J174" s="2">
        <f>J173*(1+(Assumptions!$E$51))</f>
        <v>855267.98737545102</v>
      </c>
      <c r="K174" s="22">
        <f t="shared" si="37"/>
        <v>600084.23655566736</v>
      </c>
      <c r="L174" s="5">
        <f t="shared" si="43"/>
        <v>169816.24918021637</v>
      </c>
      <c r="M174" s="63">
        <f>L174/Assumptions!$D$6</f>
        <v>0.39956764512992088</v>
      </c>
      <c r="N174" s="24">
        <f t="shared" si="51"/>
        <v>0</v>
      </c>
      <c r="O174" s="5">
        <f>N174*Assumptions!$E$25*-1</f>
        <v>0</v>
      </c>
      <c r="P174" s="20">
        <f>Assumptions!$E$35*J174*-1</f>
        <v>-1761.7120208313574</v>
      </c>
      <c r="Q174" s="5">
        <f>J174*Assumptions!$E$36*-1</f>
        <v>-709.47739350806887</v>
      </c>
      <c r="R174" s="5">
        <f>(R162+(Model_30y!R162*Assumptions!$D$51))</f>
        <v>-643.31277551785092</v>
      </c>
      <c r="S174" s="5">
        <f>S162+(S162*Assumptions!$D$51)</f>
        <v>0</v>
      </c>
      <c r="T174" s="5">
        <f t="shared" si="46"/>
        <v>0</v>
      </c>
      <c r="U174" s="22">
        <f t="shared" si="38"/>
        <v>-3114.5021898572777</v>
      </c>
      <c r="V174" s="5">
        <f>MAX(Assumptions!$E$18:$E$19)-U174</f>
        <v>5956.135201655974</v>
      </c>
      <c r="W174" s="5">
        <f t="shared" si="39"/>
        <v>-2198.4576329329379</v>
      </c>
      <c r="X174" s="5">
        <f t="shared" si="44"/>
        <v>-3114.5021898572777</v>
      </c>
      <c r="Y174" s="5">
        <f>C174*Assumptions!$D$44*-1</f>
        <v>214.99707149988251</v>
      </c>
      <c r="Z174" s="5">
        <f t="shared" si="40"/>
        <v>858.17245036564088</v>
      </c>
      <c r="AA174" s="5">
        <f t="shared" si="47"/>
        <v>291755.90946765465</v>
      </c>
      <c r="AB174" s="3">
        <f>Assumptions!$E$45</f>
        <v>6.9899151946608562E-3</v>
      </c>
      <c r="AC174" s="5">
        <f t="shared" si="48"/>
        <v>294653.4309827403</v>
      </c>
      <c r="AD174" s="5">
        <f>AC174*Assumptions!$E$43</f>
        <v>263.88439361891028</v>
      </c>
      <c r="AE174" s="2">
        <f>AD174*Assumptions!$D$44*-1</f>
        <v>-39.582659042836539</v>
      </c>
      <c r="AF174" s="2">
        <f>AC174*Assumptions!$E$46*-1</f>
        <v>-9.8199808329598586</v>
      </c>
      <c r="AG174" s="22">
        <f t="shared" si="49"/>
        <v>294604.02834286453</v>
      </c>
      <c r="AH174" s="5">
        <f>Model_30y[[#This Row],[Mortgage Payment]]+Model_30y[[#This Row],[Total Upkeep]]+Model_30y[[#This Row],[Monthly Investment]]</f>
        <v>-4454.7873724245746</v>
      </c>
      <c r="AI174" s="5">
        <f>Model_Renter!D174*-1</f>
        <v>4608.150181084523</v>
      </c>
      <c r="AJ174" s="5">
        <f t="shared" si="50"/>
        <v>153.36280865994831</v>
      </c>
    </row>
    <row r="175" spans="1:36" x14ac:dyDescent="0.25">
      <c r="A175" s="17">
        <f t="shared" si="45"/>
        <v>173</v>
      </c>
      <c r="B175" s="17">
        <f t="shared" si="41"/>
        <v>15</v>
      </c>
      <c r="C175" s="23">
        <f>IFERROR(IPMT(Assumptions!$D$16/12,Model_30y!A175, 360,Assumptions!$D$8), 0)</f>
        <v>-1429.029004590788</v>
      </c>
      <c r="D175" s="2">
        <f>IFERROR(PPMT(Assumptions!$D$16/12, Model_30y!A175, 360, Assumptions!$D$8), 0)</f>
        <v>-769.42862834214975</v>
      </c>
      <c r="E175" s="2">
        <f t="shared" si="35"/>
        <v>-2198.4576329329375</v>
      </c>
      <c r="F175" s="2">
        <f>IF(I174&gt;1, Assumptions!$E$18, 0)*-1</f>
        <v>-2198.4576329329379</v>
      </c>
      <c r="G175" s="24">
        <f t="shared" si="36"/>
        <v>1</v>
      </c>
      <c r="H175" s="20">
        <f t="shared" si="42"/>
        <v>85585.677808558554</v>
      </c>
      <c r="I175" s="2">
        <f>MAX(Assumptions!$D$8-SUM(Model_30y!H175), 0)</f>
        <v>254414.32219144143</v>
      </c>
      <c r="J175" s="2">
        <f>J174*(1+(Assumptions!$E$51))</f>
        <v>858752.45502421039</v>
      </c>
      <c r="K175" s="22">
        <f t="shared" si="37"/>
        <v>604338.13283276896</v>
      </c>
      <c r="L175" s="5">
        <f t="shared" si="43"/>
        <v>170585.67780855851</v>
      </c>
      <c r="M175" s="63">
        <f>L175/Assumptions!$D$6</f>
        <v>0.40137806543190235</v>
      </c>
      <c r="N175" s="24">
        <f t="shared" si="51"/>
        <v>0</v>
      </c>
      <c r="O175" s="5">
        <f>N175*Assumptions!$E$25*-1</f>
        <v>0</v>
      </c>
      <c r="P175" s="20">
        <f>Assumptions!$E$35*J175*-1</f>
        <v>-1768.8894536753655</v>
      </c>
      <c r="Q175" s="5">
        <f>J175*Assumptions!$E$36*-1</f>
        <v>-712.36789223092092</v>
      </c>
      <c r="R175" s="5">
        <f>(R163+(Model_30y!R163*Assumptions!$D$51))</f>
        <v>-643.31277551785092</v>
      </c>
      <c r="S175" s="5">
        <f>S163+(S163*Assumptions!$D$51)</f>
        <v>0</v>
      </c>
      <c r="T175" s="5">
        <f t="shared" si="46"/>
        <v>0</v>
      </c>
      <c r="U175" s="22">
        <f t="shared" si="38"/>
        <v>-3124.5701214241371</v>
      </c>
      <c r="V175" s="5">
        <f>MAX(Assumptions!$E$18:$E$19)-U175</f>
        <v>5966.2031332228344</v>
      </c>
      <c r="W175" s="5">
        <f t="shared" si="39"/>
        <v>-2198.4576329329379</v>
      </c>
      <c r="X175" s="5">
        <f t="shared" si="44"/>
        <v>-3124.5701214241371</v>
      </c>
      <c r="Y175" s="5">
        <f>C175*Assumptions!$D$44*-1</f>
        <v>214.35435068861818</v>
      </c>
      <c r="Z175" s="5">
        <f t="shared" si="40"/>
        <v>857.52972955437747</v>
      </c>
      <c r="AA175" s="5">
        <f t="shared" si="47"/>
        <v>294604.02834286453</v>
      </c>
      <c r="AB175" s="3">
        <f>Assumptions!$E$45</f>
        <v>6.9899151946608562E-3</v>
      </c>
      <c r="AC175" s="5">
        <f t="shared" si="48"/>
        <v>297520.81524654099</v>
      </c>
      <c r="AD175" s="5">
        <f>AC175*Assumptions!$E$43</f>
        <v>266.45235271309701</v>
      </c>
      <c r="AE175" s="2">
        <f>AD175*Assumptions!$D$44*-1</f>
        <v>-39.967852906964552</v>
      </c>
      <c r="AF175" s="2">
        <f>AC175*Assumptions!$E$46*-1</f>
        <v>-9.9155427899930455</v>
      </c>
      <c r="AG175" s="22">
        <f t="shared" si="49"/>
        <v>297470.93185084406</v>
      </c>
      <c r="AH175" s="5">
        <f>Model_30y[[#This Row],[Mortgage Payment]]+Model_30y[[#This Row],[Total Upkeep]]+Model_30y[[#This Row],[Monthly Investment]]</f>
        <v>-4465.4980248026977</v>
      </c>
      <c r="AI175" s="5">
        <f>Model_Renter!D175*-1</f>
        <v>4608.150181084523</v>
      </c>
      <c r="AJ175" s="5">
        <f t="shared" si="50"/>
        <v>142.65215628182523</v>
      </c>
    </row>
    <row r="176" spans="1:36" x14ac:dyDescent="0.25">
      <c r="A176" s="17">
        <f t="shared" si="45"/>
        <v>174</v>
      </c>
      <c r="B176" s="17">
        <f t="shared" si="41"/>
        <v>15</v>
      </c>
      <c r="C176" s="23">
        <f>IFERROR(IPMT(Assumptions!$D$16/12,Model_30y!A176, 360,Assumptions!$D$8), 0)</f>
        <v>-1424.7202042720721</v>
      </c>
      <c r="D176" s="2">
        <f>IFERROR(PPMT(Assumptions!$D$16/12, Model_30y!A176, 360, Assumptions!$D$8), 0)</f>
        <v>-773.73742866086593</v>
      </c>
      <c r="E176" s="2">
        <f t="shared" si="35"/>
        <v>-2198.4576329329379</v>
      </c>
      <c r="F176" s="2">
        <f>IF(I175&gt;1, Assumptions!$E$18, 0)*-1</f>
        <v>-2198.4576329329379</v>
      </c>
      <c r="G176" s="24">
        <f t="shared" si="36"/>
        <v>1</v>
      </c>
      <c r="H176" s="20">
        <f t="shared" si="42"/>
        <v>86359.415237219422</v>
      </c>
      <c r="I176" s="2">
        <f>MAX(Assumptions!$D$8-SUM(Model_30y!H176), 0)</f>
        <v>253640.58476278058</v>
      </c>
      <c r="J176" s="2">
        <f>J175*(1+(Assumptions!$E$51))</f>
        <v>862251.11882549094</v>
      </c>
      <c r="K176" s="22">
        <f t="shared" si="37"/>
        <v>608610.53406271036</v>
      </c>
      <c r="L176" s="5">
        <f t="shared" si="43"/>
        <v>171359.41523721936</v>
      </c>
      <c r="M176" s="63">
        <f>L176/Assumptions!$D$6</f>
        <v>0.40319862408757495</v>
      </c>
      <c r="N176" s="24">
        <f t="shared" si="51"/>
        <v>0</v>
      </c>
      <c r="O176" s="5">
        <f>N176*Assumptions!$E$25*-1</f>
        <v>0</v>
      </c>
      <c r="P176" s="20">
        <f>Assumptions!$E$35*J176*-1</f>
        <v>-1776.0961282692292</v>
      </c>
      <c r="Q176" s="5">
        <f>J176*Assumptions!$E$36*-1</f>
        <v>-715.27016720336644</v>
      </c>
      <c r="R176" s="5">
        <f>(R164+(Model_30y!R164*Assumptions!$D$51))</f>
        <v>-643.31277551785092</v>
      </c>
      <c r="S176" s="5">
        <f>S164+(S164*Assumptions!$D$51)</f>
        <v>0</v>
      </c>
      <c r="T176" s="5">
        <f t="shared" si="46"/>
        <v>0</v>
      </c>
      <c r="U176" s="22">
        <f t="shared" si="38"/>
        <v>-3134.6790709904462</v>
      </c>
      <c r="V176" s="5">
        <f>MAX(Assumptions!$E$18:$E$19)-U176</f>
        <v>5976.3120827891435</v>
      </c>
      <c r="W176" s="5">
        <f t="shared" si="39"/>
        <v>-2198.4576329329379</v>
      </c>
      <c r="X176" s="5">
        <f t="shared" si="44"/>
        <v>-3134.6790709904462</v>
      </c>
      <c r="Y176" s="5">
        <f>C176*Assumptions!$D$44*-1</f>
        <v>213.70803064081082</v>
      </c>
      <c r="Z176" s="5">
        <f t="shared" si="40"/>
        <v>856.88340950657016</v>
      </c>
      <c r="AA176" s="5">
        <f t="shared" si="47"/>
        <v>297470.93185084406</v>
      </c>
      <c r="AB176" s="3">
        <f>Assumptions!$E$45</f>
        <v>6.9899151946608562E-3</v>
      </c>
      <c r="AC176" s="5">
        <f t="shared" si="48"/>
        <v>300407.11184686481</v>
      </c>
      <c r="AD176" s="5">
        <f>AC176*Assumptions!$E$43</f>
        <v>269.03724923251133</v>
      </c>
      <c r="AE176" s="2">
        <f>AD176*Assumptions!$D$44*-1</f>
        <v>-40.355587384876699</v>
      </c>
      <c r="AF176" s="2">
        <f>AC176*Assumptions!$E$46*-1</f>
        <v>-10.011735042697808</v>
      </c>
      <c r="AG176" s="22">
        <f t="shared" si="49"/>
        <v>300356.74452443724</v>
      </c>
      <c r="AH176" s="5">
        <f>Model_30y[[#This Row],[Mortgage Payment]]+Model_30y[[#This Row],[Total Upkeep]]+Model_30y[[#This Row],[Monthly Investment]]</f>
        <v>-4476.2532944168142</v>
      </c>
      <c r="AI176" s="5">
        <f>Model_Renter!D176*-1</f>
        <v>4608.150181084523</v>
      </c>
      <c r="AJ176" s="5">
        <f t="shared" si="50"/>
        <v>131.89688666770871</v>
      </c>
    </row>
    <row r="177" spans="1:36" x14ac:dyDescent="0.25">
      <c r="A177" s="17">
        <f t="shared" si="45"/>
        <v>175</v>
      </c>
      <c r="B177" s="17">
        <f t="shared" si="41"/>
        <v>15</v>
      </c>
      <c r="C177" s="23">
        <f>IFERROR(IPMT(Assumptions!$D$16/12,Model_30y!A177, 360,Assumptions!$D$8), 0)</f>
        <v>-1420.3872746715708</v>
      </c>
      <c r="D177" s="2">
        <f>IFERROR(PPMT(Assumptions!$D$16/12, Model_30y!A177, 360, Assumptions!$D$8), 0)</f>
        <v>-778.07035826136689</v>
      </c>
      <c r="E177" s="2">
        <f t="shared" si="35"/>
        <v>-2198.4576329329375</v>
      </c>
      <c r="F177" s="2">
        <f>IF(I176&gt;1, Assumptions!$E$18, 0)*-1</f>
        <v>-2198.4576329329379</v>
      </c>
      <c r="G177" s="24">
        <f t="shared" si="36"/>
        <v>1</v>
      </c>
      <c r="H177" s="20">
        <f t="shared" si="42"/>
        <v>87137.485595480786</v>
      </c>
      <c r="I177" s="2">
        <f>MAX(Assumptions!$D$8-SUM(Model_30y!H177), 0)</f>
        <v>252862.51440451923</v>
      </c>
      <c r="J177" s="2">
        <f>J176*(1+(Assumptions!$E$51))</f>
        <v>865764.03661617532</v>
      </c>
      <c r="K177" s="22">
        <f t="shared" si="37"/>
        <v>612901.52221165609</v>
      </c>
      <c r="L177" s="5">
        <f t="shared" si="43"/>
        <v>172137.48559548074</v>
      </c>
      <c r="M177" s="63">
        <f>L177/Assumptions!$D$6</f>
        <v>0.40502937787171939</v>
      </c>
      <c r="N177" s="24">
        <f t="shared" si="51"/>
        <v>0</v>
      </c>
      <c r="O177" s="5">
        <f>N177*Assumptions!$E$25*-1</f>
        <v>0</v>
      </c>
      <c r="P177" s="20">
        <f>Assumptions!$E$35*J177*-1</f>
        <v>-1783.3321637474567</v>
      </c>
      <c r="Q177" s="5">
        <f>J177*Assumptions!$E$36*-1</f>
        <v>-718.18426640330381</v>
      </c>
      <c r="R177" s="5">
        <f>(R165+(Model_30y!R165*Assumptions!$D$51))</f>
        <v>-643.31277551785092</v>
      </c>
      <c r="S177" s="5">
        <f>S165+(S165*Assumptions!$D$51)</f>
        <v>0</v>
      </c>
      <c r="T177" s="5">
        <f t="shared" si="46"/>
        <v>0</v>
      </c>
      <c r="U177" s="22">
        <f t="shared" si="38"/>
        <v>-3144.8292056686114</v>
      </c>
      <c r="V177" s="5">
        <f>MAX(Assumptions!$E$18:$E$19)-U177</f>
        <v>5986.4622174673077</v>
      </c>
      <c r="W177" s="5">
        <f t="shared" si="39"/>
        <v>-2198.4576329329379</v>
      </c>
      <c r="X177" s="5">
        <f t="shared" si="44"/>
        <v>-3144.8292056686114</v>
      </c>
      <c r="Y177" s="5">
        <f>C177*Assumptions!$D$44*-1</f>
        <v>213.05809120073562</v>
      </c>
      <c r="Z177" s="5">
        <f t="shared" si="40"/>
        <v>856.23347006649396</v>
      </c>
      <c r="AA177" s="5">
        <f t="shared" si="47"/>
        <v>300356.74452443724</v>
      </c>
      <c r="AB177" s="3">
        <f>Assumptions!$E$45</f>
        <v>6.9899151946608562E-3</v>
      </c>
      <c r="AC177" s="5">
        <f t="shared" si="48"/>
        <v>303312.44616687397</v>
      </c>
      <c r="AD177" s="5">
        <f>AC177*Assumptions!$E$43</f>
        <v>271.63919546724134</v>
      </c>
      <c r="AE177" s="2">
        <f>AD177*Assumptions!$D$44*-1</f>
        <v>-40.745879320086196</v>
      </c>
      <c r="AF177" s="2">
        <f>AC177*Assumptions!$E$46*-1</f>
        <v>-10.108561769746853</v>
      </c>
      <c r="AG177" s="22">
        <f t="shared" si="49"/>
        <v>303261.59172578412</v>
      </c>
      <c r="AH177" s="5">
        <f>Model_30y[[#This Row],[Mortgage Payment]]+Model_30y[[#This Row],[Total Upkeep]]+Model_30y[[#This Row],[Monthly Investment]]</f>
        <v>-4487.0533685350547</v>
      </c>
      <c r="AI177" s="5">
        <f>Model_Renter!D177*-1</f>
        <v>4608.150181084523</v>
      </c>
      <c r="AJ177" s="5">
        <f t="shared" si="50"/>
        <v>121.09681254946827</v>
      </c>
    </row>
    <row r="178" spans="1:36" x14ac:dyDescent="0.25">
      <c r="A178" s="17">
        <f t="shared" si="45"/>
        <v>176</v>
      </c>
      <c r="B178" s="17">
        <f t="shared" si="41"/>
        <v>15</v>
      </c>
      <c r="C178" s="23">
        <f>IFERROR(IPMT(Assumptions!$D$16/12,Model_30y!A178, 360,Assumptions!$D$8), 0)</f>
        <v>-1416.0300806653077</v>
      </c>
      <c r="D178" s="2">
        <f>IFERROR(PPMT(Assumptions!$D$16/12, Model_30y!A178, 360, Assumptions!$D$8), 0)</f>
        <v>-782.4275522676304</v>
      </c>
      <c r="E178" s="2">
        <f t="shared" si="35"/>
        <v>-2198.4576329329379</v>
      </c>
      <c r="F178" s="2">
        <f>IF(I177&gt;1, Assumptions!$E$18, 0)*-1</f>
        <v>-2198.4576329329379</v>
      </c>
      <c r="G178" s="24">
        <f t="shared" si="36"/>
        <v>1</v>
      </c>
      <c r="H178" s="20">
        <f t="shared" si="42"/>
        <v>87919.913147748419</v>
      </c>
      <c r="I178" s="2">
        <f>MAX(Assumptions!$D$8-SUM(Model_30y!H178), 0)</f>
        <v>252080.08685225158</v>
      </c>
      <c r="J178" s="2">
        <f>J177*(1+(Assumptions!$E$51))</f>
        <v>869291.2664687807</v>
      </c>
      <c r="K178" s="22">
        <f t="shared" si="37"/>
        <v>617211.17961652915</v>
      </c>
      <c r="L178" s="5">
        <f t="shared" si="43"/>
        <v>172919.91314774836</v>
      </c>
      <c r="M178" s="63">
        <f>L178/Assumptions!$D$6</f>
        <v>0.40687038387705499</v>
      </c>
      <c r="N178" s="24">
        <f t="shared" si="51"/>
        <v>0</v>
      </c>
      <c r="O178" s="5">
        <f>N178*Assumptions!$E$25*-1</f>
        <v>0</v>
      </c>
      <c r="P178" s="20">
        <f>Assumptions!$E$35*J178*-1</f>
        <v>-1790.5976797299252</v>
      </c>
      <c r="Q178" s="5">
        <f>J178*Assumptions!$E$36*-1</f>
        <v>-721.11023800409953</v>
      </c>
      <c r="R178" s="5">
        <f>(R166+(Model_30y!R166*Assumptions!$D$51))</f>
        <v>-643.31277551785092</v>
      </c>
      <c r="S178" s="5">
        <f>S166+(S166*Assumptions!$D$51)</f>
        <v>0</v>
      </c>
      <c r="T178" s="5">
        <f t="shared" si="46"/>
        <v>0</v>
      </c>
      <c r="U178" s="22">
        <f t="shared" si="38"/>
        <v>-3155.0206932518759</v>
      </c>
      <c r="V178" s="5">
        <f>MAX(Assumptions!$E$18:$E$19)-U178</f>
        <v>5996.6537050505722</v>
      </c>
      <c r="W178" s="5">
        <f t="shared" si="39"/>
        <v>-2198.4576329329379</v>
      </c>
      <c r="X178" s="5">
        <f t="shared" si="44"/>
        <v>-3155.0206932518759</v>
      </c>
      <c r="Y178" s="5">
        <f>C178*Assumptions!$D$44*-1</f>
        <v>212.40451209979614</v>
      </c>
      <c r="Z178" s="5">
        <f t="shared" si="40"/>
        <v>855.57989096555457</v>
      </c>
      <c r="AA178" s="5">
        <f t="shared" si="47"/>
        <v>303261.59172578412</v>
      </c>
      <c r="AB178" s="3">
        <f>Assumptions!$E$45</f>
        <v>6.9899151946608562E-3</v>
      </c>
      <c r="AC178" s="5">
        <f t="shared" si="48"/>
        <v>306236.94442471076</v>
      </c>
      <c r="AD178" s="5">
        <f>AC178*Assumptions!$E$43</f>
        <v>274.25830445516289</v>
      </c>
      <c r="AE178" s="2">
        <f>AD178*Assumptions!$D$44*-1</f>
        <v>-41.138745668274431</v>
      </c>
      <c r="AF178" s="2">
        <f>AC178*Assumptions!$E$46*-1</f>
        <v>-10.206027177640454</v>
      </c>
      <c r="AG178" s="22">
        <f t="shared" si="49"/>
        <v>306185.59965186485</v>
      </c>
      <c r="AH178" s="5">
        <f>Model_30y[[#This Row],[Mortgage Payment]]+Model_30y[[#This Row],[Total Upkeep]]+Model_30y[[#This Row],[Monthly Investment]]</f>
        <v>-4497.8984352192583</v>
      </c>
      <c r="AI178" s="5">
        <f>Model_Renter!D178*-1</f>
        <v>4608.150181084523</v>
      </c>
      <c r="AJ178" s="5">
        <f t="shared" si="50"/>
        <v>110.25174586526464</v>
      </c>
    </row>
    <row r="179" spans="1:36" x14ac:dyDescent="0.25">
      <c r="A179" s="17">
        <f t="shared" si="45"/>
        <v>177</v>
      </c>
      <c r="B179" s="17">
        <f t="shared" si="41"/>
        <v>15</v>
      </c>
      <c r="C179" s="23">
        <f>IFERROR(IPMT(Assumptions!$D$16/12,Model_30y!A179, 360,Assumptions!$D$8), 0)</f>
        <v>-1411.6484863726089</v>
      </c>
      <c r="D179" s="2">
        <f>IFERROR(PPMT(Assumptions!$D$16/12, Model_30y!A179, 360, Assumptions!$D$8), 0)</f>
        <v>-786.80914656032905</v>
      </c>
      <c r="E179" s="2">
        <f t="shared" si="35"/>
        <v>-2198.4576329329379</v>
      </c>
      <c r="F179" s="2">
        <f>IF(I178&gt;1, Assumptions!$E$18, 0)*-1</f>
        <v>-2198.4576329329379</v>
      </c>
      <c r="G179" s="24">
        <f t="shared" si="36"/>
        <v>1</v>
      </c>
      <c r="H179" s="20">
        <f t="shared" si="42"/>
        <v>88706.722294308754</v>
      </c>
      <c r="I179" s="2">
        <f>MAX(Assumptions!$D$8-SUM(Model_30y!H179), 0)</f>
        <v>251293.27770569123</v>
      </c>
      <c r="J179" s="2">
        <f>J178*(1+(Assumptions!$E$51))</f>
        <v>872832.86669241893</v>
      </c>
      <c r="K179" s="22">
        <f t="shared" si="37"/>
        <v>621539.58898672764</v>
      </c>
      <c r="L179" s="5">
        <f t="shared" si="43"/>
        <v>173706.72229430868</v>
      </c>
      <c r="M179" s="63">
        <f>L179/Assumptions!$D$6</f>
        <v>0.40872169951602044</v>
      </c>
      <c r="N179" s="24">
        <f t="shared" si="51"/>
        <v>0</v>
      </c>
      <c r="O179" s="5">
        <f>N179*Assumptions!$E$25*-1</f>
        <v>0</v>
      </c>
      <c r="P179" s="20">
        <f>Assumptions!$E$35*J179*-1</f>
        <v>-1797.8927963238584</v>
      </c>
      <c r="Q179" s="5">
        <f>J179*Assumptions!$E$36*-1</f>
        <v>-724.0481303753844</v>
      </c>
      <c r="R179" s="5">
        <f>(R167+(Model_30y!R167*Assumptions!$D$51))</f>
        <v>-643.31277551785092</v>
      </c>
      <c r="S179" s="5">
        <f>S167+(S167*Assumptions!$D$51)</f>
        <v>0</v>
      </c>
      <c r="T179" s="5">
        <f t="shared" si="46"/>
        <v>0</v>
      </c>
      <c r="U179" s="22">
        <f t="shared" si="38"/>
        <v>-3165.2537022170936</v>
      </c>
      <c r="V179" s="5">
        <f>MAX(Assumptions!$E$18:$E$19)-U179</f>
        <v>6006.8867140157909</v>
      </c>
      <c r="W179" s="5">
        <f t="shared" si="39"/>
        <v>-2198.4576329329379</v>
      </c>
      <c r="X179" s="5">
        <f t="shared" si="44"/>
        <v>-3165.2537022170936</v>
      </c>
      <c r="Y179" s="5">
        <f>C179*Assumptions!$D$44*-1</f>
        <v>211.74727295589133</v>
      </c>
      <c r="Z179" s="5">
        <f t="shared" si="40"/>
        <v>854.92265182165056</v>
      </c>
      <c r="AA179" s="5">
        <f t="shared" si="47"/>
        <v>306185.59965186485</v>
      </c>
      <c r="AB179" s="3">
        <f>Assumptions!$E$45</f>
        <v>6.9899151946608562E-3</v>
      </c>
      <c r="AC179" s="5">
        <f t="shared" si="48"/>
        <v>309180.73367907939</v>
      </c>
      <c r="AD179" s="5">
        <f>AC179*Assumptions!$E$43</f>
        <v>276.89468998693849</v>
      </c>
      <c r="AE179" s="2">
        <f>AD179*Assumptions!$D$44*-1</f>
        <v>-41.534203498040775</v>
      </c>
      <c r="AF179" s="2">
        <f>AC179*Assumptions!$E$46*-1</f>
        <v>-10.30413550089248</v>
      </c>
      <c r="AG179" s="22">
        <f t="shared" si="49"/>
        <v>309128.89534008043</v>
      </c>
      <c r="AH179" s="5">
        <f>Model_30y[[#This Row],[Mortgage Payment]]+Model_30y[[#This Row],[Total Upkeep]]+Model_30y[[#This Row],[Monthly Investment]]</f>
        <v>-4508.788683328381</v>
      </c>
      <c r="AI179" s="5">
        <f>Model_Renter!D179*-1</f>
        <v>4608.150181084523</v>
      </c>
      <c r="AJ179" s="5">
        <f t="shared" si="50"/>
        <v>99.361497756141944</v>
      </c>
    </row>
    <row r="180" spans="1:36" x14ac:dyDescent="0.25">
      <c r="A180" s="17">
        <f t="shared" si="45"/>
        <v>178</v>
      </c>
      <c r="B180" s="17">
        <f t="shared" si="41"/>
        <v>15</v>
      </c>
      <c r="C180" s="23">
        <f>IFERROR(IPMT(Assumptions!$D$16/12,Model_30y!A180, 360,Assumptions!$D$8), 0)</f>
        <v>-1407.2423551518709</v>
      </c>
      <c r="D180" s="2">
        <f>IFERROR(PPMT(Assumptions!$D$16/12, Model_30y!A180, 360, Assumptions!$D$8), 0)</f>
        <v>-791.21527778106702</v>
      </c>
      <c r="E180" s="2">
        <f t="shared" si="35"/>
        <v>-2198.4576329329379</v>
      </c>
      <c r="F180" s="2">
        <f>IF(I179&gt;1, Assumptions!$E$18, 0)*-1</f>
        <v>-2198.4576329329379</v>
      </c>
      <c r="G180" s="24">
        <f t="shared" si="36"/>
        <v>1</v>
      </c>
      <c r="H180" s="20">
        <f t="shared" si="42"/>
        <v>89497.937572089824</v>
      </c>
      <c r="I180" s="2">
        <f>MAX(Assumptions!$D$8-SUM(Model_30y!H180), 0)</f>
        <v>250502.06242791016</v>
      </c>
      <c r="J180" s="2">
        <f>J179*(1+(Assumptions!$E$51))</f>
        <v>876388.8958337605</v>
      </c>
      <c r="K180" s="22">
        <f t="shared" si="37"/>
        <v>625886.83340585034</v>
      </c>
      <c r="L180" s="5">
        <f t="shared" si="43"/>
        <v>174497.93757208975</v>
      </c>
      <c r="M180" s="63">
        <f>L180/Assumptions!$D$6</f>
        <v>0.4105833825225641</v>
      </c>
      <c r="N180" s="24">
        <f t="shared" si="51"/>
        <v>0</v>
      </c>
      <c r="O180" s="5">
        <f>N180*Assumptions!$E$25*-1</f>
        <v>0</v>
      </c>
      <c r="P180" s="20">
        <f>Assumptions!$E$35*J180*-1</f>
        <v>-1805.2176341258116</v>
      </c>
      <c r="Q180" s="5">
        <f>J180*Assumptions!$E$36*-1</f>
        <v>-726.99799208385286</v>
      </c>
      <c r="R180" s="5">
        <f>(R168+(Model_30y!R168*Assumptions!$D$51))</f>
        <v>-643.31277551785092</v>
      </c>
      <c r="S180" s="5">
        <f>S168+(S168*Assumptions!$D$51)</f>
        <v>0</v>
      </c>
      <c r="T180" s="5">
        <f t="shared" si="46"/>
        <v>0</v>
      </c>
      <c r="U180" s="22">
        <f t="shared" si="38"/>
        <v>-3175.5284017275153</v>
      </c>
      <c r="V180" s="5">
        <f>MAX(Assumptions!$E$18:$E$19)-U180</f>
        <v>6017.1614135262116</v>
      </c>
      <c r="W180" s="5">
        <f t="shared" si="39"/>
        <v>-2198.4576329329379</v>
      </c>
      <c r="X180" s="5">
        <f t="shared" si="44"/>
        <v>-3175.5284017275153</v>
      </c>
      <c r="Y180" s="5">
        <f>C180*Assumptions!$D$44*-1</f>
        <v>211.08635327278063</v>
      </c>
      <c r="Z180" s="5">
        <f t="shared" si="40"/>
        <v>854.26173213853895</v>
      </c>
      <c r="AA180" s="5">
        <f t="shared" si="47"/>
        <v>309128.89534008043</v>
      </c>
      <c r="AB180" s="3">
        <f>Assumptions!$E$45</f>
        <v>6.9899151946608562E-3</v>
      </c>
      <c r="AC180" s="5">
        <f t="shared" si="48"/>
        <v>312143.94183486531</v>
      </c>
      <c r="AD180" s="5">
        <f>AC180*Assumptions!$E$43</f>
        <v>279.54846661104972</v>
      </c>
      <c r="AE180" s="2">
        <f>AD180*Assumptions!$D$44*-1</f>
        <v>-41.932269991657456</v>
      </c>
      <c r="AF180" s="2">
        <f>AC180*Assumptions!$E$46*-1</f>
        <v>-10.40289100221767</v>
      </c>
      <c r="AG180" s="22">
        <f t="shared" si="49"/>
        <v>312091.60667387146</v>
      </c>
      <c r="AH180" s="5">
        <f>Model_30y[[#This Row],[Mortgage Payment]]+Model_30y[[#This Row],[Total Upkeep]]+Model_30y[[#This Row],[Monthly Investment]]</f>
        <v>-4519.7243025219141</v>
      </c>
      <c r="AI180" s="5">
        <f>Model_Renter!D180*-1</f>
        <v>4608.150181084523</v>
      </c>
      <c r="AJ180" s="5">
        <f t="shared" si="50"/>
        <v>88.425878562608887</v>
      </c>
    </row>
    <row r="181" spans="1:36" x14ac:dyDescent="0.25">
      <c r="A181" s="17">
        <f t="shared" si="45"/>
        <v>179</v>
      </c>
      <c r="B181" s="17">
        <f t="shared" si="41"/>
        <v>15</v>
      </c>
      <c r="C181" s="23">
        <f>IFERROR(IPMT(Assumptions!$D$16/12,Model_30y!A181, 360,Assumptions!$D$8), 0)</f>
        <v>-1402.8115495962968</v>
      </c>
      <c r="D181" s="2">
        <f>IFERROR(PPMT(Assumptions!$D$16/12, Model_30y!A181, 360, Assumptions!$D$8), 0)</f>
        <v>-795.64608333664091</v>
      </c>
      <c r="E181" s="2">
        <f t="shared" si="35"/>
        <v>-2198.4576329329375</v>
      </c>
      <c r="F181" s="2">
        <f>IF(I180&gt;1, Assumptions!$E$18, 0)*-1</f>
        <v>-2198.4576329329379</v>
      </c>
      <c r="G181" s="24">
        <f t="shared" si="36"/>
        <v>1</v>
      </c>
      <c r="H181" s="20">
        <f t="shared" si="42"/>
        <v>90293.583655426468</v>
      </c>
      <c r="I181" s="2">
        <f>MAX(Assumptions!$D$8-SUM(Model_30y!H181), 0)</f>
        <v>249706.41634457355</v>
      </c>
      <c r="J181" s="2">
        <f>J180*(1+(Assumptions!$E$51))</f>
        <v>879959.41267800215</v>
      </c>
      <c r="K181" s="22">
        <f t="shared" si="37"/>
        <v>630252.99633342866</v>
      </c>
      <c r="L181" s="5">
        <f t="shared" si="43"/>
        <v>175293.5836554264</v>
      </c>
      <c r="M181" s="63">
        <f>L181/Assumptions!$D$6</f>
        <v>0.41245549095394446</v>
      </c>
      <c r="N181" s="24">
        <f t="shared" si="51"/>
        <v>0</v>
      </c>
      <c r="O181" s="5">
        <f>N181*Assumptions!$E$25*-1</f>
        <v>0</v>
      </c>
      <c r="P181" s="20">
        <f>Assumptions!$E$35*J181*-1</f>
        <v>-1812.572314223665</v>
      </c>
      <c r="Q181" s="5">
        <f>J181*Assumptions!$E$36*-1</f>
        <v>-729.95987189406628</v>
      </c>
      <c r="R181" s="5">
        <f>(R169+(Model_30y!R169*Assumptions!$D$51))</f>
        <v>-643.31277551785092</v>
      </c>
      <c r="S181" s="5">
        <f>S169+(S169*Assumptions!$D$51)</f>
        <v>0</v>
      </c>
      <c r="T181" s="5">
        <f t="shared" si="46"/>
        <v>0</v>
      </c>
      <c r="U181" s="22">
        <f t="shared" si="38"/>
        <v>-3185.844961635582</v>
      </c>
      <c r="V181" s="5">
        <f>MAX(Assumptions!$E$18:$E$19)-U181</f>
        <v>6027.4779734342792</v>
      </c>
      <c r="W181" s="5">
        <f t="shared" si="39"/>
        <v>-2198.4576329329379</v>
      </c>
      <c r="X181" s="5">
        <f t="shared" si="44"/>
        <v>-3185.844961635582</v>
      </c>
      <c r="Y181" s="5">
        <f>C181*Assumptions!$D$44*-1</f>
        <v>210.42173243944453</v>
      </c>
      <c r="Z181" s="5">
        <f t="shared" si="40"/>
        <v>853.59711130520384</v>
      </c>
      <c r="AA181" s="5">
        <f t="shared" si="47"/>
        <v>312091.60667387146</v>
      </c>
      <c r="AB181" s="3">
        <f>Assumptions!$E$45</f>
        <v>6.9899151946608562E-3</v>
      </c>
      <c r="AC181" s="5">
        <f t="shared" si="48"/>
        <v>315126.69764879247</v>
      </c>
      <c r="AD181" s="5">
        <f>AC181*Assumptions!$E$43</f>
        <v>282.21974963886407</v>
      </c>
      <c r="AE181" s="2">
        <f>AD181*Assumptions!$D$44*-1</f>
        <v>-42.332962445829608</v>
      </c>
      <c r="AF181" s="2">
        <f>AC181*Assumptions!$E$46*-1</f>
        <v>-10.502297972720179</v>
      </c>
      <c r="AG181" s="22">
        <f t="shared" si="49"/>
        <v>315073.86238837393</v>
      </c>
      <c r="AH181" s="5">
        <f>Model_30y[[#This Row],[Mortgage Payment]]+Model_30y[[#This Row],[Total Upkeep]]+Model_30y[[#This Row],[Monthly Investment]]</f>
        <v>-4530.7054832633166</v>
      </c>
      <c r="AI181" s="5">
        <f>Model_Renter!D181*-1</f>
        <v>4608.150181084523</v>
      </c>
      <c r="AJ181" s="5">
        <f t="shared" si="50"/>
        <v>77.444697821206319</v>
      </c>
    </row>
    <row r="182" spans="1:36" x14ac:dyDescent="0.25">
      <c r="A182" s="17">
        <f t="shared" si="45"/>
        <v>180</v>
      </c>
      <c r="B182" s="17">
        <f t="shared" si="41"/>
        <v>15</v>
      </c>
      <c r="C182" s="23">
        <f>IFERROR(IPMT(Assumptions!$D$16/12,Model_30y!A182, 360,Assumptions!$D$8), 0)</f>
        <v>-1398.3559315296118</v>
      </c>
      <c r="D182" s="2">
        <f>IFERROR(PPMT(Assumptions!$D$16/12, Model_30y!A182, 360, Assumptions!$D$8), 0)</f>
        <v>-800.10170140332627</v>
      </c>
      <c r="E182" s="2">
        <f t="shared" si="35"/>
        <v>-2198.4576329329379</v>
      </c>
      <c r="F182" s="2">
        <f>IF(I181&gt;1, Assumptions!$E$18, 0)*-1</f>
        <v>-2198.4576329329379</v>
      </c>
      <c r="G182" s="24">
        <f t="shared" si="36"/>
        <v>1</v>
      </c>
      <c r="H182" s="20">
        <f t="shared" si="42"/>
        <v>91093.685356829796</v>
      </c>
      <c r="I182" s="2">
        <f>MAX(Assumptions!$D$8-SUM(Model_30y!H182), 0)</f>
        <v>248906.31464317022</v>
      </c>
      <c r="J182" s="2">
        <f>J181*(1+(Assumptions!$E$51))</f>
        <v>883544.47624983883</v>
      </c>
      <c r="K182" s="22">
        <f t="shared" si="37"/>
        <v>634638.16160666861</v>
      </c>
      <c r="L182" s="5">
        <f t="shared" si="43"/>
        <v>176093.68535682972</v>
      </c>
      <c r="M182" s="63">
        <f>L182/Assumptions!$D$6</f>
        <v>0.41433808319254051</v>
      </c>
      <c r="N182" s="24">
        <f t="shared" si="51"/>
        <v>0</v>
      </c>
      <c r="O182" s="5">
        <f>N182*Assumptions!$E$25*-1</f>
        <v>0</v>
      </c>
      <c r="P182" s="20">
        <f>Assumptions!$E$35*J182*-1</f>
        <v>-1819.9569581986261</v>
      </c>
      <c r="Q182" s="5">
        <f>J182*Assumptions!$E$36*-1</f>
        <v>-732.93381876925878</v>
      </c>
      <c r="R182" s="5">
        <f>(R170+(Model_30y!R170*Assumptions!$D$51))</f>
        <v>-643.31277551785092</v>
      </c>
      <c r="S182" s="5">
        <f>S170+(S170*Assumptions!$D$51)</f>
        <v>0</v>
      </c>
      <c r="T182" s="5">
        <f t="shared" si="46"/>
        <v>0</v>
      </c>
      <c r="U182" s="22">
        <f t="shared" si="38"/>
        <v>-3196.2035524857356</v>
      </c>
      <c r="V182" s="5">
        <f>MAX(Assumptions!$E$18:$E$19)-U182</f>
        <v>6037.8365642844328</v>
      </c>
      <c r="W182" s="5">
        <f t="shared" si="39"/>
        <v>-2198.4576329329379</v>
      </c>
      <c r="X182" s="5">
        <f t="shared" si="44"/>
        <v>-3196.2035524857356</v>
      </c>
      <c r="Y182" s="5">
        <f>C182*Assumptions!$D$44*-1</f>
        <v>209.75338972944175</v>
      </c>
      <c r="Z182" s="5">
        <f t="shared" si="40"/>
        <v>852.92876859520106</v>
      </c>
      <c r="AA182" s="5">
        <f t="shared" si="47"/>
        <v>315073.86238837393</v>
      </c>
      <c r="AB182" s="3">
        <f>Assumptions!$E$45</f>
        <v>6.9899151946608562E-3</v>
      </c>
      <c r="AC182" s="5">
        <f t="shared" si="48"/>
        <v>318129.13073511812</v>
      </c>
      <c r="AD182" s="5">
        <f>AC182*Assumptions!$E$43</f>
        <v>284.90865514973456</v>
      </c>
      <c r="AE182" s="2">
        <f>AD182*Assumptions!$D$44*-1</f>
        <v>-42.736298272460182</v>
      </c>
      <c r="AF182" s="2">
        <f>AC182*Assumptions!$E$46*-1</f>
        <v>-10.602360732083364</v>
      </c>
      <c r="AG182" s="22">
        <f t="shared" si="49"/>
        <v>318075.79207611358</v>
      </c>
      <c r="AH182" s="5">
        <f>Model_30y[[#This Row],[Mortgage Payment]]+Model_30y[[#This Row],[Total Upkeep]]+Model_30y[[#This Row],[Monthly Investment]]</f>
        <v>-4541.7324168234727</v>
      </c>
      <c r="AI182" s="5">
        <f>Model_Renter!D182*-1</f>
        <v>4608.150181084523</v>
      </c>
      <c r="AJ182" s="5">
        <f t="shared" si="50"/>
        <v>66.417764261050252</v>
      </c>
    </row>
    <row r="183" spans="1:36" x14ac:dyDescent="0.25">
      <c r="A183" s="17">
        <f t="shared" si="45"/>
        <v>181</v>
      </c>
      <c r="B183" s="17">
        <f t="shared" si="41"/>
        <v>16</v>
      </c>
      <c r="C183" s="23">
        <f>IFERROR(IPMT(Assumptions!$D$16/12,Model_30y!A183, 360,Assumptions!$D$8), 0)</f>
        <v>-1393.8753620017533</v>
      </c>
      <c r="D183" s="2">
        <f>IFERROR(PPMT(Assumptions!$D$16/12, Model_30y!A183, 360, Assumptions!$D$8), 0)</f>
        <v>-804.58227093118467</v>
      </c>
      <c r="E183" s="2">
        <f t="shared" si="35"/>
        <v>-2198.4576329329379</v>
      </c>
      <c r="F183" s="2">
        <f>IF(I182&gt;1, Assumptions!$E$18, 0)*-1</f>
        <v>-2198.4576329329379</v>
      </c>
      <c r="G183" s="24">
        <f t="shared" si="36"/>
        <v>1</v>
      </c>
      <c r="H183" s="20">
        <f t="shared" si="42"/>
        <v>91898.267627760986</v>
      </c>
      <c r="I183" s="2">
        <f>MAX(Assumptions!$D$8-SUM(Model_30y!H183), 0)</f>
        <v>248101.732372239</v>
      </c>
      <c r="J183" s="2">
        <f>J182*(1+(Assumptions!$E$51))</f>
        <v>887144.1458144394</v>
      </c>
      <c r="K183" s="22">
        <f t="shared" si="37"/>
        <v>639042.4134422004</v>
      </c>
      <c r="L183" s="5">
        <f t="shared" si="43"/>
        <v>176898.26762776091</v>
      </c>
      <c r="M183" s="63">
        <f>L183/Assumptions!$D$6</f>
        <v>0.41623121794767276</v>
      </c>
      <c r="N183" s="24">
        <f t="shared" si="51"/>
        <v>0</v>
      </c>
      <c r="O183" s="5">
        <f>N183*Assumptions!$E$25*-1</f>
        <v>0</v>
      </c>
      <c r="P183" s="20">
        <f>Assumptions!$E$35*J183*-1</f>
        <v>-1827.3716881272394</v>
      </c>
      <c r="Q183" s="5">
        <f>J183*Assumptions!$E$36*-1</f>
        <v>-735.91988187214679</v>
      </c>
      <c r="R183" s="5">
        <f>(R171+(Model_30y!R171*Assumptions!$D$51))</f>
        <v>-675.47841429374353</v>
      </c>
      <c r="S183" s="5">
        <f>S171+(S171*Assumptions!$D$51)</f>
        <v>0</v>
      </c>
      <c r="T183" s="5">
        <f t="shared" si="46"/>
        <v>0</v>
      </c>
      <c r="U183" s="22">
        <f t="shared" si="38"/>
        <v>-3238.7699842931297</v>
      </c>
      <c r="V183" s="5">
        <f>MAX(Assumptions!$E$18:$E$19)-U183</f>
        <v>6080.4029960918269</v>
      </c>
      <c r="W183" s="5">
        <f t="shared" si="39"/>
        <v>-2198.4576329329379</v>
      </c>
      <c r="X183" s="5">
        <f t="shared" si="44"/>
        <v>-3238.7699842931297</v>
      </c>
      <c r="Y183" s="5">
        <f>C183*Assumptions!$D$44*-1</f>
        <v>209.08130430026299</v>
      </c>
      <c r="Z183" s="5">
        <f t="shared" si="40"/>
        <v>852.2566831660223</v>
      </c>
      <c r="AA183" s="5">
        <f t="shared" si="47"/>
        <v>318075.79207611358</v>
      </c>
      <c r="AB183" s="3">
        <f>Assumptions!$E$45</f>
        <v>6.9899151946608562E-3</v>
      </c>
      <c r="AC183" s="5">
        <f t="shared" si="48"/>
        <v>321151.37157136621</v>
      </c>
      <c r="AD183" s="5">
        <f>AC183*Assumptions!$E$43</f>
        <v>287.61529999613498</v>
      </c>
      <c r="AE183" s="2">
        <f>AD183*Assumptions!$D$44*-1</f>
        <v>-43.142294999420244</v>
      </c>
      <c r="AF183" s="2">
        <f>AC183*Assumptions!$E$46*-1</f>
        <v>-10.703083628760862</v>
      </c>
      <c r="AG183" s="22">
        <f t="shared" si="49"/>
        <v>321097.52619273803</v>
      </c>
      <c r="AH183" s="5">
        <f>Model_30y[[#This Row],[Mortgage Payment]]+Model_30y[[#This Row],[Total Upkeep]]+Model_30y[[#This Row],[Monthly Investment]]</f>
        <v>-4584.9709340600457</v>
      </c>
      <c r="AI183" s="5">
        <f>Model_Renter!D183*-1</f>
        <v>4780.4949978570849</v>
      </c>
      <c r="AJ183" s="5">
        <f t="shared" si="50"/>
        <v>195.52406379703916</v>
      </c>
    </row>
    <row r="184" spans="1:36" x14ac:dyDescent="0.25">
      <c r="A184" s="17">
        <f t="shared" si="45"/>
        <v>182</v>
      </c>
      <c r="B184" s="17">
        <f t="shared" si="41"/>
        <v>16</v>
      </c>
      <c r="C184" s="23">
        <f>IFERROR(IPMT(Assumptions!$D$16/12,Model_30y!A184, 360,Assumptions!$D$8), 0)</f>
        <v>-1389.3697012845385</v>
      </c>
      <c r="D184" s="2">
        <f>IFERROR(PPMT(Assumptions!$D$16/12, Model_30y!A184, 360, Assumptions!$D$8), 0)</f>
        <v>-809.08793164839938</v>
      </c>
      <c r="E184" s="2">
        <f t="shared" si="35"/>
        <v>-2198.4576329329379</v>
      </c>
      <c r="F184" s="2">
        <f>IF(I183&gt;1, Assumptions!$E$18, 0)*-1</f>
        <v>-2198.4576329329379</v>
      </c>
      <c r="G184" s="24">
        <f t="shared" si="36"/>
        <v>1</v>
      </c>
      <c r="H184" s="20">
        <f t="shared" si="42"/>
        <v>92707.355559409392</v>
      </c>
      <c r="I184" s="2">
        <f>MAX(Assumptions!$D$8-SUM(Model_30y!H184), 0)</f>
        <v>247292.64444059061</v>
      </c>
      <c r="J184" s="2">
        <f>J183*(1+(Assumptions!$E$51))</f>
        <v>890758.48087842646</v>
      </c>
      <c r="K184" s="22">
        <f t="shared" si="37"/>
        <v>643465.83643783582</v>
      </c>
      <c r="L184" s="5">
        <f t="shared" si="43"/>
        <v>177707.3555594093</v>
      </c>
      <c r="M184" s="63">
        <f>L184/Assumptions!$D$6</f>
        <v>0.41813495425743363</v>
      </c>
      <c r="N184" s="24">
        <f t="shared" si="51"/>
        <v>0</v>
      </c>
      <c r="O184" s="5">
        <f>N184*Assumptions!$E$25*-1</f>
        <v>0</v>
      </c>
      <c r="P184" s="20">
        <f>Assumptions!$E$35*J184*-1</f>
        <v>-1834.8166265834043</v>
      </c>
      <c r="Q184" s="5">
        <f>J184*Assumptions!$E$36*-1</f>
        <v>-738.91811056574181</v>
      </c>
      <c r="R184" s="5">
        <f>(R172+(Model_30y!R172*Assumptions!$D$51))</f>
        <v>-675.47841429374353</v>
      </c>
      <c r="S184" s="5">
        <f>S172+(S172*Assumptions!$D$51)</f>
        <v>0</v>
      </c>
      <c r="T184" s="5">
        <f t="shared" si="46"/>
        <v>0</v>
      </c>
      <c r="U184" s="22">
        <f t="shared" si="38"/>
        <v>-3249.2131514428893</v>
      </c>
      <c r="V184" s="5">
        <f>MAX(Assumptions!$E$18:$E$19)-U184</f>
        <v>6090.8461632415856</v>
      </c>
      <c r="W184" s="5">
        <f t="shared" si="39"/>
        <v>-2198.4576329329379</v>
      </c>
      <c r="X184" s="5">
        <f t="shared" si="44"/>
        <v>-3249.2131514428893</v>
      </c>
      <c r="Y184" s="5">
        <f>C184*Assumptions!$D$44*-1</f>
        <v>208.40545519268076</v>
      </c>
      <c r="Z184" s="5">
        <f t="shared" si="40"/>
        <v>851.58083405843911</v>
      </c>
      <c r="AA184" s="5">
        <f t="shared" si="47"/>
        <v>321097.52619273803</v>
      </c>
      <c r="AB184" s="3">
        <f>Assumptions!$E$45</f>
        <v>6.9899151946608562E-3</v>
      </c>
      <c r="AC184" s="5">
        <f t="shared" si="48"/>
        <v>324193.5515040991</v>
      </c>
      <c r="AD184" s="5">
        <f>AC184*Assumptions!$E$43</f>
        <v>290.3398018088285</v>
      </c>
      <c r="AE184" s="2">
        <f>AD184*Assumptions!$D$44*-1</f>
        <v>-43.550970271324275</v>
      </c>
      <c r="AF184" s="2">
        <f>AC184*Assumptions!$E$46*-1</f>
        <v>-10.80447104016895</v>
      </c>
      <c r="AG184" s="22">
        <f t="shared" si="49"/>
        <v>324139.19606278761</v>
      </c>
      <c r="AH184" s="5">
        <f>Model_30y[[#This Row],[Mortgage Payment]]+Model_30y[[#This Row],[Total Upkeep]]+Model_30y[[#This Row],[Monthly Investment]]</f>
        <v>-4596.0899503173878</v>
      </c>
      <c r="AI184" s="5">
        <f>Model_Renter!D184*-1</f>
        <v>4780.4949978570849</v>
      </c>
      <c r="AJ184" s="5">
        <f t="shared" si="50"/>
        <v>184.40504753969708</v>
      </c>
    </row>
    <row r="185" spans="1:36" x14ac:dyDescent="0.25">
      <c r="A185" s="17">
        <f t="shared" si="45"/>
        <v>183</v>
      </c>
      <c r="B185" s="17">
        <f t="shared" si="41"/>
        <v>16</v>
      </c>
      <c r="C185" s="23">
        <f>IFERROR(IPMT(Assumptions!$D$16/12,Model_30y!A185, 360,Assumptions!$D$8), 0)</f>
        <v>-1384.8388088673075</v>
      </c>
      <c r="D185" s="2">
        <f>IFERROR(PPMT(Assumptions!$D$16/12, Model_30y!A185, 360, Assumptions!$D$8), 0)</f>
        <v>-813.61882406563041</v>
      </c>
      <c r="E185" s="2">
        <f t="shared" si="35"/>
        <v>-2198.4576329329379</v>
      </c>
      <c r="F185" s="2">
        <f>IF(I184&gt;1, Assumptions!$E$18, 0)*-1</f>
        <v>-2198.4576329329379</v>
      </c>
      <c r="G185" s="24">
        <f t="shared" si="36"/>
        <v>1</v>
      </c>
      <c r="H185" s="20">
        <f t="shared" si="42"/>
        <v>93520.974383475026</v>
      </c>
      <c r="I185" s="2">
        <f>MAX(Assumptions!$D$8-SUM(Model_30y!H185), 0)</f>
        <v>246479.02561652497</v>
      </c>
      <c r="J185" s="2">
        <f>J184*(1+(Assumptions!$E$51))</f>
        <v>894387.54119085975</v>
      </c>
      <c r="K185" s="22">
        <f t="shared" si="37"/>
        <v>647908.51557433477</v>
      </c>
      <c r="L185" s="5">
        <f t="shared" si="43"/>
        <v>178520.97438347494</v>
      </c>
      <c r="M185" s="63">
        <f>L185/Assumptions!$D$6</f>
        <v>0.42004935149052924</v>
      </c>
      <c r="N185" s="24">
        <f t="shared" si="51"/>
        <v>0</v>
      </c>
      <c r="O185" s="5">
        <f>N185*Assumptions!$E$25*-1</f>
        <v>0</v>
      </c>
      <c r="P185" s="20">
        <f>Assumptions!$E$35*J185*-1</f>
        <v>-1842.2918966404013</v>
      </c>
      <c r="Q185" s="5">
        <f>J185*Assumptions!$E$36*-1</f>
        <v>-741.92855441416623</v>
      </c>
      <c r="R185" s="5">
        <f>(R173+(Model_30y!R173*Assumptions!$D$51))</f>
        <v>-675.47841429374353</v>
      </c>
      <c r="S185" s="5">
        <f>S173+(S173*Assumptions!$D$51)</f>
        <v>0</v>
      </c>
      <c r="T185" s="5">
        <f t="shared" si="46"/>
        <v>0</v>
      </c>
      <c r="U185" s="22">
        <f t="shared" si="38"/>
        <v>-3259.6988653483113</v>
      </c>
      <c r="V185" s="5">
        <f>MAX(Assumptions!$E$18:$E$19)-U185</f>
        <v>6101.3318771470076</v>
      </c>
      <c r="W185" s="5">
        <f t="shared" si="39"/>
        <v>-2198.4576329329379</v>
      </c>
      <c r="X185" s="5">
        <f t="shared" si="44"/>
        <v>-3259.6988653483113</v>
      </c>
      <c r="Y185" s="5">
        <f>C185*Assumptions!$D$44*-1</f>
        <v>207.72582133009612</v>
      </c>
      <c r="Z185" s="5">
        <f t="shared" si="40"/>
        <v>850.90120019585447</v>
      </c>
      <c r="AA185" s="5">
        <f t="shared" si="47"/>
        <v>324139.19606278761</v>
      </c>
      <c r="AB185" s="3">
        <f>Assumptions!$E$45</f>
        <v>6.9899151946608562E-3</v>
      </c>
      <c r="AC185" s="5">
        <f t="shared" si="48"/>
        <v>327255.80275472789</v>
      </c>
      <c r="AD185" s="5">
        <f>AC185*Assumptions!$E$43</f>
        <v>293.08227900207135</v>
      </c>
      <c r="AE185" s="2">
        <f>AD185*Assumptions!$D$44*-1</f>
        <v>-43.9623418503107</v>
      </c>
      <c r="AF185" s="2">
        <f>AC185*Assumptions!$E$46*-1</f>
        <v>-10.906527372880188</v>
      </c>
      <c r="AG185" s="22">
        <f t="shared" si="49"/>
        <v>327200.93388550472</v>
      </c>
      <c r="AH185" s="5">
        <f>Model_30y[[#This Row],[Mortgage Payment]]+Model_30y[[#This Row],[Total Upkeep]]+Model_30y[[#This Row],[Monthly Investment]]</f>
        <v>-4607.2552980853943</v>
      </c>
      <c r="AI185" s="5">
        <f>Model_Renter!D185*-1</f>
        <v>4780.4949978570849</v>
      </c>
      <c r="AJ185" s="5">
        <f t="shared" si="50"/>
        <v>173.23969977169054</v>
      </c>
    </row>
    <row r="186" spans="1:36" x14ac:dyDescent="0.25">
      <c r="A186" s="17">
        <f t="shared" si="45"/>
        <v>184</v>
      </c>
      <c r="B186" s="17">
        <f t="shared" si="41"/>
        <v>16</v>
      </c>
      <c r="C186" s="23">
        <f>IFERROR(IPMT(Assumptions!$D$16/12,Model_30y!A186, 360,Assumptions!$D$8), 0)</f>
        <v>-1380.28254345254</v>
      </c>
      <c r="D186" s="2">
        <f>IFERROR(PPMT(Assumptions!$D$16/12, Model_30y!A186, 360, Assumptions!$D$8), 0)</f>
        <v>-818.1750894803979</v>
      </c>
      <c r="E186" s="2">
        <f t="shared" si="35"/>
        <v>-2198.4576329329379</v>
      </c>
      <c r="F186" s="2">
        <f>IF(I185&gt;1, Assumptions!$E$18, 0)*-1</f>
        <v>-2198.4576329329379</v>
      </c>
      <c r="G186" s="24">
        <f t="shared" si="36"/>
        <v>1</v>
      </c>
      <c r="H186" s="20">
        <f t="shared" si="42"/>
        <v>94339.149472955425</v>
      </c>
      <c r="I186" s="2">
        <f>MAX(Assumptions!$D$8-SUM(Model_30y!H186), 0)</f>
        <v>245660.85052704456</v>
      </c>
      <c r="J186" s="2">
        <f>J185*(1+(Assumptions!$E$51))</f>
        <v>898031.38674422423</v>
      </c>
      <c r="K186" s="22">
        <f t="shared" si="37"/>
        <v>652370.53621717962</v>
      </c>
      <c r="L186" s="5">
        <f t="shared" si="43"/>
        <v>179339.14947295532</v>
      </c>
      <c r="M186" s="63">
        <f>L186/Assumptions!$D$6</f>
        <v>0.42197446934813015</v>
      </c>
      <c r="N186" s="24">
        <f t="shared" si="51"/>
        <v>0</v>
      </c>
      <c r="O186" s="5">
        <f>N186*Assumptions!$E$25*-1</f>
        <v>0</v>
      </c>
      <c r="P186" s="20">
        <f>Assumptions!$E$35*J186*-1</f>
        <v>-1849.7976218729266</v>
      </c>
      <c r="Q186" s="5">
        <f>J186*Assumptions!$E$36*-1</f>
        <v>-744.95126318347286</v>
      </c>
      <c r="R186" s="5">
        <f>(R174+(Model_30y!R174*Assumptions!$D$51))</f>
        <v>-675.47841429374353</v>
      </c>
      <c r="S186" s="5">
        <f>S174+(S174*Assumptions!$D$51)</f>
        <v>0</v>
      </c>
      <c r="T186" s="5">
        <f t="shared" si="46"/>
        <v>0</v>
      </c>
      <c r="U186" s="22">
        <f t="shared" si="38"/>
        <v>-3270.2272993501429</v>
      </c>
      <c r="V186" s="5">
        <f>MAX(Assumptions!$E$18:$E$19)-U186</f>
        <v>6111.8603111488392</v>
      </c>
      <c r="W186" s="5">
        <f t="shared" si="39"/>
        <v>-2198.4576329329379</v>
      </c>
      <c r="X186" s="5">
        <f t="shared" si="44"/>
        <v>-3270.2272993501429</v>
      </c>
      <c r="Y186" s="5">
        <f>C186*Assumptions!$D$44*-1</f>
        <v>207.04238151788101</v>
      </c>
      <c r="Z186" s="5">
        <f t="shared" si="40"/>
        <v>850.21776038363942</v>
      </c>
      <c r="AA186" s="5">
        <f t="shared" si="47"/>
        <v>327200.93388550472</v>
      </c>
      <c r="AB186" s="3">
        <f>Assumptions!$E$45</f>
        <v>6.9899151946608562E-3</v>
      </c>
      <c r="AC186" s="5">
        <f t="shared" si="48"/>
        <v>330338.25842536183</v>
      </c>
      <c r="AD186" s="5">
        <f>AC186*Assumptions!$E$43</f>
        <v>295.84285077885158</v>
      </c>
      <c r="AE186" s="2">
        <f>AD186*Assumptions!$D$44*-1</f>
        <v>-44.376427616827733</v>
      </c>
      <c r="AF186" s="2">
        <f>AC186*Assumptions!$E$46*-1</f>
        <v>-11.009257062818353</v>
      </c>
      <c r="AG186" s="22">
        <f t="shared" si="49"/>
        <v>330282.87274068216</v>
      </c>
      <c r="AH186" s="5">
        <f>Model_30y[[#This Row],[Mortgage Payment]]+Model_30y[[#This Row],[Total Upkeep]]+Model_30y[[#This Row],[Monthly Investment]]</f>
        <v>-4618.4671718994414</v>
      </c>
      <c r="AI186" s="5">
        <f>Model_Renter!D186*-1</f>
        <v>4780.4949978570849</v>
      </c>
      <c r="AJ186" s="5">
        <f t="shared" si="50"/>
        <v>162.02782595764347</v>
      </c>
    </row>
    <row r="187" spans="1:36" x14ac:dyDescent="0.25">
      <c r="A187" s="17">
        <f t="shared" si="45"/>
        <v>185</v>
      </c>
      <c r="B187" s="17">
        <f t="shared" si="41"/>
        <v>16</v>
      </c>
      <c r="C187" s="23">
        <f>IFERROR(IPMT(Assumptions!$D$16/12,Model_30y!A187, 360,Assumptions!$D$8), 0)</f>
        <v>-1375.7007629514496</v>
      </c>
      <c r="D187" s="2">
        <f>IFERROR(PPMT(Assumptions!$D$16/12, Model_30y!A187, 360, Assumptions!$D$8), 0)</f>
        <v>-822.75686998148819</v>
      </c>
      <c r="E187" s="2">
        <f t="shared" si="35"/>
        <v>-2198.4576329329379</v>
      </c>
      <c r="F187" s="2">
        <f>IF(I186&gt;1, Assumptions!$E$18, 0)*-1</f>
        <v>-2198.4576329329379</v>
      </c>
      <c r="G187" s="24">
        <f t="shared" si="36"/>
        <v>1</v>
      </c>
      <c r="H187" s="20">
        <f t="shared" si="42"/>
        <v>95161.906342936913</v>
      </c>
      <c r="I187" s="2">
        <f>MAX(Assumptions!$D$8-SUM(Model_30y!H187), 0)</f>
        <v>244838.09365706309</v>
      </c>
      <c r="J187" s="2">
        <f>J186*(1+(Assumptions!$E$51))</f>
        <v>901690.07777542155</v>
      </c>
      <c r="K187" s="22">
        <f t="shared" si="37"/>
        <v>656851.98411835846</v>
      </c>
      <c r="L187" s="5">
        <f t="shared" si="43"/>
        <v>180161.90634293683</v>
      </c>
      <c r="M187" s="63">
        <f>L187/Assumptions!$D$6</f>
        <v>0.42391036786573372</v>
      </c>
      <c r="N187" s="24">
        <f t="shared" si="51"/>
        <v>0</v>
      </c>
      <c r="O187" s="5">
        <f>N187*Assumptions!$E$25*-1</f>
        <v>0</v>
      </c>
      <c r="P187" s="20">
        <f>Assumptions!$E$35*J187*-1</f>
        <v>-1857.3339263591351</v>
      </c>
      <c r="Q187" s="5">
        <f>J187*Assumptions!$E$36*-1</f>
        <v>-747.98628684246751</v>
      </c>
      <c r="R187" s="5">
        <f>(R175+(Model_30y!R175*Assumptions!$D$51))</f>
        <v>-675.47841429374353</v>
      </c>
      <c r="S187" s="5">
        <f>S175+(S175*Assumptions!$D$51)</f>
        <v>0</v>
      </c>
      <c r="T187" s="5">
        <f t="shared" si="46"/>
        <v>0</v>
      </c>
      <c r="U187" s="22">
        <f t="shared" si="38"/>
        <v>-3280.7986274953464</v>
      </c>
      <c r="V187" s="5">
        <f>MAX(Assumptions!$E$18:$E$19)-U187</f>
        <v>6122.4316392940436</v>
      </c>
      <c r="W187" s="5">
        <f t="shared" si="39"/>
        <v>-2198.4576329329379</v>
      </c>
      <c r="X187" s="5">
        <f t="shared" si="44"/>
        <v>-3280.7986274953464</v>
      </c>
      <c r="Y187" s="5">
        <f>C187*Assumptions!$D$44*-1</f>
        <v>206.35511444271745</v>
      </c>
      <c r="Z187" s="5">
        <f t="shared" si="40"/>
        <v>849.53049330847671</v>
      </c>
      <c r="AA187" s="5">
        <f t="shared" si="47"/>
        <v>330282.87274068216</v>
      </c>
      <c r="AB187" s="3">
        <f>Assumptions!$E$45</f>
        <v>6.9899151946608562E-3</v>
      </c>
      <c r="AC187" s="5">
        <f t="shared" si="48"/>
        <v>333441.052504697</v>
      </c>
      <c r="AD187" s="5">
        <f>AC187*Assumptions!$E$43</f>
        <v>298.62163713616252</v>
      </c>
      <c r="AE187" s="2">
        <f>AD187*Assumptions!$D$44*-1</f>
        <v>-44.793245570424375</v>
      </c>
      <c r="AF187" s="2">
        <f>AC187*Assumptions!$E$46*-1</f>
        <v>-11.112664575454707</v>
      </c>
      <c r="AG187" s="22">
        <f t="shared" si="49"/>
        <v>333385.1465945511</v>
      </c>
      <c r="AH187" s="5">
        <f>Model_30y[[#This Row],[Mortgage Payment]]+Model_30y[[#This Row],[Total Upkeep]]+Model_30y[[#This Row],[Monthly Investment]]</f>
        <v>-4629.7257671198076</v>
      </c>
      <c r="AI187" s="5">
        <f>Model_Renter!D187*-1</f>
        <v>4780.4949978570849</v>
      </c>
      <c r="AJ187" s="5">
        <f t="shared" si="50"/>
        <v>150.76923073727721</v>
      </c>
    </row>
    <row r="188" spans="1:36" x14ac:dyDescent="0.25">
      <c r="A188" s="17">
        <f t="shared" si="45"/>
        <v>186</v>
      </c>
      <c r="B188" s="17">
        <f t="shared" si="41"/>
        <v>16</v>
      </c>
      <c r="C188" s="23">
        <f>IFERROR(IPMT(Assumptions!$D$16/12,Model_30y!A188, 360,Assumptions!$D$8), 0)</f>
        <v>-1371.0933244795533</v>
      </c>
      <c r="D188" s="2">
        <f>IFERROR(PPMT(Assumptions!$D$16/12, Model_30y!A188, 360, Assumptions!$D$8), 0)</f>
        <v>-827.36430845338452</v>
      </c>
      <c r="E188" s="2">
        <f t="shared" si="35"/>
        <v>-2198.4576329329379</v>
      </c>
      <c r="F188" s="2">
        <f>IF(I187&gt;1, Assumptions!$E$18, 0)*-1</f>
        <v>-2198.4576329329379</v>
      </c>
      <c r="G188" s="24">
        <f t="shared" si="36"/>
        <v>1</v>
      </c>
      <c r="H188" s="20">
        <f t="shared" si="42"/>
        <v>95989.270651390296</v>
      </c>
      <c r="I188" s="2">
        <f>MAX(Assumptions!$D$8-SUM(Model_30y!H188), 0)</f>
        <v>244010.72934860969</v>
      </c>
      <c r="J188" s="2">
        <f>J187*(1+(Assumptions!$E$51))</f>
        <v>905363.67476676614</v>
      </c>
      <c r="K188" s="22">
        <f t="shared" si="37"/>
        <v>661352.94541815645</v>
      </c>
      <c r="L188" s="5">
        <f t="shared" si="43"/>
        <v>180989.27065139022</v>
      </c>
      <c r="M188" s="63">
        <f>L188/Assumptions!$D$6</f>
        <v>0.4258571074150358</v>
      </c>
      <c r="N188" s="24">
        <f t="shared" si="51"/>
        <v>0</v>
      </c>
      <c r="O188" s="5">
        <f>N188*Assumptions!$E$25*-1</f>
        <v>0</v>
      </c>
      <c r="P188" s="20">
        <f>Assumptions!$E$35*J188*-1</f>
        <v>-1864.900934682692</v>
      </c>
      <c r="Q188" s="5">
        <f>J188*Assumptions!$E$36*-1</f>
        <v>-751.03367556353521</v>
      </c>
      <c r="R188" s="5">
        <f>(R176+(Model_30y!R176*Assumptions!$D$51))</f>
        <v>-675.47841429374353</v>
      </c>
      <c r="S188" s="5">
        <f>S176+(S176*Assumptions!$D$51)</f>
        <v>0</v>
      </c>
      <c r="T188" s="5">
        <f t="shared" si="46"/>
        <v>0</v>
      </c>
      <c r="U188" s="22">
        <f t="shared" si="38"/>
        <v>-3291.413024539971</v>
      </c>
      <c r="V188" s="5">
        <f>MAX(Assumptions!$E$18:$E$19)-U188</f>
        <v>6133.0460363386683</v>
      </c>
      <c r="W188" s="5">
        <f t="shared" si="39"/>
        <v>-2198.4576329329379</v>
      </c>
      <c r="X188" s="5">
        <f t="shared" si="44"/>
        <v>-3291.413024539971</v>
      </c>
      <c r="Y188" s="5">
        <f>C188*Assumptions!$D$44*-1</f>
        <v>205.663998671933</v>
      </c>
      <c r="Z188" s="5">
        <f t="shared" si="40"/>
        <v>848.83937753769226</v>
      </c>
      <c r="AA188" s="5">
        <f t="shared" si="47"/>
        <v>333385.1465945511</v>
      </c>
      <c r="AB188" s="3">
        <f>Assumptions!$E$45</f>
        <v>6.9899151946608562E-3</v>
      </c>
      <c r="AC188" s="5">
        <f t="shared" si="48"/>
        <v>336564.31987394433</v>
      </c>
      <c r="AD188" s="5">
        <f>AC188*Assumptions!$E$43</f>
        <v>301.4187588703121</v>
      </c>
      <c r="AE188" s="2">
        <f>AD188*Assumptions!$D$44*-1</f>
        <v>-45.212813830546814</v>
      </c>
      <c r="AF188" s="2">
        <f>AC188*Assumptions!$E$46*-1</f>
        <v>-11.216754406005549</v>
      </c>
      <c r="AG188" s="22">
        <f t="shared" si="49"/>
        <v>336507.89030570776</v>
      </c>
      <c r="AH188" s="5">
        <f>Model_30y[[#This Row],[Mortgage Payment]]+Model_30y[[#This Row],[Total Upkeep]]+Model_30y[[#This Row],[Monthly Investment]]</f>
        <v>-4641.0312799352168</v>
      </c>
      <c r="AI188" s="5">
        <f>Model_Renter!D188*-1</f>
        <v>4780.4949978570849</v>
      </c>
      <c r="AJ188" s="5">
        <f t="shared" si="50"/>
        <v>139.46371792186801</v>
      </c>
    </row>
    <row r="189" spans="1:36" x14ac:dyDescent="0.25">
      <c r="A189" s="17">
        <f t="shared" si="45"/>
        <v>187</v>
      </c>
      <c r="B189" s="17">
        <f t="shared" si="41"/>
        <v>16</v>
      </c>
      <c r="C189" s="23">
        <f>IFERROR(IPMT(Assumptions!$D$16/12,Model_30y!A189, 360,Assumptions!$D$8), 0)</f>
        <v>-1366.4600843522142</v>
      </c>
      <c r="D189" s="2">
        <f>IFERROR(PPMT(Assumptions!$D$16/12, Model_30y!A189, 360, Assumptions!$D$8), 0)</f>
        <v>-831.99754858072356</v>
      </c>
      <c r="E189" s="2">
        <f t="shared" si="35"/>
        <v>-2198.4576329329375</v>
      </c>
      <c r="F189" s="2">
        <f>IF(I188&gt;1, Assumptions!$E$18, 0)*-1</f>
        <v>-2198.4576329329379</v>
      </c>
      <c r="G189" s="24">
        <f t="shared" si="36"/>
        <v>1</v>
      </c>
      <c r="H189" s="20">
        <f t="shared" si="42"/>
        <v>96821.268199971018</v>
      </c>
      <c r="I189" s="2">
        <f>MAX(Assumptions!$D$8-SUM(Model_30y!H189), 0)</f>
        <v>243178.731800029</v>
      </c>
      <c r="J189" s="2">
        <f>J188*(1+(Assumptions!$E$51))</f>
        <v>909052.23844698467</v>
      </c>
      <c r="K189" s="22">
        <f t="shared" si="37"/>
        <v>665873.50664695562</v>
      </c>
      <c r="L189" s="5">
        <f t="shared" si="43"/>
        <v>181821.26819997095</v>
      </c>
      <c r="M189" s="63">
        <f>L189/Assumptions!$D$6</f>
        <v>0.42781474870581399</v>
      </c>
      <c r="N189" s="24">
        <f t="shared" si="51"/>
        <v>0</v>
      </c>
      <c r="O189" s="5">
        <f>N189*Assumptions!$E$25*-1</f>
        <v>0</v>
      </c>
      <c r="P189" s="20">
        <f>Assumptions!$E$35*J189*-1</f>
        <v>-1872.4987719348308</v>
      </c>
      <c r="Q189" s="5">
        <f>J189*Assumptions!$E$36*-1</f>
        <v>-754.0934797234695</v>
      </c>
      <c r="R189" s="5">
        <f>(R177+(Model_30y!R177*Assumptions!$D$51))</f>
        <v>-675.47841429374353</v>
      </c>
      <c r="S189" s="5">
        <f>S177+(S177*Assumptions!$D$51)</f>
        <v>0</v>
      </c>
      <c r="T189" s="5">
        <f t="shared" si="46"/>
        <v>0</v>
      </c>
      <c r="U189" s="22">
        <f t="shared" si="38"/>
        <v>-3302.0706659520438</v>
      </c>
      <c r="V189" s="5">
        <f>MAX(Assumptions!$E$18:$E$19)-U189</f>
        <v>6143.7036777507401</v>
      </c>
      <c r="W189" s="5">
        <f t="shared" si="39"/>
        <v>-2198.4576329329379</v>
      </c>
      <c r="X189" s="5">
        <f t="shared" si="44"/>
        <v>-3302.0706659520438</v>
      </c>
      <c r="Y189" s="5">
        <f>C189*Assumptions!$D$44*-1</f>
        <v>204.96901265283211</v>
      </c>
      <c r="Z189" s="5">
        <f t="shared" si="40"/>
        <v>848.14439151859051</v>
      </c>
      <c r="AA189" s="5">
        <f t="shared" si="47"/>
        <v>336507.89030570776</v>
      </c>
      <c r="AB189" s="3">
        <f>Assumptions!$E$45</f>
        <v>6.9899151946608562E-3</v>
      </c>
      <c r="AC189" s="5">
        <f t="shared" si="48"/>
        <v>339708.19631279749</v>
      </c>
      <c r="AD189" s="5">
        <f>AC189*Assumptions!$E$43</f>
        <v>304.23433758226724</v>
      </c>
      <c r="AE189" s="2">
        <f>AD189*Assumptions!$D$44*-1</f>
        <v>-45.635150637340082</v>
      </c>
      <c r="AF189" s="2">
        <f>AC189*Assumptions!$E$46*-1</f>
        <v>-11.321531079631116</v>
      </c>
      <c r="AG189" s="22">
        <f t="shared" si="49"/>
        <v>339651.23963108053</v>
      </c>
      <c r="AH189" s="5">
        <f>Model_30y[[#This Row],[Mortgage Payment]]+Model_30y[[#This Row],[Total Upkeep]]+Model_30y[[#This Row],[Monthly Investment]]</f>
        <v>-4652.3839073663912</v>
      </c>
      <c r="AI189" s="5">
        <f>Model_Renter!D189*-1</f>
        <v>4780.4949978570849</v>
      </c>
      <c r="AJ189" s="5">
        <f t="shared" si="50"/>
        <v>128.11109049069364</v>
      </c>
    </row>
    <row r="190" spans="1:36" x14ac:dyDescent="0.25">
      <c r="A190" s="17">
        <f t="shared" si="45"/>
        <v>188</v>
      </c>
      <c r="B190" s="17">
        <f t="shared" si="41"/>
        <v>16</v>
      </c>
      <c r="C190" s="23">
        <f>IFERROR(IPMT(Assumptions!$D$16/12,Model_30y!A190, 360,Assumptions!$D$8), 0)</f>
        <v>-1361.8008980801626</v>
      </c>
      <c r="D190" s="2">
        <f>IFERROR(PPMT(Assumptions!$D$16/12, Model_30y!A190, 360, Assumptions!$D$8), 0)</f>
        <v>-836.65673485277557</v>
      </c>
      <c r="E190" s="2">
        <f t="shared" si="35"/>
        <v>-2198.4576329329384</v>
      </c>
      <c r="F190" s="2">
        <f>IF(I189&gt;1, Assumptions!$E$18, 0)*-1</f>
        <v>-2198.4576329329379</v>
      </c>
      <c r="G190" s="24">
        <f t="shared" si="36"/>
        <v>1</v>
      </c>
      <c r="H190" s="20">
        <f t="shared" si="42"/>
        <v>97657.924934823794</v>
      </c>
      <c r="I190" s="2">
        <f>MAX(Assumptions!$D$8-SUM(Model_30y!H190), 0)</f>
        <v>242342.07506517621</v>
      </c>
      <c r="J190" s="2">
        <f>J189*(1+(Assumptions!$E$51))</f>
        <v>912755.82979222026</v>
      </c>
      <c r="K190" s="22">
        <f t="shared" si="37"/>
        <v>670413.75472704403</v>
      </c>
      <c r="L190" s="5">
        <f t="shared" si="43"/>
        <v>182657.92493482374</v>
      </c>
      <c r="M190" s="63">
        <f>L190/Assumptions!$D$6</f>
        <v>0.42978335278782054</v>
      </c>
      <c r="N190" s="24">
        <f t="shared" si="51"/>
        <v>0</v>
      </c>
      <c r="O190" s="5">
        <f>N190*Assumptions!$E$25*-1</f>
        <v>0</v>
      </c>
      <c r="P190" s="20">
        <f>Assumptions!$E$35*J190*-1</f>
        <v>-1880.1275637164226</v>
      </c>
      <c r="Q190" s="5">
        <f>J190*Assumptions!$E$36*-1</f>
        <v>-757.16574990430502</v>
      </c>
      <c r="R190" s="5">
        <f>(R178+(Model_30y!R178*Assumptions!$D$51))</f>
        <v>-675.47841429374353</v>
      </c>
      <c r="S190" s="5">
        <f>S178+(S178*Assumptions!$D$51)</f>
        <v>0</v>
      </c>
      <c r="T190" s="5">
        <f t="shared" si="46"/>
        <v>0</v>
      </c>
      <c r="U190" s="22">
        <f t="shared" si="38"/>
        <v>-3312.7717279144708</v>
      </c>
      <c r="V190" s="5">
        <f>MAX(Assumptions!$E$18:$E$19)-U190</f>
        <v>6154.4047397131671</v>
      </c>
      <c r="W190" s="5">
        <f t="shared" si="39"/>
        <v>-2198.4576329329379</v>
      </c>
      <c r="X190" s="5">
        <f t="shared" si="44"/>
        <v>-3312.7717279144708</v>
      </c>
      <c r="Y190" s="5">
        <f>C190*Assumptions!$D$44*-1</f>
        <v>204.27013471202437</v>
      </c>
      <c r="Z190" s="5">
        <f t="shared" si="40"/>
        <v>847.44551357778278</v>
      </c>
      <c r="AA190" s="5">
        <f t="shared" si="47"/>
        <v>339651.23963108053</v>
      </c>
      <c r="AB190" s="3">
        <f>Assumptions!$E$45</f>
        <v>6.9899151946608562E-3</v>
      </c>
      <c r="AC190" s="5">
        <f t="shared" si="48"/>
        <v>342872.81850544101</v>
      </c>
      <c r="AD190" s="5">
        <f>AC190*Assumptions!$E$43</f>
        <v>307.06849568303477</v>
      </c>
      <c r="AE190" s="2">
        <f>AD190*Assumptions!$D$44*-1</f>
        <v>-46.060274352455217</v>
      </c>
      <c r="AF190" s="2">
        <f>AC190*Assumptions!$E$46*-1</f>
        <v>-11.426999151635814</v>
      </c>
      <c r="AG190" s="22">
        <f t="shared" si="49"/>
        <v>342815.33123193693</v>
      </c>
      <c r="AH190" s="5">
        <f>Model_30y[[#This Row],[Mortgage Payment]]+Model_30y[[#This Row],[Total Upkeep]]+Model_30y[[#This Row],[Monthly Investment]]</f>
        <v>-4663.7838472696258</v>
      </c>
      <c r="AI190" s="5">
        <f>Model_Renter!D190*-1</f>
        <v>4780.4949978570849</v>
      </c>
      <c r="AJ190" s="5">
        <f t="shared" si="50"/>
        <v>116.71115058745909</v>
      </c>
    </row>
    <row r="191" spans="1:36" x14ac:dyDescent="0.25">
      <c r="A191" s="17">
        <f t="shared" si="45"/>
        <v>189</v>
      </c>
      <c r="B191" s="17">
        <f t="shared" si="41"/>
        <v>16</v>
      </c>
      <c r="C191" s="23">
        <f>IFERROR(IPMT(Assumptions!$D$16/12,Model_30y!A191, 360,Assumptions!$D$8), 0)</f>
        <v>-1357.1156203649869</v>
      </c>
      <c r="D191" s="2">
        <f>IFERROR(PPMT(Assumptions!$D$16/12, Model_30y!A191, 360, Assumptions!$D$8), 0)</f>
        <v>-841.34201256795097</v>
      </c>
      <c r="E191" s="2">
        <f t="shared" si="35"/>
        <v>-2198.4576329329379</v>
      </c>
      <c r="F191" s="2">
        <f>IF(I190&gt;1, Assumptions!$E$18, 0)*-1</f>
        <v>-2198.4576329329379</v>
      </c>
      <c r="G191" s="24">
        <f t="shared" si="36"/>
        <v>1</v>
      </c>
      <c r="H191" s="20">
        <f t="shared" si="42"/>
        <v>98499.266947391749</v>
      </c>
      <c r="I191" s="2">
        <f>MAX(Assumptions!$D$8-SUM(Model_30y!H191), 0)</f>
        <v>241500.73305260827</v>
      </c>
      <c r="J191" s="2">
        <f>J190*(1+(Assumptions!$E$51))</f>
        <v>916474.51002704038</v>
      </c>
      <c r="K191" s="22">
        <f t="shared" si="37"/>
        <v>674973.77697443217</v>
      </c>
      <c r="L191" s="5">
        <f t="shared" si="43"/>
        <v>183499.26694739168</v>
      </c>
      <c r="M191" s="63">
        <f>L191/Assumptions!$D$6</f>
        <v>0.43176298105268629</v>
      </c>
      <c r="N191" s="24">
        <f t="shared" si="51"/>
        <v>0</v>
      </c>
      <c r="O191" s="5">
        <f>N191*Assumptions!$E$25*-1</f>
        <v>0</v>
      </c>
      <c r="P191" s="20">
        <f>Assumptions!$E$35*J191*-1</f>
        <v>-1887.7874361400525</v>
      </c>
      <c r="Q191" s="5">
        <f>J191*Assumptions!$E$36*-1</f>
        <v>-760.25053689415404</v>
      </c>
      <c r="R191" s="5">
        <f>(R179+(Model_30y!R179*Assumptions!$D$51))</f>
        <v>-675.47841429374353</v>
      </c>
      <c r="S191" s="5">
        <f>S179+(S179*Assumptions!$D$51)</f>
        <v>0</v>
      </c>
      <c r="T191" s="5">
        <f t="shared" si="46"/>
        <v>0</v>
      </c>
      <c r="U191" s="22">
        <f t="shared" si="38"/>
        <v>-3323.5163873279498</v>
      </c>
      <c r="V191" s="5">
        <f>MAX(Assumptions!$E$18:$E$19)-U191</f>
        <v>6165.149399126647</v>
      </c>
      <c r="W191" s="5">
        <f t="shared" si="39"/>
        <v>-2198.4576329329379</v>
      </c>
      <c r="X191" s="5">
        <f t="shared" si="44"/>
        <v>-3323.5163873279498</v>
      </c>
      <c r="Y191" s="5">
        <f>C191*Assumptions!$D$44*-1</f>
        <v>203.56734305474802</v>
      </c>
      <c r="Z191" s="5">
        <f t="shared" si="40"/>
        <v>846.74272192050728</v>
      </c>
      <c r="AA191" s="5">
        <f t="shared" si="47"/>
        <v>342815.33123193693</v>
      </c>
      <c r="AB191" s="3">
        <f>Assumptions!$E$45</f>
        <v>6.9899151946608562E-3</v>
      </c>
      <c r="AC191" s="5">
        <f t="shared" si="48"/>
        <v>346058.32404659822</v>
      </c>
      <c r="AD191" s="5">
        <f>AC191*Assumptions!$E$43</f>
        <v>309.92135639907775</v>
      </c>
      <c r="AE191" s="2">
        <f>AD191*Assumptions!$D$44*-1</f>
        <v>-46.488203459861658</v>
      </c>
      <c r="AF191" s="2">
        <f>AC191*Assumptions!$E$46*-1</f>
        <v>-11.533163207669777</v>
      </c>
      <c r="AG191" s="22">
        <f t="shared" si="49"/>
        <v>346000.3026799307</v>
      </c>
      <c r="AH191" s="5">
        <f>Model_30y[[#This Row],[Mortgage Payment]]+Model_30y[[#This Row],[Total Upkeep]]+Model_30y[[#This Row],[Monthly Investment]]</f>
        <v>-4675.2312983403808</v>
      </c>
      <c r="AI191" s="5">
        <f>Model_Renter!D191*-1</f>
        <v>4780.4949978570849</v>
      </c>
      <c r="AJ191" s="5">
        <f t="shared" si="50"/>
        <v>105.26369951670404</v>
      </c>
    </row>
    <row r="192" spans="1:36" x14ac:dyDescent="0.25">
      <c r="A192" s="17">
        <f t="shared" si="45"/>
        <v>190</v>
      </c>
      <c r="B192" s="17">
        <f t="shared" si="41"/>
        <v>16</v>
      </c>
      <c r="C192" s="23">
        <f>IFERROR(IPMT(Assumptions!$D$16/12,Model_30y!A192, 360,Assumptions!$D$8), 0)</f>
        <v>-1352.4041050946066</v>
      </c>
      <c r="D192" s="2">
        <f>IFERROR(PPMT(Assumptions!$D$16/12, Model_30y!A192, 360, Assumptions!$D$8), 0)</f>
        <v>-846.05352783833166</v>
      </c>
      <c r="E192" s="2">
        <f t="shared" si="35"/>
        <v>-2198.4576329329384</v>
      </c>
      <c r="F192" s="2">
        <f>IF(I191&gt;1, Assumptions!$E$18, 0)*-1</f>
        <v>-2198.4576329329379</v>
      </c>
      <c r="G192" s="24">
        <f t="shared" si="36"/>
        <v>1</v>
      </c>
      <c r="H192" s="20">
        <f t="shared" si="42"/>
        <v>99345.320475230081</v>
      </c>
      <c r="I192" s="2">
        <f>MAX(Assumptions!$D$8-SUM(Model_30y!H192), 0)</f>
        <v>240654.67952476992</v>
      </c>
      <c r="J192" s="2">
        <f>J191*(1+(Assumptions!$E$51))</f>
        <v>920208.34062544897</v>
      </c>
      <c r="K192" s="22">
        <f t="shared" si="37"/>
        <v>679553.66110067908</v>
      </c>
      <c r="L192" s="5">
        <f t="shared" si="43"/>
        <v>184345.32047522999</v>
      </c>
      <c r="M192" s="63">
        <f>L192/Assumptions!$D$6</f>
        <v>0.43375369523583529</v>
      </c>
      <c r="N192" s="24">
        <f t="shared" si="51"/>
        <v>0</v>
      </c>
      <c r="O192" s="5">
        <f>N192*Assumptions!$E$25*-1</f>
        <v>0</v>
      </c>
      <c r="P192" s="20">
        <f>Assumptions!$E$35*J192*-1</f>
        <v>-1895.4785158321031</v>
      </c>
      <c r="Q192" s="5">
        <f>J192*Assumptions!$E$36*-1</f>
        <v>-763.34789168804582</v>
      </c>
      <c r="R192" s="5">
        <f>(R180+(Model_30y!R180*Assumptions!$D$51))</f>
        <v>-675.47841429374353</v>
      </c>
      <c r="S192" s="5">
        <f>S180+(S180*Assumptions!$D$51)</f>
        <v>0</v>
      </c>
      <c r="T192" s="5">
        <f t="shared" si="46"/>
        <v>0</v>
      </c>
      <c r="U192" s="22">
        <f t="shared" si="38"/>
        <v>-3334.304821813892</v>
      </c>
      <c r="V192" s="5">
        <f>MAX(Assumptions!$E$18:$E$19)-U192</f>
        <v>6175.9378336125883</v>
      </c>
      <c r="W192" s="5">
        <f t="shared" si="39"/>
        <v>-2198.4576329329379</v>
      </c>
      <c r="X192" s="5">
        <f t="shared" si="44"/>
        <v>-3334.304821813892</v>
      </c>
      <c r="Y192" s="5">
        <f>C192*Assumptions!$D$44*-1</f>
        <v>202.86061576419098</v>
      </c>
      <c r="Z192" s="5">
        <f t="shared" si="40"/>
        <v>846.0359946299493</v>
      </c>
      <c r="AA192" s="5">
        <f t="shared" si="47"/>
        <v>346000.3026799307</v>
      </c>
      <c r="AB192" s="3">
        <f>Assumptions!$E$45</f>
        <v>6.9899151946608562E-3</v>
      </c>
      <c r="AC192" s="5">
        <f t="shared" si="48"/>
        <v>349264.85144762037</v>
      </c>
      <c r="AD192" s="5">
        <f>AC192*Assumptions!$E$43</f>
        <v>312.79304377776884</v>
      </c>
      <c r="AE192" s="2">
        <f>AD192*Assumptions!$D$44*-1</f>
        <v>-46.918956566665322</v>
      </c>
      <c r="AF192" s="2">
        <f>AC192*Assumptions!$E$46*-1</f>
        <v>-11.640027863931806</v>
      </c>
      <c r="AG192" s="22">
        <f t="shared" si="49"/>
        <v>349206.29246318975</v>
      </c>
      <c r="AH192" s="5">
        <f>Model_30y[[#This Row],[Mortgage Payment]]+Model_30y[[#This Row],[Total Upkeep]]+Model_30y[[#This Row],[Monthly Investment]]</f>
        <v>-4686.7264601168799</v>
      </c>
      <c r="AI192" s="5">
        <f>Model_Renter!D192*-1</f>
        <v>4780.4949978570849</v>
      </c>
      <c r="AJ192" s="5">
        <f t="shared" si="50"/>
        <v>93.76853774020492</v>
      </c>
    </row>
    <row r="193" spans="1:36" x14ac:dyDescent="0.25">
      <c r="A193" s="17">
        <f t="shared" si="45"/>
        <v>191</v>
      </c>
      <c r="B193" s="17">
        <f t="shared" si="41"/>
        <v>16</v>
      </c>
      <c r="C193" s="23">
        <f>IFERROR(IPMT(Assumptions!$D$16/12,Model_30y!A193, 360,Assumptions!$D$8), 0)</f>
        <v>-1347.6662053387115</v>
      </c>
      <c r="D193" s="2">
        <f>IFERROR(PPMT(Assumptions!$D$16/12, Model_30y!A193, 360, Assumptions!$D$8), 0)</f>
        <v>-850.79142759422621</v>
      </c>
      <c r="E193" s="2">
        <f t="shared" si="35"/>
        <v>-2198.4576329329375</v>
      </c>
      <c r="F193" s="2">
        <f>IF(I192&gt;1, Assumptions!$E$18, 0)*-1</f>
        <v>-2198.4576329329379</v>
      </c>
      <c r="G193" s="24">
        <f t="shared" si="36"/>
        <v>1</v>
      </c>
      <c r="H193" s="20">
        <f t="shared" si="42"/>
        <v>100196.11190282431</v>
      </c>
      <c r="I193" s="2">
        <f>MAX(Assumptions!$D$8-SUM(Model_30y!H193), 0)</f>
        <v>239803.88809717569</v>
      </c>
      <c r="J193" s="2">
        <f>J192*(1+(Assumptions!$E$51))</f>
        <v>923957.38331190264</v>
      </c>
      <c r="K193" s="22">
        <f t="shared" si="37"/>
        <v>684153.49521472701</v>
      </c>
      <c r="L193" s="5">
        <f t="shared" si="43"/>
        <v>185196.11190282422</v>
      </c>
      <c r="M193" s="63">
        <f>L193/Assumptions!$D$6</f>
        <v>0.43575555741840993</v>
      </c>
      <c r="N193" s="24">
        <f t="shared" si="51"/>
        <v>0</v>
      </c>
      <c r="O193" s="5">
        <f>N193*Assumptions!$E$25*-1</f>
        <v>0</v>
      </c>
      <c r="P193" s="20">
        <f>Assumptions!$E$35*J193*-1</f>
        <v>-1903.200929934849</v>
      </c>
      <c r="Q193" s="5">
        <f>J193*Assumptions!$E$36*-1</f>
        <v>-766.45786548876993</v>
      </c>
      <c r="R193" s="5">
        <f>(R181+(Model_30y!R181*Assumptions!$D$51))</f>
        <v>-675.47841429374353</v>
      </c>
      <c r="S193" s="5">
        <f>S181+(S181*Assumptions!$D$51)</f>
        <v>0</v>
      </c>
      <c r="T193" s="5">
        <f t="shared" si="46"/>
        <v>0</v>
      </c>
      <c r="U193" s="22">
        <f t="shared" si="38"/>
        <v>-3345.1372097173626</v>
      </c>
      <c r="V193" s="5">
        <f>MAX(Assumptions!$E$18:$E$19)-U193</f>
        <v>6186.7702215160589</v>
      </c>
      <c r="W193" s="5">
        <f t="shared" si="39"/>
        <v>-2198.4576329329379</v>
      </c>
      <c r="X193" s="5">
        <f t="shared" si="44"/>
        <v>-3345.1372097173626</v>
      </c>
      <c r="Y193" s="5">
        <f>C193*Assumptions!$D$44*-1</f>
        <v>202.14993080080671</v>
      </c>
      <c r="Z193" s="5">
        <f t="shared" si="40"/>
        <v>845.32530966656509</v>
      </c>
      <c r="AA193" s="5">
        <f t="shared" si="47"/>
        <v>349206.29246318975</v>
      </c>
      <c r="AB193" s="3">
        <f>Assumptions!$E$45</f>
        <v>6.9899151946608562E-3</v>
      </c>
      <c r="AC193" s="5">
        <f t="shared" si="48"/>
        <v>352492.54014261597</v>
      </c>
      <c r="AD193" s="5">
        <f>AC193*Assumptions!$E$43</f>
        <v>315.6836826928793</v>
      </c>
      <c r="AE193" s="2">
        <f>AD193*Assumptions!$D$44*-1</f>
        <v>-47.352552403931895</v>
      </c>
      <c r="AF193" s="2">
        <f>AC193*Assumptions!$E$46*-1</f>
        <v>-11.747597767373639</v>
      </c>
      <c r="AG193" s="22">
        <f t="shared" si="49"/>
        <v>352433.43999244465</v>
      </c>
      <c r="AH193" s="5">
        <f>Model_30y[[#This Row],[Mortgage Payment]]+Model_30y[[#This Row],[Total Upkeep]]+Model_30y[[#This Row],[Monthly Investment]]</f>
        <v>-4698.2695329837352</v>
      </c>
      <c r="AI193" s="5">
        <f>Model_Renter!D193*-1</f>
        <v>4780.4949978570849</v>
      </c>
      <c r="AJ193" s="5">
        <f t="shared" si="50"/>
        <v>82.225464873349665</v>
      </c>
    </row>
    <row r="194" spans="1:36" x14ac:dyDescent="0.25">
      <c r="A194" s="17">
        <f t="shared" si="45"/>
        <v>192</v>
      </c>
      <c r="B194" s="17">
        <f t="shared" si="41"/>
        <v>16</v>
      </c>
      <c r="C194" s="23">
        <f>IFERROR(IPMT(Assumptions!$D$16/12,Model_30y!A194, 360,Assumptions!$D$8), 0)</f>
        <v>-1342.9017733441838</v>
      </c>
      <c r="D194" s="2">
        <f>IFERROR(PPMT(Assumptions!$D$16/12, Model_30y!A194, 360, Assumptions!$D$8), 0)</f>
        <v>-855.55585958875395</v>
      </c>
      <c r="E194" s="2">
        <f t="shared" ref="E194:E257" si="52">SUM(C194:D194)</f>
        <v>-2198.4576329329375</v>
      </c>
      <c r="F194" s="2">
        <f>IF(I193&gt;1, Assumptions!$E$18, 0)*-1</f>
        <v>-2198.4576329329379</v>
      </c>
      <c r="G194" s="24">
        <f t="shared" ref="G194:G257" si="53">IF(E194+F194&lt;1, 1, 0)</f>
        <v>1</v>
      </c>
      <c r="H194" s="20">
        <f t="shared" si="42"/>
        <v>101051.66776241307</v>
      </c>
      <c r="I194" s="2">
        <f>MAX(Assumptions!$D$8-SUM(Model_30y!H194), 0)</f>
        <v>238948.33223758693</v>
      </c>
      <c r="J194" s="2">
        <f>J193*(1+(Assumptions!$E$51))</f>
        <v>927721.70006233116</v>
      </c>
      <c r="K194" s="22">
        <f t="shared" ref="K194:K257" si="54">(J194-I194)</f>
        <v>688773.3678247442</v>
      </c>
      <c r="L194" s="5">
        <f t="shared" si="43"/>
        <v>186051.66776241298</v>
      </c>
      <c r="M194" s="63">
        <f>L194/Assumptions!$D$6</f>
        <v>0.43776863002920702</v>
      </c>
      <c r="N194" s="24">
        <f t="shared" si="51"/>
        <v>0</v>
      </c>
      <c r="O194" s="5">
        <f>N194*Assumptions!$E$25*-1</f>
        <v>0</v>
      </c>
      <c r="P194" s="20">
        <f>Assumptions!$E$35*J194*-1</f>
        <v>-1910.9548061085582</v>
      </c>
      <c r="Q194" s="5">
        <f>J194*Assumptions!$E$36*-1</f>
        <v>-769.58050970772206</v>
      </c>
      <c r="R194" s="5">
        <f>(R182+(Model_30y!R182*Assumptions!$D$51))</f>
        <v>-675.47841429374353</v>
      </c>
      <c r="S194" s="5">
        <f>S182+(S182*Assumptions!$D$51)</f>
        <v>0</v>
      </c>
      <c r="T194" s="5">
        <f t="shared" si="46"/>
        <v>0</v>
      </c>
      <c r="U194" s="22">
        <f t="shared" ref="U194:U257" si="55">SUM(P194:T194)</f>
        <v>-3356.013730110024</v>
      </c>
      <c r="V194" s="5">
        <f>MAX(Assumptions!$E$18:$E$19)-U194</f>
        <v>6197.6467419087203</v>
      </c>
      <c r="W194" s="5">
        <f t="shared" ref="W194:W257" si="56">F194</f>
        <v>-2198.4576329329379</v>
      </c>
      <c r="X194" s="5">
        <f t="shared" si="44"/>
        <v>-3356.013730110024</v>
      </c>
      <c r="Y194" s="5">
        <f>C194*Assumptions!$D$44*-1</f>
        <v>201.43526600162755</v>
      </c>
      <c r="Z194" s="5">
        <f t="shared" ref="Z194:Z257" si="57">SUM(V194:Y194)</f>
        <v>844.61064486738587</v>
      </c>
      <c r="AA194" s="5">
        <f t="shared" si="47"/>
        <v>352433.43999244465</v>
      </c>
      <c r="AB194" s="3">
        <f>Assumptions!$E$45</f>
        <v>6.9899151946608562E-3</v>
      </c>
      <c r="AC194" s="5">
        <f t="shared" si="48"/>
        <v>355741.53049462184</v>
      </c>
      <c r="AD194" s="5">
        <f>AC194*Assumptions!$E$43</f>
        <v>318.59339885010598</v>
      </c>
      <c r="AE194" s="2">
        <f>AD194*Assumptions!$D$44*-1</f>
        <v>-47.789009827515898</v>
      </c>
      <c r="AF194" s="2">
        <f>AC194*Assumptions!$E$46*-1</f>
        <v>-11.855877595905614</v>
      </c>
      <c r="AG194" s="22">
        <f t="shared" si="49"/>
        <v>355681.8856071984</v>
      </c>
      <c r="AH194" s="5">
        <f>Model_30y[[#This Row],[Mortgage Payment]]+Model_30y[[#This Row],[Total Upkeep]]+Model_30y[[#This Row],[Monthly Investment]]</f>
        <v>-4709.860718175576</v>
      </c>
      <c r="AI194" s="5">
        <f>Model_Renter!D194*-1</f>
        <v>4780.4949978570849</v>
      </c>
      <c r="AJ194" s="5">
        <f t="shared" si="50"/>
        <v>70.634279681508815</v>
      </c>
    </row>
    <row r="195" spans="1:36" x14ac:dyDescent="0.25">
      <c r="A195" s="17">
        <f t="shared" si="45"/>
        <v>193</v>
      </c>
      <c r="B195" s="17">
        <f t="shared" ref="B195:B258" si="58">ROUNDUP(A195/12,0)</f>
        <v>17</v>
      </c>
      <c r="C195" s="23">
        <f>IFERROR(IPMT(Assumptions!$D$16/12,Model_30y!A195, 360,Assumptions!$D$8), 0)</f>
        <v>-1338.1106605304869</v>
      </c>
      <c r="D195" s="2">
        <f>IFERROR(PPMT(Assumptions!$D$16/12, Model_30y!A195, 360, Assumptions!$D$8), 0)</f>
        <v>-860.346972402451</v>
      </c>
      <c r="E195" s="2">
        <f t="shared" si="52"/>
        <v>-2198.4576329329379</v>
      </c>
      <c r="F195" s="2">
        <f>IF(I194&gt;1, Assumptions!$E$18, 0)*-1</f>
        <v>-2198.4576329329379</v>
      </c>
      <c r="G195" s="24">
        <f t="shared" si="53"/>
        <v>1</v>
      </c>
      <c r="H195" s="20">
        <f t="shared" ref="H195:H258" si="59">H194+D195*-1</f>
        <v>101912.01473481552</v>
      </c>
      <c r="I195" s="2">
        <f>MAX(Assumptions!$D$8-SUM(Model_30y!H195), 0)</f>
        <v>238087.98526518448</v>
      </c>
      <c r="J195" s="2">
        <f>J194*(1+(Assumptions!$E$51))</f>
        <v>931501.3531051618</v>
      </c>
      <c r="K195" s="22">
        <f t="shared" si="54"/>
        <v>693413.36783997738</v>
      </c>
      <c r="L195" s="5">
        <f t="shared" ref="L195:L258" si="60">L194+D195*-1</f>
        <v>186912.01473481543</v>
      </c>
      <c r="M195" s="63">
        <f>L195/Assumptions!$D$6</f>
        <v>0.43979297584662452</v>
      </c>
      <c r="N195" s="24">
        <f t="shared" si="51"/>
        <v>0</v>
      </c>
      <c r="O195" s="5">
        <f>N195*Assumptions!$E$25*-1</f>
        <v>0</v>
      </c>
      <c r="P195" s="20">
        <f>Assumptions!$E$35*J195*-1</f>
        <v>-1918.7402725336024</v>
      </c>
      <c r="Q195" s="5">
        <f>J195*Assumptions!$E$36*-1</f>
        <v>-772.71587596575455</v>
      </c>
      <c r="R195" s="5">
        <f>(R183+(Model_30y!R183*Assumptions!$D$51))</f>
        <v>-709.25233500843069</v>
      </c>
      <c r="S195" s="5">
        <f>S183+(S183*Assumptions!$D$51)</f>
        <v>0</v>
      </c>
      <c r="T195" s="5">
        <f t="shared" si="46"/>
        <v>0</v>
      </c>
      <c r="U195" s="22">
        <f t="shared" si="55"/>
        <v>-3400.7084835077876</v>
      </c>
      <c r="V195" s="5">
        <f>MAX(Assumptions!$E$18:$E$19)-U195</f>
        <v>6242.3414953064839</v>
      </c>
      <c r="W195" s="5">
        <f t="shared" si="56"/>
        <v>-2198.4576329329379</v>
      </c>
      <c r="X195" s="5">
        <f t="shared" ref="X195:X258" si="61">U195</f>
        <v>-3400.7084835077876</v>
      </c>
      <c r="Y195" s="5">
        <f>C195*Assumptions!$D$44*-1</f>
        <v>200.71659907957303</v>
      </c>
      <c r="Z195" s="5">
        <f t="shared" si="57"/>
        <v>843.8919779453314</v>
      </c>
      <c r="AA195" s="5">
        <f t="shared" si="47"/>
        <v>355681.8856071984</v>
      </c>
      <c r="AB195" s="3">
        <f>Assumptions!$E$45</f>
        <v>6.9899151946608562E-3</v>
      </c>
      <c r="AC195" s="5">
        <f t="shared" si="48"/>
        <v>359011.96380181512</v>
      </c>
      <c r="AD195" s="5">
        <f>AC195*Assumptions!$E$43</f>
        <v>321.52231879263445</v>
      </c>
      <c r="AE195" s="2">
        <f>AD195*Assumptions!$D$44*-1</f>
        <v>-48.228347818895166</v>
      </c>
      <c r="AF195" s="2">
        <f>AC195*Assumptions!$E$46*-1</f>
        <v>-11.964872058603699</v>
      </c>
      <c r="AG195" s="22">
        <f t="shared" si="49"/>
        <v>358951.77058193763</v>
      </c>
      <c r="AH195" s="5">
        <f>Model_30y[[#This Row],[Mortgage Payment]]+Model_30y[[#This Row],[Total Upkeep]]+Model_30y[[#This Row],[Monthly Investment]]</f>
        <v>-4755.2741384953933</v>
      </c>
      <c r="AI195" s="5">
        <f>Model_Renter!D195*-1</f>
        <v>4959.2855107769401</v>
      </c>
      <c r="AJ195" s="5">
        <f t="shared" si="50"/>
        <v>204.01137228154676</v>
      </c>
    </row>
    <row r="196" spans="1:36" x14ac:dyDescent="0.25">
      <c r="A196" s="17">
        <f t="shared" ref="A196:A259" si="62">A195+1</f>
        <v>194</v>
      </c>
      <c r="B196" s="17">
        <f t="shared" si="58"/>
        <v>17</v>
      </c>
      <c r="C196" s="23">
        <f>IFERROR(IPMT(Assumptions!$D$16/12,Model_30y!A196, 360,Assumptions!$D$8), 0)</f>
        <v>-1333.2927174850333</v>
      </c>
      <c r="D196" s="2">
        <f>IFERROR(PPMT(Assumptions!$D$16/12, Model_30y!A196, 360, Assumptions!$D$8), 0)</f>
        <v>-865.1649154479046</v>
      </c>
      <c r="E196" s="2">
        <f t="shared" si="52"/>
        <v>-2198.4576329329379</v>
      </c>
      <c r="F196" s="2">
        <f>IF(I195&gt;1, Assumptions!$E$18, 0)*-1</f>
        <v>-2198.4576329329379</v>
      </c>
      <c r="G196" s="24">
        <f t="shared" si="53"/>
        <v>1</v>
      </c>
      <c r="H196" s="20">
        <f t="shared" si="59"/>
        <v>102777.17965026342</v>
      </c>
      <c r="I196" s="2">
        <f>MAX(Assumptions!$D$8-SUM(Model_30y!H196), 0)</f>
        <v>237222.82034973658</v>
      </c>
      <c r="J196" s="2">
        <f>J195*(1+(Assumptions!$E$51))</f>
        <v>935296.40492234821</v>
      </c>
      <c r="K196" s="22">
        <f t="shared" si="54"/>
        <v>698073.58457261161</v>
      </c>
      <c r="L196" s="5">
        <f t="shared" si="60"/>
        <v>187777.17965026334</v>
      </c>
      <c r="M196" s="63">
        <f>L196/Assumptions!$D$6</f>
        <v>0.4418286580006196</v>
      </c>
      <c r="N196" s="24">
        <f t="shared" si="51"/>
        <v>0</v>
      </c>
      <c r="O196" s="5">
        <f>N196*Assumptions!$E$25*-1</f>
        <v>0</v>
      </c>
      <c r="P196" s="20">
        <f>Assumptions!$E$35*J196*-1</f>
        <v>-1926.5574579125755</v>
      </c>
      <c r="Q196" s="5">
        <f>J196*Assumptions!$E$36*-1</f>
        <v>-775.86401609402935</v>
      </c>
      <c r="R196" s="5">
        <f>(R184+(Model_30y!R184*Assumptions!$D$51))</f>
        <v>-709.25233500843069</v>
      </c>
      <c r="S196" s="5">
        <f>S184+(S184*Assumptions!$D$51)</f>
        <v>0</v>
      </c>
      <c r="T196" s="5">
        <f t="shared" ref="T196:T259" si="63">O196</f>
        <v>0</v>
      </c>
      <c r="U196" s="22">
        <f t="shared" si="55"/>
        <v>-3411.6738090150357</v>
      </c>
      <c r="V196" s="5">
        <f>MAX(Assumptions!$E$18:$E$19)-U196</f>
        <v>6253.306820813732</v>
      </c>
      <c r="W196" s="5">
        <f t="shared" si="56"/>
        <v>-2198.4576329329379</v>
      </c>
      <c r="X196" s="5">
        <f t="shared" si="61"/>
        <v>-3411.6738090150357</v>
      </c>
      <c r="Y196" s="5">
        <f>C196*Assumptions!$D$44*-1</f>
        <v>199.99390762275499</v>
      </c>
      <c r="Z196" s="5">
        <f t="shared" si="57"/>
        <v>843.16928648851331</v>
      </c>
      <c r="AA196" s="5">
        <f t="shared" ref="AA196:AA259" si="64">AG195</f>
        <v>358951.77058193763</v>
      </c>
      <c r="AB196" s="3">
        <f>Assumptions!$E$45</f>
        <v>6.9899151946608562E-3</v>
      </c>
      <c r="AC196" s="5">
        <f t="shared" ref="AC196:AC259" si="65">(AA196+Z196)+(AA196*AB196)</f>
        <v>362303.98230376723</v>
      </c>
      <c r="AD196" s="5">
        <f>AC196*Assumptions!$E$43</f>
        <v>324.47056990673997</v>
      </c>
      <c r="AE196" s="2">
        <f>AD196*Assumptions!$D$44*-1</f>
        <v>-48.670585486010992</v>
      </c>
      <c r="AF196" s="2">
        <f>AC196*Assumptions!$E$46*-1</f>
        <v>-12.074585895917926</v>
      </c>
      <c r="AG196" s="22">
        <f t="shared" ref="AG196:AG259" si="66">AC196+SUM(AE196:AF196)</f>
        <v>362243.23713238531</v>
      </c>
      <c r="AH196" s="5">
        <f>Model_30y[[#This Row],[Mortgage Payment]]+Model_30y[[#This Row],[Total Upkeep]]+Model_30y[[#This Row],[Monthly Investment]]</f>
        <v>-4766.9621554594596</v>
      </c>
      <c r="AI196" s="5">
        <f>Model_Renter!D196*-1</f>
        <v>4959.2855107769401</v>
      </c>
      <c r="AJ196" s="5">
        <f t="shared" ref="AJ196:AJ259" si="67">SUM(AH196:AI196)</f>
        <v>192.32335531748049</v>
      </c>
    </row>
    <row r="197" spans="1:36" x14ac:dyDescent="0.25">
      <c r="A197" s="17">
        <f t="shared" si="62"/>
        <v>195</v>
      </c>
      <c r="B197" s="17">
        <f t="shared" si="58"/>
        <v>17</v>
      </c>
      <c r="C197" s="23">
        <f>IFERROR(IPMT(Assumptions!$D$16/12,Model_30y!A197, 360,Assumptions!$D$8), 0)</f>
        <v>-1328.4477939585252</v>
      </c>
      <c r="D197" s="2">
        <f>IFERROR(PPMT(Assumptions!$D$16/12, Model_30y!A197, 360, Assumptions!$D$8), 0)</f>
        <v>-870.0098389744129</v>
      </c>
      <c r="E197" s="2">
        <f t="shared" si="52"/>
        <v>-2198.4576329329379</v>
      </c>
      <c r="F197" s="2">
        <f>IF(I196&gt;1, Assumptions!$E$18, 0)*-1</f>
        <v>-2198.4576329329379</v>
      </c>
      <c r="G197" s="24">
        <f t="shared" si="53"/>
        <v>1</v>
      </c>
      <c r="H197" s="20">
        <f t="shared" si="59"/>
        <v>103647.18948923783</v>
      </c>
      <c r="I197" s="2">
        <f>MAX(Assumptions!$D$8-SUM(Model_30y!H197), 0)</f>
        <v>236352.81051076215</v>
      </c>
      <c r="J197" s="2">
        <f>J196*(1+(Assumptions!$E$51))</f>
        <v>939106.91825040313</v>
      </c>
      <c r="K197" s="22">
        <f t="shared" si="54"/>
        <v>702754.10773964098</v>
      </c>
      <c r="L197" s="5">
        <f t="shared" si="60"/>
        <v>188647.18948923776</v>
      </c>
      <c r="M197" s="63">
        <f>L197/Assumptions!$D$6</f>
        <v>0.44387573997467711</v>
      </c>
      <c r="N197" s="24">
        <f t="shared" si="51"/>
        <v>0</v>
      </c>
      <c r="O197" s="5">
        <f>N197*Assumptions!$E$25*-1</f>
        <v>0</v>
      </c>
      <c r="P197" s="20">
        <f>Assumptions!$E$35*J197*-1</f>
        <v>-1934.4064914724222</v>
      </c>
      <c r="Q197" s="5">
        <f>J197*Assumptions!$E$36*-1</f>
        <v>-779.0249821348749</v>
      </c>
      <c r="R197" s="5">
        <f>(R185+(Model_30y!R185*Assumptions!$D$51))</f>
        <v>-709.25233500843069</v>
      </c>
      <c r="S197" s="5">
        <f>S185+(S185*Assumptions!$D$51)</f>
        <v>0</v>
      </c>
      <c r="T197" s="5">
        <f t="shared" si="63"/>
        <v>0</v>
      </c>
      <c r="U197" s="22">
        <f t="shared" si="55"/>
        <v>-3422.6838086157277</v>
      </c>
      <c r="V197" s="5">
        <f>MAX(Assumptions!$E$18:$E$19)-U197</f>
        <v>6264.316820414424</v>
      </c>
      <c r="W197" s="5">
        <f t="shared" si="56"/>
        <v>-2198.4576329329379</v>
      </c>
      <c r="X197" s="5">
        <f t="shared" si="61"/>
        <v>-3422.6838086157277</v>
      </c>
      <c r="Y197" s="5">
        <f>C197*Assumptions!$D$44*-1</f>
        <v>199.26716909377876</v>
      </c>
      <c r="Z197" s="5">
        <f t="shared" si="57"/>
        <v>842.44254795953714</v>
      </c>
      <c r="AA197" s="5">
        <f t="shared" si="64"/>
        <v>362243.23713238531</v>
      </c>
      <c r="AB197" s="3">
        <f>Assumptions!$E$45</f>
        <v>6.9899151946608562E-3</v>
      </c>
      <c r="AC197" s="5">
        <f t="shared" si="65"/>
        <v>365617.72918773961</v>
      </c>
      <c r="AD197" s="5">
        <f>AC197*Assumptions!$E$43</f>
        <v>327.43828042742558</v>
      </c>
      <c r="AE197" s="2">
        <f>AD197*Assumptions!$D$44*-1</f>
        <v>-49.115742064113839</v>
      </c>
      <c r="AF197" s="2">
        <f>AC197*Assumptions!$E$46*-1</f>
        <v>-12.185023879882197</v>
      </c>
      <c r="AG197" s="22">
        <f t="shared" si="66"/>
        <v>365556.4284217956</v>
      </c>
      <c r="AH197" s="5">
        <f>Model_30y[[#This Row],[Mortgage Payment]]+Model_30y[[#This Row],[Total Upkeep]]+Model_30y[[#This Row],[Monthly Investment]]</f>
        <v>-4778.6988935891277</v>
      </c>
      <c r="AI197" s="5">
        <f>Model_Renter!D197*-1</f>
        <v>4959.2855107769401</v>
      </c>
      <c r="AJ197" s="5">
        <f t="shared" si="67"/>
        <v>180.58661718781241</v>
      </c>
    </row>
    <row r="198" spans="1:36" x14ac:dyDescent="0.25">
      <c r="A198" s="17">
        <f t="shared" si="62"/>
        <v>196</v>
      </c>
      <c r="B198" s="17">
        <f t="shared" si="58"/>
        <v>17</v>
      </c>
      <c r="C198" s="23">
        <f>IFERROR(IPMT(Assumptions!$D$16/12,Model_30y!A198, 360,Assumptions!$D$8), 0)</f>
        <v>-1323.5757388602683</v>
      </c>
      <c r="D198" s="2">
        <f>IFERROR(PPMT(Assumptions!$D$16/12, Model_30y!A198, 360, Assumptions!$D$8), 0)</f>
        <v>-874.88189407266975</v>
      </c>
      <c r="E198" s="2">
        <f t="shared" si="52"/>
        <v>-2198.4576329329379</v>
      </c>
      <c r="F198" s="2">
        <f>IF(I197&gt;1, Assumptions!$E$18, 0)*-1</f>
        <v>-2198.4576329329379</v>
      </c>
      <c r="G198" s="24">
        <f t="shared" si="53"/>
        <v>1</v>
      </c>
      <c r="H198" s="20">
        <f t="shared" si="59"/>
        <v>104522.0713833105</v>
      </c>
      <c r="I198" s="2">
        <f>MAX(Assumptions!$D$8-SUM(Model_30y!H198), 0)</f>
        <v>235477.92861668952</v>
      </c>
      <c r="J198" s="2">
        <f>J197*(1+(Assumptions!$E$51))</f>
        <v>942932.95608143578</v>
      </c>
      <c r="K198" s="22">
        <f t="shared" si="54"/>
        <v>707455.02746474626</v>
      </c>
      <c r="L198" s="5">
        <f t="shared" si="60"/>
        <v>189522.07138331042</v>
      </c>
      <c r="M198" s="63">
        <f>L198/Assumptions!$D$6</f>
        <v>0.44593428560778925</v>
      </c>
      <c r="N198" s="24">
        <f t="shared" si="51"/>
        <v>0</v>
      </c>
      <c r="O198" s="5">
        <f>N198*Assumptions!$E$25*-1</f>
        <v>0</v>
      </c>
      <c r="P198" s="20">
        <f>Assumptions!$E$35*J198*-1</f>
        <v>-1942.2875029665736</v>
      </c>
      <c r="Q198" s="5">
        <f>J198*Assumptions!$E$36*-1</f>
        <v>-782.19882634264684</v>
      </c>
      <c r="R198" s="5">
        <f>(R186+(Model_30y!R186*Assumptions!$D$51))</f>
        <v>-709.25233500843069</v>
      </c>
      <c r="S198" s="5">
        <f>S186+(S186*Assumptions!$D$51)</f>
        <v>0</v>
      </c>
      <c r="T198" s="5">
        <f t="shared" si="63"/>
        <v>0</v>
      </c>
      <c r="U198" s="22">
        <f t="shared" si="55"/>
        <v>-3433.738664317651</v>
      </c>
      <c r="V198" s="5">
        <f>MAX(Assumptions!$E$18:$E$19)-U198</f>
        <v>6275.3716761163478</v>
      </c>
      <c r="W198" s="5">
        <f t="shared" si="56"/>
        <v>-2198.4576329329379</v>
      </c>
      <c r="X198" s="5">
        <f t="shared" si="61"/>
        <v>-3433.738664317651</v>
      </c>
      <c r="Y198" s="5">
        <f>C198*Assumptions!$D$44*-1</f>
        <v>198.53636082904023</v>
      </c>
      <c r="Z198" s="5">
        <f t="shared" si="57"/>
        <v>841.71173969479901</v>
      </c>
      <c r="AA198" s="5">
        <f t="shared" si="64"/>
        <v>365556.4284217956</v>
      </c>
      <c r="AB198" s="3">
        <f>Assumptions!$E$45</f>
        <v>6.9899151946608562E-3</v>
      </c>
      <c r="AC198" s="5">
        <f t="shared" si="65"/>
        <v>368953.34859502187</v>
      </c>
      <c r="AD198" s="5">
        <f>AC198*Assumptions!$E$43</f>
        <v>330.4255794440989</v>
      </c>
      <c r="AE198" s="2">
        <f>AD198*Assumptions!$D$44*-1</f>
        <v>-49.563836916614832</v>
      </c>
      <c r="AF198" s="2">
        <f>AC198*Assumptions!$E$46*-1</f>
        <v>-12.296190814325527</v>
      </c>
      <c r="AG198" s="22">
        <f t="shared" si="66"/>
        <v>368891.48856729094</v>
      </c>
      <c r="AH198" s="5">
        <f>Model_30y[[#This Row],[Mortgage Payment]]+Model_30y[[#This Row],[Total Upkeep]]+Model_30y[[#This Row],[Monthly Investment]]</f>
        <v>-4790.4845575557902</v>
      </c>
      <c r="AI198" s="5">
        <f>Model_Renter!D198*-1</f>
        <v>4959.2855107769401</v>
      </c>
      <c r="AJ198" s="5">
        <f t="shared" si="67"/>
        <v>168.80095322114994</v>
      </c>
    </row>
    <row r="199" spans="1:36" x14ac:dyDescent="0.25">
      <c r="A199" s="17">
        <f t="shared" si="62"/>
        <v>197</v>
      </c>
      <c r="B199" s="17">
        <f t="shared" si="58"/>
        <v>17</v>
      </c>
      <c r="C199" s="23">
        <f>IFERROR(IPMT(Assumptions!$D$16/12,Model_30y!A199, 360,Assumptions!$D$8), 0)</f>
        <v>-1318.6764002534615</v>
      </c>
      <c r="D199" s="2">
        <f>IFERROR(PPMT(Assumptions!$D$16/12, Model_30y!A199, 360, Assumptions!$D$8), 0)</f>
        <v>-879.7812326794766</v>
      </c>
      <c r="E199" s="2">
        <f t="shared" si="52"/>
        <v>-2198.4576329329379</v>
      </c>
      <c r="F199" s="2">
        <f>IF(I198&gt;1, Assumptions!$E$18, 0)*-1</f>
        <v>-2198.4576329329379</v>
      </c>
      <c r="G199" s="24">
        <f t="shared" si="53"/>
        <v>1</v>
      </c>
      <c r="H199" s="20">
        <f t="shared" si="59"/>
        <v>105401.85261598998</v>
      </c>
      <c r="I199" s="2">
        <f>MAX(Assumptions!$D$8-SUM(Model_30y!H199), 0)</f>
        <v>234598.14738401002</v>
      </c>
      <c r="J199" s="2">
        <f>J198*(1+(Assumptions!$E$51))</f>
        <v>946774.58166419296</v>
      </c>
      <c r="K199" s="22">
        <f t="shared" si="54"/>
        <v>712176.43428018293</v>
      </c>
      <c r="L199" s="5">
        <f t="shared" si="60"/>
        <v>190401.85261598989</v>
      </c>
      <c r="M199" s="63">
        <f>L199/Assumptions!$D$6</f>
        <v>0.44800435909644681</v>
      </c>
      <c r="N199" s="24">
        <f t="shared" si="51"/>
        <v>0</v>
      </c>
      <c r="O199" s="5">
        <f>N199*Assumptions!$E$25*-1</f>
        <v>0</v>
      </c>
      <c r="P199" s="20">
        <f>Assumptions!$E$35*J199*-1</f>
        <v>-1950.2006226770927</v>
      </c>
      <c r="Q199" s="5">
        <f>J199*Assumptions!$E$36*-1</f>
        <v>-785.38560118459122</v>
      </c>
      <c r="R199" s="5">
        <f>(R187+(Model_30y!R187*Assumptions!$D$51))</f>
        <v>-709.25233500843069</v>
      </c>
      <c r="S199" s="5">
        <f>S187+(S187*Assumptions!$D$51)</f>
        <v>0</v>
      </c>
      <c r="T199" s="5">
        <f t="shared" si="63"/>
        <v>0</v>
      </c>
      <c r="U199" s="22">
        <f t="shared" si="55"/>
        <v>-3444.8385588701144</v>
      </c>
      <c r="V199" s="5">
        <f>MAX(Assumptions!$E$18:$E$19)-U199</f>
        <v>6286.4715706688112</v>
      </c>
      <c r="W199" s="5">
        <f t="shared" si="56"/>
        <v>-2198.4576329329379</v>
      </c>
      <c r="X199" s="5">
        <f t="shared" si="61"/>
        <v>-3444.8385588701144</v>
      </c>
      <c r="Y199" s="5">
        <f>C199*Assumptions!$D$44*-1</f>
        <v>197.8014600380192</v>
      </c>
      <c r="Z199" s="5">
        <f t="shared" si="57"/>
        <v>840.976838903778</v>
      </c>
      <c r="AA199" s="5">
        <f t="shared" si="64"/>
        <v>368891.48856729094</v>
      </c>
      <c r="AB199" s="3">
        <f>Assumptions!$E$45</f>
        <v>6.9899151946608562E-3</v>
      </c>
      <c r="AC199" s="5">
        <f t="shared" si="65"/>
        <v>372310.98562731233</v>
      </c>
      <c r="AD199" s="5">
        <f>AC199*Assumptions!$E$43</f>
        <v>333.43259690628571</v>
      </c>
      <c r="AE199" s="2">
        <f>AD199*Assumptions!$D$44*-1</f>
        <v>-50.014889535942856</v>
      </c>
      <c r="AF199" s="2">
        <f>AC199*Assumptions!$E$46*-1</f>
        <v>-12.40809153508469</v>
      </c>
      <c r="AG199" s="22">
        <f t="shared" si="66"/>
        <v>372248.56264624128</v>
      </c>
      <c r="AH199" s="5">
        <f>Model_30y[[#This Row],[Mortgage Payment]]+Model_30y[[#This Row],[Total Upkeep]]+Model_30y[[#This Row],[Monthly Investment]]</f>
        <v>-4802.3193528992742</v>
      </c>
      <c r="AI199" s="5">
        <f>Model_Renter!D199*-1</f>
        <v>4959.2855107769401</v>
      </c>
      <c r="AJ199" s="5">
        <f t="shared" si="67"/>
        <v>156.96615787766586</v>
      </c>
    </row>
    <row r="200" spans="1:36" x14ac:dyDescent="0.25">
      <c r="A200" s="17">
        <f t="shared" si="62"/>
        <v>198</v>
      </c>
      <c r="B200" s="17">
        <f t="shared" si="58"/>
        <v>17</v>
      </c>
      <c r="C200" s="23">
        <f>IFERROR(IPMT(Assumptions!$D$16/12,Model_30y!A200, 360,Assumptions!$D$8), 0)</f>
        <v>-1313.7496253504562</v>
      </c>
      <c r="D200" s="2">
        <f>IFERROR(PPMT(Assumptions!$D$16/12, Model_30y!A200, 360, Assumptions!$D$8), 0)</f>
        <v>-884.70800758248163</v>
      </c>
      <c r="E200" s="2">
        <f t="shared" si="52"/>
        <v>-2198.4576329329379</v>
      </c>
      <c r="F200" s="2">
        <f>IF(I199&gt;1, Assumptions!$E$18, 0)*-1</f>
        <v>-2198.4576329329379</v>
      </c>
      <c r="G200" s="24">
        <f t="shared" si="53"/>
        <v>1</v>
      </c>
      <c r="H200" s="20">
        <f t="shared" si="59"/>
        <v>106286.56062357246</v>
      </c>
      <c r="I200" s="2">
        <f>MAX(Assumptions!$D$8-SUM(Model_30y!H200), 0)</f>
        <v>233713.43937642756</v>
      </c>
      <c r="J200" s="2">
        <f>J199*(1+(Assumptions!$E$51))</f>
        <v>950631.85850510478</v>
      </c>
      <c r="K200" s="22">
        <f t="shared" si="54"/>
        <v>716918.41912867723</v>
      </c>
      <c r="L200" s="5">
        <f t="shared" si="60"/>
        <v>191286.56062357238</v>
      </c>
      <c r="M200" s="63">
        <f>L200/Assumptions!$D$6</f>
        <v>0.45008602499664091</v>
      </c>
      <c r="N200" s="24">
        <f t="shared" si="51"/>
        <v>0</v>
      </c>
      <c r="O200" s="5">
        <f>N200*Assumptions!$E$25*-1</f>
        <v>0</v>
      </c>
      <c r="P200" s="20">
        <f>Assumptions!$E$35*J200*-1</f>
        <v>-1958.1459814168272</v>
      </c>
      <c r="Q200" s="5">
        <f>J200*Assumptions!$E$36*-1</f>
        <v>-788.58535934171232</v>
      </c>
      <c r="R200" s="5">
        <f>(R188+(Model_30y!R188*Assumptions!$D$51))</f>
        <v>-709.25233500843069</v>
      </c>
      <c r="S200" s="5">
        <f>S188+(S188*Assumptions!$D$51)</f>
        <v>0</v>
      </c>
      <c r="T200" s="5">
        <f t="shared" si="63"/>
        <v>0</v>
      </c>
      <c r="U200" s="22">
        <f t="shared" si="55"/>
        <v>-3455.9836757669705</v>
      </c>
      <c r="V200" s="5">
        <f>MAX(Assumptions!$E$18:$E$19)-U200</f>
        <v>6297.6166875656672</v>
      </c>
      <c r="W200" s="5">
        <f t="shared" si="56"/>
        <v>-2198.4576329329379</v>
      </c>
      <c r="X200" s="5">
        <f t="shared" si="61"/>
        <v>-3455.9836757669705</v>
      </c>
      <c r="Y200" s="5">
        <f>C200*Assumptions!$D$44*-1</f>
        <v>197.06244380256842</v>
      </c>
      <c r="Z200" s="5">
        <f t="shared" si="57"/>
        <v>840.23782266832768</v>
      </c>
      <c r="AA200" s="5">
        <f t="shared" si="64"/>
        <v>372248.56264624128</v>
      </c>
      <c r="AB200" s="3">
        <f>Assumptions!$E$45</f>
        <v>6.9899151946608562E-3</v>
      </c>
      <c r="AC200" s="5">
        <f t="shared" si="65"/>
        <v>375690.78635314124</v>
      </c>
      <c r="AD200" s="5">
        <f>AC200*Assumptions!$E$43</f>
        <v>336.45946362938304</v>
      </c>
      <c r="AE200" s="2">
        <f>AD200*Assumptions!$D$44*-1</f>
        <v>-50.468919544407456</v>
      </c>
      <c r="AF200" s="2">
        <f>AC200*Assumptions!$E$46*-1</f>
        <v>-12.520730910218278</v>
      </c>
      <c r="AG200" s="22">
        <f t="shared" si="66"/>
        <v>375627.79670268664</v>
      </c>
      <c r="AH200" s="5">
        <f>Model_30y[[#This Row],[Mortgage Payment]]+Model_30y[[#This Row],[Total Upkeep]]+Model_30y[[#This Row],[Monthly Investment]]</f>
        <v>-4814.2034860315807</v>
      </c>
      <c r="AI200" s="5">
        <f>Model_Renter!D200*-1</f>
        <v>4959.2855107769401</v>
      </c>
      <c r="AJ200" s="5">
        <f t="shared" si="67"/>
        <v>145.08202474535938</v>
      </c>
    </row>
    <row r="201" spans="1:36" x14ac:dyDescent="0.25">
      <c r="A201" s="17">
        <f t="shared" si="62"/>
        <v>199</v>
      </c>
      <c r="B201" s="17">
        <f t="shared" si="58"/>
        <v>17</v>
      </c>
      <c r="C201" s="23">
        <f>IFERROR(IPMT(Assumptions!$D$16/12,Model_30y!A201, 360,Assumptions!$D$8), 0)</f>
        <v>-1308.7952605079943</v>
      </c>
      <c r="D201" s="2">
        <f>IFERROR(PPMT(Assumptions!$D$16/12, Model_30y!A201, 360, Assumptions!$D$8), 0)</f>
        <v>-889.66237242494356</v>
      </c>
      <c r="E201" s="2">
        <f t="shared" si="52"/>
        <v>-2198.4576329329379</v>
      </c>
      <c r="F201" s="2">
        <f>IF(I200&gt;1, Assumptions!$E$18, 0)*-1</f>
        <v>-2198.4576329329379</v>
      </c>
      <c r="G201" s="24">
        <f t="shared" si="53"/>
        <v>1</v>
      </c>
      <c r="H201" s="20">
        <f t="shared" si="59"/>
        <v>107176.22299599739</v>
      </c>
      <c r="I201" s="2">
        <f>MAX(Assumptions!$D$8-SUM(Model_30y!H201), 0)</f>
        <v>232823.77700400259</v>
      </c>
      <c r="J201" s="2">
        <f>J200*(1+(Assumptions!$E$51))</f>
        <v>954504.85036933422</v>
      </c>
      <c r="K201" s="22">
        <f t="shared" si="54"/>
        <v>721681.07336533163</v>
      </c>
      <c r="L201" s="5">
        <f t="shared" si="60"/>
        <v>192176.22299599732</v>
      </c>
      <c r="M201" s="63">
        <f>L201/Assumptions!$D$6</f>
        <v>0.45217934822587602</v>
      </c>
      <c r="N201" s="24">
        <f t="shared" si="51"/>
        <v>0</v>
      </c>
      <c r="O201" s="5">
        <f>N201*Assumptions!$E$25*-1</f>
        <v>0</v>
      </c>
      <c r="P201" s="20">
        <f>Assumptions!$E$35*J201*-1</f>
        <v>-1966.1237105315729</v>
      </c>
      <c r="Q201" s="5">
        <f>J201*Assumptions!$E$36*-1</f>
        <v>-791.7981537096432</v>
      </c>
      <c r="R201" s="5">
        <f>(R189+(Model_30y!R189*Assumptions!$D$51))</f>
        <v>-709.25233500843069</v>
      </c>
      <c r="S201" s="5">
        <f>S189+(S189*Assumptions!$D$51)</f>
        <v>0</v>
      </c>
      <c r="T201" s="5">
        <f t="shared" si="63"/>
        <v>0</v>
      </c>
      <c r="U201" s="22">
        <f t="shared" si="55"/>
        <v>-3467.1741992496468</v>
      </c>
      <c r="V201" s="5">
        <f>MAX(Assumptions!$E$18:$E$19)-U201</f>
        <v>6308.8072110483436</v>
      </c>
      <c r="W201" s="5">
        <f t="shared" si="56"/>
        <v>-2198.4576329329379</v>
      </c>
      <c r="X201" s="5">
        <f t="shared" si="61"/>
        <v>-3467.1741992496468</v>
      </c>
      <c r="Y201" s="5">
        <f>C201*Assumptions!$D$44*-1</f>
        <v>196.31928907619914</v>
      </c>
      <c r="Z201" s="5">
        <f t="shared" si="57"/>
        <v>839.49466794195746</v>
      </c>
      <c r="AA201" s="5">
        <f t="shared" si="64"/>
        <v>375627.79670268664</v>
      </c>
      <c r="AB201" s="3">
        <f>Assumptions!$E$45</f>
        <v>6.9899151946608562E-3</v>
      </c>
      <c r="AC201" s="5">
        <f t="shared" si="65"/>
        <v>379092.89781433769</v>
      </c>
      <c r="AD201" s="5">
        <f>AC201*Assumptions!$E$43</f>
        <v>339.50631130045042</v>
      </c>
      <c r="AE201" s="2">
        <f>AD201*Assumptions!$D$44*-1</f>
        <v>-50.925946695067559</v>
      </c>
      <c r="AF201" s="2">
        <f>AC201*Assumptions!$E$46*-1</f>
        <v>-12.634113840222236</v>
      </c>
      <c r="AG201" s="22">
        <f t="shared" si="66"/>
        <v>379029.33775380242</v>
      </c>
      <c r="AH201" s="5">
        <f>Model_30y[[#This Row],[Mortgage Payment]]+Model_30y[[#This Row],[Total Upkeep]]+Model_30y[[#This Row],[Monthly Investment]]</f>
        <v>-4826.1371642406275</v>
      </c>
      <c r="AI201" s="5">
        <f>Model_Renter!D201*-1</f>
        <v>4959.2855107769401</v>
      </c>
      <c r="AJ201" s="5">
        <f t="shared" si="67"/>
        <v>133.1483465363126</v>
      </c>
    </row>
    <row r="202" spans="1:36" x14ac:dyDescent="0.25">
      <c r="A202" s="17">
        <f t="shared" si="62"/>
        <v>200</v>
      </c>
      <c r="B202" s="17">
        <f t="shared" si="58"/>
        <v>17</v>
      </c>
      <c r="C202" s="23">
        <f>IFERROR(IPMT(Assumptions!$D$16/12,Model_30y!A202, 360,Assumptions!$D$8), 0)</f>
        <v>-1303.8131512224149</v>
      </c>
      <c r="D202" s="2">
        <f>IFERROR(PPMT(Assumptions!$D$16/12, Model_30y!A202, 360, Assumptions!$D$8), 0)</f>
        <v>-894.64448171052322</v>
      </c>
      <c r="E202" s="2">
        <f t="shared" si="52"/>
        <v>-2198.4576329329384</v>
      </c>
      <c r="F202" s="2">
        <f>IF(I201&gt;1, Assumptions!$E$18, 0)*-1</f>
        <v>-2198.4576329329379</v>
      </c>
      <c r="G202" s="24">
        <f t="shared" si="53"/>
        <v>1</v>
      </c>
      <c r="H202" s="20">
        <f t="shared" si="59"/>
        <v>108070.86747770791</v>
      </c>
      <c r="I202" s="2">
        <f>MAX(Assumptions!$D$8-SUM(Model_30y!H202), 0)</f>
        <v>231929.13252229209</v>
      </c>
      <c r="J202" s="2">
        <f>J201*(1+(Assumptions!$E$51))</f>
        <v>958393.62128183164</v>
      </c>
      <c r="K202" s="22">
        <f t="shared" si="54"/>
        <v>726464.48875953956</v>
      </c>
      <c r="L202" s="5">
        <f t="shared" si="60"/>
        <v>193070.86747770786</v>
      </c>
      <c r="M202" s="63">
        <f>L202/Assumptions!$D$6</f>
        <v>0.45428439406519494</v>
      </c>
      <c r="N202" s="24">
        <f t="shared" si="51"/>
        <v>0</v>
      </c>
      <c r="O202" s="5">
        <f>N202*Assumptions!$E$25*-1</f>
        <v>0</v>
      </c>
      <c r="P202" s="20">
        <f>Assumptions!$E$35*J202*-1</f>
        <v>-1974.1339419022445</v>
      </c>
      <c r="Q202" s="5">
        <f>J202*Assumptions!$E$36*-1</f>
        <v>-795.02403739952058</v>
      </c>
      <c r="R202" s="5">
        <f>(R190+(Model_30y!R190*Assumptions!$D$51))</f>
        <v>-709.25233500843069</v>
      </c>
      <c r="S202" s="5">
        <f>S190+(S190*Assumptions!$D$51)</f>
        <v>0</v>
      </c>
      <c r="T202" s="5">
        <f t="shared" si="63"/>
        <v>0</v>
      </c>
      <c r="U202" s="22">
        <f t="shared" si="55"/>
        <v>-3478.4103143101956</v>
      </c>
      <c r="V202" s="5">
        <f>MAX(Assumptions!$E$18:$E$19)-U202</f>
        <v>6320.0433261088929</v>
      </c>
      <c r="W202" s="5">
        <f t="shared" si="56"/>
        <v>-2198.4576329329379</v>
      </c>
      <c r="X202" s="5">
        <f t="shared" si="61"/>
        <v>-3478.4103143101956</v>
      </c>
      <c r="Y202" s="5">
        <f>C202*Assumptions!$D$44*-1</f>
        <v>195.57197268336225</v>
      </c>
      <c r="Z202" s="5">
        <f t="shared" si="57"/>
        <v>838.74735154912196</v>
      </c>
      <c r="AA202" s="5">
        <f t="shared" si="64"/>
        <v>379029.33775380242</v>
      </c>
      <c r="AB202" s="3">
        <f>Assumptions!$E$45</f>
        <v>6.9899151946608562E-3</v>
      </c>
      <c r="AC202" s="5">
        <f t="shared" si="65"/>
        <v>382517.46803253907</v>
      </c>
      <c r="AD202" s="5">
        <f>AC202*Assumptions!$E$43</f>
        <v>342.57327248403965</v>
      </c>
      <c r="AE202" s="2">
        <f>AD202*Assumptions!$D$44*-1</f>
        <v>-51.385990872605944</v>
      </c>
      <c r="AF202" s="2">
        <f>AC202*Assumptions!$E$46*-1</f>
        <v>-12.748245258246799</v>
      </c>
      <c r="AG202" s="22">
        <f t="shared" si="66"/>
        <v>382453.3337964082</v>
      </c>
      <c r="AH202" s="5">
        <f>Model_30y[[#This Row],[Mortgage Payment]]+Model_30y[[#This Row],[Total Upkeep]]+Model_30y[[#This Row],[Monthly Investment]]</f>
        <v>-4838.1205956940121</v>
      </c>
      <c r="AI202" s="5">
        <f>Model_Renter!D202*-1</f>
        <v>4959.2855107769401</v>
      </c>
      <c r="AJ202" s="5">
        <f t="shared" si="67"/>
        <v>121.16491508292802</v>
      </c>
    </row>
    <row r="203" spans="1:36" x14ac:dyDescent="0.25">
      <c r="A203" s="17">
        <f t="shared" si="62"/>
        <v>201</v>
      </c>
      <c r="B203" s="17">
        <f t="shared" si="58"/>
        <v>17</v>
      </c>
      <c r="C203" s="23">
        <f>IFERROR(IPMT(Assumptions!$D$16/12,Model_30y!A203, 360,Assumptions!$D$8), 0)</f>
        <v>-1298.8031421248354</v>
      </c>
      <c r="D203" s="2">
        <f>IFERROR(PPMT(Assumptions!$D$16/12, Model_30y!A203, 360, Assumptions!$D$8), 0)</f>
        <v>-899.6544908081022</v>
      </c>
      <c r="E203" s="2">
        <f t="shared" si="52"/>
        <v>-2198.4576329329375</v>
      </c>
      <c r="F203" s="2">
        <f>IF(I202&gt;1, Assumptions!$E$18, 0)*-1</f>
        <v>-2198.4576329329379</v>
      </c>
      <c r="G203" s="24">
        <f t="shared" si="53"/>
        <v>1</v>
      </c>
      <c r="H203" s="20">
        <f t="shared" si="59"/>
        <v>108970.52196851601</v>
      </c>
      <c r="I203" s="2">
        <f>MAX(Assumptions!$D$8-SUM(Model_30y!H203), 0)</f>
        <v>231029.478031484</v>
      </c>
      <c r="J203" s="2">
        <f>J202*(1+(Assumptions!$E$51))</f>
        <v>962298.23552839283</v>
      </c>
      <c r="K203" s="22">
        <f t="shared" si="54"/>
        <v>731268.75749690877</v>
      </c>
      <c r="L203" s="5">
        <f t="shared" si="60"/>
        <v>193970.52196851597</v>
      </c>
      <c r="M203" s="63">
        <f>L203/Assumptions!$D$6</f>
        <v>0.45640122816121403</v>
      </c>
      <c r="N203" s="24">
        <f t="shared" si="51"/>
        <v>0</v>
      </c>
      <c r="O203" s="5">
        <f>N203*Assumptions!$E$25*-1</f>
        <v>0</v>
      </c>
      <c r="P203" s="20">
        <f>Assumptions!$E$35*J203*-1</f>
        <v>-1982.176807947056</v>
      </c>
      <c r="Q203" s="5">
        <f>J203*Assumptions!$E$36*-1</f>
        <v>-798.26306373886212</v>
      </c>
      <c r="R203" s="5">
        <f>(R191+(Model_30y!R191*Assumptions!$D$51))</f>
        <v>-709.25233500843069</v>
      </c>
      <c r="S203" s="5">
        <f>S191+(S191*Assumptions!$D$51)</f>
        <v>0</v>
      </c>
      <c r="T203" s="5">
        <f t="shared" si="63"/>
        <v>0</v>
      </c>
      <c r="U203" s="22">
        <f t="shared" si="55"/>
        <v>-3489.6922066943489</v>
      </c>
      <c r="V203" s="5">
        <f>MAX(Assumptions!$E$18:$E$19)-U203</f>
        <v>6331.3252184930461</v>
      </c>
      <c r="W203" s="5">
        <f t="shared" si="56"/>
        <v>-2198.4576329329379</v>
      </c>
      <c r="X203" s="5">
        <f t="shared" si="61"/>
        <v>-3489.6922066943489</v>
      </c>
      <c r="Y203" s="5">
        <f>C203*Assumptions!$D$44*-1</f>
        <v>194.82047131872531</v>
      </c>
      <c r="Z203" s="5">
        <f t="shared" si="57"/>
        <v>837.99585018448511</v>
      </c>
      <c r="AA203" s="5">
        <f t="shared" si="64"/>
        <v>382453.3337964082</v>
      </c>
      <c r="AB203" s="3">
        <f>Assumptions!$E$45</f>
        <v>6.9899151946608562E-3</v>
      </c>
      <c r="AC203" s="5">
        <f t="shared" si="65"/>
        <v>385964.64601574489</v>
      </c>
      <c r="AD203" s="5">
        <f>AC203*Assumptions!$E$43</f>
        <v>345.66048062806431</v>
      </c>
      <c r="AE203" s="2">
        <f>AD203*Assumptions!$D$44*-1</f>
        <v>-51.849072094209646</v>
      </c>
      <c r="AF203" s="2">
        <f>AC203*Assumptions!$E$46*-1</f>
        <v>-12.863130130314911</v>
      </c>
      <c r="AG203" s="22">
        <f t="shared" si="66"/>
        <v>385899.93381352036</v>
      </c>
      <c r="AH203" s="5">
        <f>Model_30y[[#This Row],[Mortgage Payment]]+Model_30y[[#This Row],[Total Upkeep]]+Model_30y[[#This Row],[Monthly Investment]]</f>
        <v>-4850.1539894428024</v>
      </c>
      <c r="AI203" s="5">
        <f>Model_Renter!D203*-1</f>
        <v>4959.2855107769401</v>
      </c>
      <c r="AJ203" s="5">
        <f t="shared" si="67"/>
        <v>109.13152133413769</v>
      </c>
    </row>
    <row r="204" spans="1:36" x14ac:dyDescent="0.25">
      <c r="A204" s="17">
        <f t="shared" si="62"/>
        <v>202</v>
      </c>
      <c r="B204" s="17">
        <f t="shared" si="58"/>
        <v>17</v>
      </c>
      <c r="C204" s="23">
        <f>IFERROR(IPMT(Assumptions!$D$16/12,Model_30y!A204, 360,Assumptions!$D$8), 0)</f>
        <v>-1293.7650769763104</v>
      </c>
      <c r="D204" s="2">
        <f>IFERROR(PPMT(Assumptions!$D$16/12, Model_30y!A204, 360, Assumptions!$D$8), 0)</f>
        <v>-904.69255595662753</v>
      </c>
      <c r="E204" s="2">
        <f t="shared" si="52"/>
        <v>-2198.4576329329379</v>
      </c>
      <c r="F204" s="2">
        <f>IF(I203&gt;1, Assumptions!$E$18, 0)*-1</f>
        <v>-2198.4576329329379</v>
      </c>
      <c r="G204" s="24">
        <f t="shared" si="53"/>
        <v>1</v>
      </c>
      <c r="H204" s="20">
        <f t="shared" si="59"/>
        <v>109875.21452447264</v>
      </c>
      <c r="I204" s="2">
        <f>MAX(Assumptions!$D$8-SUM(Model_30y!H204), 0)</f>
        <v>230124.78547552734</v>
      </c>
      <c r="J204" s="2">
        <f>J203*(1+(Assumptions!$E$51))</f>
        <v>966218.75765672186</v>
      </c>
      <c r="K204" s="22">
        <f t="shared" si="54"/>
        <v>736093.97218119446</v>
      </c>
      <c r="L204" s="5">
        <f t="shared" si="60"/>
        <v>194875.2145244726</v>
      </c>
      <c r="M204" s="63">
        <f>L204/Assumptions!$D$6</f>
        <v>0.45852991652817082</v>
      </c>
      <c r="N204" s="24">
        <f t="shared" si="51"/>
        <v>0</v>
      </c>
      <c r="O204" s="5">
        <f>N204*Assumptions!$E$25*-1</f>
        <v>0</v>
      </c>
      <c r="P204" s="20">
        <f>Assumptions!$E$35*J204*-1</f>
        <v>-1990.252441623709</v>
      </c>
      <c r="Q204" s="5">
        <f>J204*Assumptions!$E$36*-1</f>
        <v>-801.51528627244852</v>
      </c>
      <c r="R204" s="5">
        <f>(R192+(Model_30y!R192*Assumptions!$D$51))</f>
        <v>-709.25233500843069</v>
      </c>
      <c r="S204" s="5">
        <f>S192+(S192*Assumptions!$D$51)</f>
        <v>0</v>
      </c>
      <c r="T204" s="5">
        <f t="shared" si="63"/>
        <v>0</v>
      </c>
      <c r="U204" s="22">
        <f t="shared" si="55"/>
        <v>-3501.020062904588</v>
      </c>
      <c r="V204" s="5">
        <f>MAX(Assumptions!$E$18:$E$19)-U204</f>
        <v>6342.6530747032848</v>
      </c>
      <c r="W204" s="5">
        <f t="shared" si="56"/>
        <v>-2198.4576329329379</v>
      </c>
      <c r="X204" s="5">
        <f t="shared" si="61"/>
        <v>-3501.020062904588</v>
      </c>
      <c r="Y204" s="5">
        <f>C204*Assumptions!$D$44*-1</f>
        <v>194.06476154644656</v>
      </c>
      <c r="Z204" s="5">
        <f t="shared" si="57"/>
        <v>837.24014041220585</v>
      </c>
      <c r="AA204" s="5">
        <f t="shared" si="64"/>
        <v>385899.93381352036</v>
      </c>
      <c r="AB204" s="3">
        <f>Assumptions!$E$45</f>
        <v>6.9899151946608562E-3</v>
      </c>
      <c r="AC204" s="5">
        <f t="shared" si="65"/>
        <v>389434.58176491427</v>
      </c>
      <c r="AD204" s="5">
        <f>AC204*Assumptions!$E$43</f>
        <v>348.7680700697083</v>
      </c>
      <c r="AE204" s="2">
        <f>AD204*Assumptions!$D$44*-1</f>
        <v>-52.315210510456247</v>
      </c>
      <c r="AF204" s="2">
        <f>AC204*Assumptions!$E$46*-1</f>
        <v>-12.978773455542104</v>
      </c>
      <c r="AG204" s="22">
        <f t="shared" si="66"/>
        <v>389369.28778094827</v>
      </c>
      <c r="AH204" s="5">
        <f>Model_30y[[#This Row],[Mortgage Payment]]+Model_30y[[#This Row],[Total Upkeep]]+Model_30y[[#This Row],[Monthly Investment]]</f>
        <v>-4862.2375554253204</v>
      </c>
      <c r="AI204" s="5">
        <f>Model_Renter!D204*-1</f>
        <v>4959.2855107769401</v>
      </c>
      <c r="AJ204" s="5">
        <f t="shared" si="67"/>
        <v>97.047955351619748</v>
      </c>
    </row>
    <row r="205" spans="1:36" x14ac:dyDescent="0.25">
      <c r="A205" s="17">
        <f t="shared" si="62"/>
        <v>203</v>
      </c>
      <c r="B205" s="17">
        <f t="shared" si="58"/>
        <v>17</v>
      </c>
      <c r="C205" s="23">
        <f>IFERROR(IPMT(Assumptions!$D$16/12,Model_30y!A205, 360,Assumptions!$D$8), 0)</f>
        <v>-1288.6987986629533</v>
      </c>
      <c r="D205" s="2">
        <f>IFERROR(PPMT(Assumptions!$D$16/12, Model_30y!A205, 360, Assumptions!$D$8), 0)</f>
        <v>-909.75883426998462</v>
      </c>
      <c r="E205" s="2">
        <f t="shared" si="52"/>
        <v>-2198.4576329329379</v>
      </c>
      <c r="F205" s="2">
        <f>IF(I204&gt;1, Assumptions!$E$18, 0)*-1</f>
        <v>-2198.4576329329379</v>
      </c>
      <c r="G205" s="24">
        <f t="shared" si="53"/>
        <v>1</v>
      </c>
      <c r="H205" s="20">
        <f t="shared" si="59"/>
        <v>110784.97335874263</v>
      </c>
      <c r="I205" s="2">
        <f>MAX(Assumptions!$D$8-SUM(Model_30y!H205), 0)</f>
        <v>229215.02664125737</v>
      </c>
      <c r="J205" s="2">
        <f>J204*(1+(Assumptions!$E$51))</f>
        <v>970155.25247749826</v>
      </c>
      <c r="K205" s="22">
        <f t="shared" si="54"/>
        <v>740940.22583624092</v>
      </c>
      <c r="L205" s="5">
        <f t="shared" si="60"/>
        <v>195784.97335874257</v>
      </c>
      <c r="M205" s="63">
        <f>L205/Assumptions!$D$6</f>
        <v>0.4606705255499825</v>
      </c>
      <c r="N205" s="24">
        <f t="shared" si="51"/>
        <v>0</v>
      </c>
      <c r="O205" s="5">
        <f>N205*Assumptions!$E$25*-1</f>
        <v>0</v>
      </c>
      <c r="P205" s="20">
        <f>Assumptions!$E$35*J205*-1</f>
        <v>-1998.3609764315925</v>
      </c>
      <c r="Q205" s="5">
        <f>J205*Assumptions!$E$36*-1</f>
        <v>-804.78075876320884</v>
      </c>
      <c r="R205" s="5">
        <f>(R193+(Model_30y!R193*Assumptions!$D$51))</f>
        <v>-709.25233500843069</v>
      </c>
      <c r="S205" s="5">
        <f>S193+(S193*Assumptions!$D$51)</f>
        <v>0</v>
      </c>
      <c r="T205" s="5">
        <f t="shared" si="63"/>
        <v>0</v>
      </c>
      <c r="U205" s="22">
        <f t="shared" si="55"/>
        <v>-3512.3940702032319</v>
      </c>
      <c r="V205" s="5">
        <f>MAX(Assumptions!$E$18:$E$19)-U205</f>
        <v>6354.0270820019286</v>
      </c>
      <c r="W205" s="5">
        <f t="shared" si="56"/>
        <v>-2198.4576329329379</v>
      </c>
      <c r="X205" s="5">
        <f t="shared" si="61"/>
        <v>-3512.3940702032319</v>
      </c>
      <c r="Y205" s="5">
        <f>C205*Assumptions!$D$44*-1</f>
        <v>193.30481979944298</v>
      </c>
      <c r="Z205" s="5">
        <f t="shared" si="57"/>
        <v>836.48019866520224</v>
      </c>
      <c r="AA205" s="5">
        <f t="shared" si="64"/>
        <v>389369.28778094827</v>
      </c>
      <c r="AB205" s="3">
        <f>Assumptions!$E$45</f>
        <v>6.9899151946608562E-3</v>
      </c>
      <c r="AC205" s="5">
        <f t="shared" si="65"/>
        <v>392927.42628060782</v>
      </c>
      <c r="AD205" s="5">
        <f>AC205*Assumptions!$E$43</f>
        <v>351.89617604137413</v>
      </c>
      <c r="AE205" s="2">
        <f>AD205*Assumptions!$D$44*-1</f>
        <v>-52.784426406206116</v>
      </c>
      <c r="AF205" s="2">
        <f>AC205*Assumptions!$E$46*-1</f>
        <v>-13.095180266357854</v>
      </c>
      <c r="AG205" s="22">
        <f t="shared" si="66"/>
        <v>392861.54667393526</v>
      </c>
      <c r="AH205" s="5">
        <f>Model_30y[[#This Row],[Mortgage Payment]]+Model_30y[[#This Row],[Total Upkeep]]+Model_30y[[#This Row],[Monthly Investment]]</f>
        <v>-4874.3715044709679</v>
      </c>
      <c r="AI205" s="5">
        <f>Model_Renter!D205*-1</f>
        <v>4959.2855107769401</v>
      </c>
      <c r="AJ205" s="5">
        <f t="shared" si="67"/>
        <v>84.91400630597218</v>
      </c>
    </row>
    <row r="206" spans="1:36" x14ac:dyDescent="0.25">
      <c r="A206" s="17">
        <f t="shared" si="62"/>
        <v>204</v>
      </c>
      <c r="B206" s="17">
        <f t="shared" si="58"/>
        <v>17</v>
      </c>
      <c r="C206" s="23">
        <f>IFERROR(IPMT(Assumptions!$D$16/12,Model_30y!A206, 360,Assumptions!$D$8), 0)</f>
        <v>-1283.6041491910412</v>
      </c>
      <c r="D206" s="2">
        <f>IFERROR(PPMT(Assumptions!$D$16/12, Model_30y!A206, 360, Assumptions!$D$8), 0)</f>
        <v>-914.85348374189664</v>
      </c>
      <c r="E206" s="2">
        <f t="shared" si="52"/>
        <v>-2198.4576329329379</v>
      </c>
      <c r="F206" s="2">
        <f>IF(I205&gt;1, Assumptions!$E$18, 0)*-1</f>
        <v>-2198.4576329329379</v>
      </c>
      <c r="G206" s="24">
        <f t="shared" si="53"/>
        <v>1</v>
      </c>
      <c r="H206" s="20">
        <f t="shared" si="59"/>
        <v>111699.82684248453</v>
      </c>
      <c r="I206" s="2">
        <f>MAX(Assumptions!$D$8-SUM(Model_30y!H206), 0)</f>
        <v>228300.17315751547</v>
      </c>
      <c r="J206" s="2">
        <f>J205*(1+(Assumptions!$E$51))</f>
        <v>974107.78506544826</v>
      </c>
      <c r="K206" s="22">
        <f t="shared" si="54"/>
        <v>745807.61190793279</v>
      </c>
      <c r="L206" s="5">
        <f t="shared" si="60"/>
        <v>196699.82684248447</v>
      </c>
      <c r="M206" s="63">
        <f>L206/Assumptions!$D$6</f>
        <v>0.4628231219823164</v>
      </c>
      <c r="N206" s="24">
        <f t="shared" si="51"/>
        <v>0</v>
      </c>
      <c r="O206" s="5">
        <f>N206*Assumptions!$E$25*-1</f>
        <v>0</v>
      </c>
      <c r="P206" s="20">
        <f>Assumptions!$E$35*J206*-1</f>
        <v>-2006.5025464139871</v>
      </c>
      <c r="Q206" s="5">
        <f>J206*Assumptions!$E$36*-1</f>
        <v>-808.05953519310856</v>
      </c>
      <c r="R206" s="5">
        <f>(R194+(Model_30y!R194*Assumptions!$D$51))</f>
        <v>-709.25233500843069</v>
      </c>
      <c r="S206" s="5">
        <f>S194+(S194*Assumptions!$D$51)</f>
        <v>0</v>
      </c>
      <c r="T206" s="5">
        <f t="shared" si="63"/>
        <v>0</v>
      </c>
      <c r="U206" s="22">
        <f t="shared" si="55"/>
        <v>-3523.8144166155266</v>
      </c>
      <c r="V206" s="5">
        <f>MAX(Assumptions!$E$18:$E$19)-U206</f>
        <v>6365.4474284142234</v>
      </c>
      <c r="W206" s="5">
        <f t="shared" si="56"/>
        <v>-2198.4576329329379</v>
      </c>
      <c r="X206" s="5">
        <f t="shared" si="61"/>
        <v>-3523.8144166155266</v>
      </c>
      <c r="Y206" s="5">
        <f>C206*Assumptions!$D$44*-1</f>
        <v>192.54062237865617</v>
      </c>
      <c r="Z206" s="5">
        <f t="shared" si="57"/>
        <v>835.71600124441545</v>
      </c>
      <c r="AA206" s="5">
        <f t="shared" si="64"/>
        <v>392861.54667393526</v>
      </c>
      <c r="AB206" s="3">
        <f>Assumptions!$E$45</f>
        <v>6.9899151946608562E-3</v>
      </c>
      <c r="AC206" s="5">
        <f t="shared" si="65"/>
        <v>396443.33156967378</v>
      </c>
      <c r="AD206" s="5">
        <f>AC206*Assumptions!$E$43</f>
        <v>355.04493467667078</v>
      </c>
      <c r="AE206" s="2">
        <f>AD206*Assumptions!$D$44*-1</f>
        <v>-53.256740201500612</v>
      </c>
      <c r="AF206" s="2">
        <f>AC206*Assumptions!$E$46*-1</f>
        <v>-13.21235562872841</v>
      </c>
      <c r="AG206" s="22">
        <f t="shared" si="66"/>
        <v>396376.86247384356</v>
      </c>
      <c r="AH206" s="5">
        <f>Model_30y[[#This Row],[Mortgage Payment]]+Model_30y[[#This Row],[Total Upkeep]]+Model_30y[[#This Row],[Monthly Investment]]</f>
        <v>-4886.556048304049</v>
      </c>
      <c r="AI206" s="5">
        <f>Model_Renter!D206*-1</f>
        <v>4959.2855107769401</v>
      </c>
      <c r="AJ206" s="5">
        <f t="shared" si="67"/>
        <v>72.7294624728911</v>
      </c>
    </row>
    <row r="207" spans="1:36" x14ac:dyDescent="0.25">
      <c r="A207" s="17">
        <f t="shared" si="62"/>
        <v>205</v>
      </c>
      <c r="B207" s="17">
        <f t="shared" si="58"/>
        <v>18</v>
      </c>
      <c r="C207" s="23">
        <f>IFERROR(IPMT(Assumptions!$D$16/12,Model_30y!A207, 360,Assumptions!$D$8), 0)</f>
        <v>-1278.4809696820867</v>
      </c>
      <c r="D207" s="2">
        <f>IFERROR(PPMT(Assumptions!$D$16/12, Model_30y!A207, 360, Assumptions!$D$8), 0)</f>
        <v>-919.97666325085117</v>
      </c>
      <c r="E207" s="2">
        <f t="shared" si="52"/>
        <v>-2198.4576329329379</v>
      </c>
      <c r="F207" s="2">
        <f>IF(I206&gt;1, Assumptions!$E$18, 0)*-1</f>
        <v>-2198.4576329329379</v>
      </c>
      <c r="G207" s="24">
        <f t="shared" si="53"/>
        <v>1</v>
      </c>
      <c r="H207" s="20">
        <f t="shared" si="59"/>
        <v>112619.80350573538</v>
      </c>
      <c r="I207" s="2">
        <f>MAX(Assumptions!$D$8-SUM(Model_30y!H207), 0)</f>
        <v>227380.19649426462</v>
      </c>
      <c r="J207" s="2">
        <f>J206*(1+(Assumptions!$E$51))</f>
        <v>978076.42076042038</v>
      </c>
      <c r="K207" s="22">
        <f t="shared" si="54"/>
        <v>750696.22426615574</v>
      </c>
      <c r="L207" s="5">
        <f t="shared" si="60"/>
        <v>197619.80350573533</v>
      </c>
      <c r="M207" s="63">
        <f>L207/Assumptions!$D$6</f>
        <v>0.46498777295467136</v>
      </c>
      <c r="N207" s="24">
        <f t="shared" si="51"/>
        <v>0</v>
      </c>
      <c r="O207" s="5">
        <f>N207*Assumptions!$E$25*-1</f>
        <v>0</v>
      </c>
      <c r="P207" s="20">
        <f>Assumptions!$E$35*J207*-1</f>
        <v>-2014.6772861602833</v>
      </c>
      <c r="Q207" s="5">
        <f>J207*Assumptions!$E$36*-1</f>
        <v>-811.35166976404264</v>
      </c>
      <c r="R207" s="5">
        <f>(R195+(Model_30y!R195*Assumptions!$D$51))</f>
        <v>-744.71495175885218</v>
      </c>
      <c r="S207" s="5">
        <f>S195+(S195*Assumptions!$D$51)</f>
        <v>0</v>
      </c>
      <c r="T207" s="5">
        <f t="shared" si="63"/>
        <v>0</v>
      </c>
      <c r="U207" s="22">
        <f t="shared" si="55"/>
        <v>-3570.7439076831783</v>
      </c>
      <c r="V207" s="5">
        <f>MAX(Assumptions!$E$18:$E$19)-U207</f>
        <v>6412.3769194818751</v>
      </c>
      <c r="W207" s="5">
        <f t="shared" si="56"/>
        <v>-2198.4576329329379</v>
      </c>
      <c r="X207" s="5">
        <f t="shared" si="61"/>
        <v>-3570.7439076831783</v>
      </c>
      <c r="Y207" s="5">
        <f>C207*Assumptions!$D$44*-1</f>
        <v>191.772145452313</v>
      </c>
      <c r="Z207" s="5">
        <f t="shared" si="57"/>
        <v>834.94752431807137</v>
      </c>
      <c r="AA207" s="5">
        <f t="shared" si="64"/>
        <v>396376.86247384356</v>
      </c>
      <c r="AB207" s="3">
        <f>Assumptions!$E$45</f>
        <v>6.9899151946608562E-3</v>
      </c>
      <c r="AC207" s="5">
        <f t="shared" si="65"/>
        <v>399982.45065197954</v>
      </c>
      <c r="AD207" s="5">
        <f>AC207*Assumptions!$E$43</f>
        <v>358.21448301644244</v>
      </c>
      <c r="AE207" s="2">
        <f>AD207*Assumptions!$D$44*-1</f>
        <v>-53.732172452466365</v>
      </c>
      <c r="AF207" s="2">
        <f>AC207*Assumptions!$E$46*-1</f>
        <v>-13.330304642381133</v>
      </c>
      <c r="AG207" s="22">
        <f t="shared" si="66"/>
        <v>399915.38817488472</v>
      </c>
      <c r="AH207" s="5">
        <f>Model_30y[[#This Row],[Mortgage Payment]]+Model_30y[[#This Row],[Total Upkeep]]+Model_30y[[#This Row],[Monthly Investment]]</f>
        <v>-4934.2540162980449</v>
      </c>
      <c r="AI207" s="5">
        <f>Model_Renter!D207*-1</f>
        <v>5144.762788879998</v>
      </c>
      <c r="AJ207" s="5">
        <f t="shared" si="67"/>
        <v>210.50877258195305</v>
      </c>
    </row>
    <row r="208" spans="1:36" x14ac:dyDescent="0.25">
      <c r="A208" s="17">
        <f t="shared" si="62"/>
        <v>206</v>
      </c>
      <c r="B208" s="17">
        <f t="shared" si="58"/>
        <v>18</v>
      </c>
      <c r="C208" s="23">
        <f>IFERROR(IPMT(Assumptions!$D$16/12,Model_30y!A208, 360,Assumptions!$D$8), 0)</f>
        <v>-1273.3291003678821</v>
      </c>
      <c r="D208" s="2">
        <f>IFERROR(PPMT(Assumptions!$D$16/12, Model_30y!A208, 360, Assumptions!$D$8), 0)</f>
        <v>-925.12853256505593</v>
      </c>
      <c r="E208" s="2">
        <f t="shared" si="52"/>
        <v>-2198.4576329329379</v>
      </c>
      <c r="F208" s="2">
        <f>IF(I207&gt;1, Assumptions!$E$18, 0)*-1</f>
        <v>-2198.4576329329379</v>
      </c>
      <c r="G208" s="24">
        <f t="shared" si="53"/>
        <v>1</v>
      </c>
      <c r="H208" s="20">
        <f t="shared" si="59"/>
        <v>113544.93203830044</v>
      </c>
      <c r="I208" s="2">
        <f>MAX(Assumptions!$D$8-SUM(Model_30y!H208), 0)</f>
        <v>226455.06796169956</v>
      </c>
      <c r="J208" s="2">
        <f>J207*(1+(Assumptions!$E$51))</f>
        <v>982061.2251684661</v>
      </c>
      <c r="K208" s="22">
        <f t="shared" si="54"/>
        <v>755606.15720676654</v>
      </c>
      <c r="L208" s="5">
        <f t="shared" si="60"/>
        <v>198544.93203830038</v>
      </c>
      <c r="M208" s="63">
        <f>L208/Assumptions!$D$6</f>
        <v>0.46716454597247148</v>
      </c>
      <c r="N208" s="24">
        <f t="shared" si="51"/>
        <v>0</v>
      </c>
      <c r="O208" s="5">
        <f>N208*Assumptions!$E$25*-1</f>
        <v>0</v>
      </c>
      <c r="P208" s="20">
        <f>Assumptions!$E$35*J208*-1</f>
        <v>-2022.8853308082053</v>
      </c>
      <c r="Q208" s="5">
        <f>J208*Assumptions!$E$36*-1</f>
        <v>-814.65721689873124</v>
      </c>
      <c r="R208" s="5">
        <f>(R196+(Model_30y!R196*Assumptions!$D$51))</f>
        <v>-744.71495175885218</v>
      </c>
      <c r="S208" s="5">
        <f>S196+(S196*Assumptions!$D$51)</f>
        <v>0</v>
      </c>
      <c r="T208" s="5">
        <f t="shared" si="63"/>
        <v>0</v>
      </c>
      <c r="U208" s="22">
        <f t="shared" si="55"/>
        <v>-3582.2574994657889</v>
      </c>
      <c r="V208" s="5">
        <f>MAX(Assumptions!$E$18:$E$19)-U208</f>
        <v>6423.8905112644861</v>
      </c>
      <c r="W208" s="5">
        <f t="shared" si="56"/>
        <v>-2198.4576329329379</v>
      </c>
      <c r="X208" s="5">
        <f t="shared" si="61"/>
        <v>-3582.2574994657889</v>
      </c>
      <c r="Y208" s="5">
        <f>C208*Assumptions!$D$44*-1</f>
        <v>190.99936505518232</v>
      </c>
      <c r="Z208" s="5">
        <f t="shared" si="57"/>
        <v>834.17474392094209</v>
      </c>
      <c r="AA208" s="5">
        <f t="shared" si="64"/>
        <v>399915.38817488472</v>
      </c>
      <c r="AB208" s="3">
        <f>Assumptions!$E$45</f>
        <v>6.9899151946608562E-3</v>
      </c>
      <c r="AC208" s="5">
        <f t="shared" si="65"/>
        <v>403544.93756718794</v>
      </c>
      <c r="AD208" s="5">
        <f>AC208*Assumptions!$E$43</f>
        <v>361.40495901483712</v>
      </c>
      <c r="AE208" s="2">
        <f>AD208*Assumptions!$D$44*-1</f>
        <v>-54.210743852225569</v>
      </c>
      <c r="AF208" s="2">
        <f>AC208*Assumptions!$E$46*-1</f>
        <v>-13.44903244103034</v>
      </c>
      <c r="AG208" s="22">
        <f t="shared" si="66"/>
        <v>403477.27779089467</v>
      </c>
      <c r="AH208" s="5">
        <f>Model_30y[[#This Row],[Mortgage Payment]]+Model_30y[[#This Row],[Total Upkeep]]+Model_30y[[#This Row],[Monthly Investment]]</f>
        <v>-4946.5403884777852</v>
      </c>
      <c r="AI208" s="5">
        <f>Model_Renter!D208*-1</f>
        <v>5144.762788879998</v>
      </c>
      <c r="AJ208" s="5">
        <f t="shared" si="67"/>
        <v>198.22240040221277</v>
      </c>
    </row>
    <row r="209" spans="1:36" x14ac:dyDescent="0.25">
      <c r="A209" s="17">
        <f t="shared" si="62"/>
        <v>207</v>
      </c>
      <c r="B209" s="17">
        <f t="shared" si="58"/>
        <v>18</v>
      </c>
      <c r="C209" s="23">
        <f>IFERROR(IPMT(Assumptions!$D$16/12,Model_30y!A209, 360,Assumptions!$D$8), 0)</f>
        <v>-1268.1483805855175</v>
      </c>
      <c r="D209" s="2">
        <f>IFERROR(PPMT(Assumptions!$D$16/12, Model_30y!A209, 360, Assumptions!$D$8), 0)</f>
        <v>-930.3092523474204</v>
      </c>
      <c r="E209" s="2">
        <f t="shared" si="52"/>
        <v>-2198.4576329329379</v>
      </c>
      <c r="F209" s="2">
        <f>IF(I208&gt;1, Assumptions!$E$18, 0)*-1</f>
        <v>-2198.4576329329379</v>
      </c>
      <c r="G209" s="24">
        <f t="shared" si="53"/>
        <v>1</v>
      </c>
      <c r="H209" s="20">
        <f t="shared" si="59"/>
        <v>114475.24129064786</v>
      </c>
      <c r="I209" s="2">
        <f>MAX(Assumptions!$D$8-SUM(Model_30y!H209), 0)</f>
        <v>225524.75870935214</v>
      </c>
      <c r="J209" s="2">
        <f>J208*(1+(Assumptions!$E$51))</f>
        <v>986062.26416292379</v>
      </c>
      <c r="K209" s="22">
        <f t="shared" si="54"/>
        <v>760537.50545357168</v>
      </c>
      <c r="L209" s="5">
        <f t="shared" si="60"/>
        <v>199475.2412906478</v>
      </c>
      <c r="M209" s="63">
        <f>L209/Assumptions!$D$6</f>
        <v>0.46935350891917127</v>
      </c>
      <c r="N209" s="24">
        <f t="shared" si="51"/>
        <v>0</v>
      </c>
      <c r="O209" s="5">
        <f>N209*Assumptions!$E$25*-1</f>
        <v>0</v>
      </c>
      <c r="P209" s="20">
        <f>Assumptions!$E$35*J209*-1</f>
        <v>-2031.1268160460443</v>
      </c>
      <c r="Q209" s="5">
        <f>J209*Assumptions!$E$36*-1</f>
        <v>-817.97623124161908</v>
      </c>
      <c r="R209" s="5">
        <f>(R197+(Model_30y!R197*Assumptions!$D$51))</f>
        <v>-744.71495175885218</v>
      </c>
      <c r="S209" s="5">
        <f>S197+(S197*Assumptions!$D$51)</f>
        <v>0</v>
      </c>
      <c r="T209" s="5">
        <f t="shared" si="63"/>
        <v>0</v>
      </c>
      <c r="U209" s="22">
        <f t="shared" si="55"/>
        <v>-3593.8179990465155</v>
      </c>
      <c r="V209" s="5">
        <f>MAX(Assumptions!$E$18:$E$19)-U209</f>
        <v>6435.4510108452123</v>
      </c>
      <c r="W209" s="5">
        <f t="shared" si="56"/>
        <v>-2198.4576329329379</v>
      </c>
      <c r="X209" s="5">
        <f t="shared" si="61"/>
        <v>-3593.8179990465155</v>
      </c>
      <c r="Y209" s="5">
        <f>C209*Assumptions!$D$44*-1</f>
        <v>190.22225708782761</v>
      </c>
      <c r="Z209" s="5">
        <f t="shared" si="57"/>
        <v>833.39763595358693</v>
      </c>
      <c r="AA209" s="5">
        <f t="shared" si="64"/>
        <v>403477.27779089467</v>
      </c>
      <c r="AB209" s="3">
        <f>Assumptions!$E$45</f>
        <v>6.9899151946608562E-3</v>
      </c>
      <c r="AC209" s="5">
        <f t="shared" si="65"/>
        <v>407130.9473815792</v>
      </c>
      <c r="AD209" s="5">
        <f>AC209*Assumptions!$E$43</f>
        <v>364.6165015454161</v>
      </c>
      <c r="AE209" s="2">
        <f>AD209*Assumptions!$D$44*-1</f>
        <v>-54.692475231812416</v>
      </c>
      <c r="AF209" s="2">
        <f>AC209*Assumptions!$E$46*-1</f>
        <v>-13.568544192604653</v>
      </c>
      <c r="AG209" s="22">
        <f t="shared" si="66"/>
        <v>407062.68636215478</v>
      </c>
      <c r="AH209" s="5">
        <f>Model_30y[[#This Row],[Mortgage Payment]]+Model_30y[[#This Row],[Total Upkeep]]+Model_30y[[#This Row],[Monthly Investment]]</f>
        <v>-4958.8779960258662</v>
      </c>
      <c r="AI209" s="5">
        <f>Model_Renter!D209*-1</f>
        <v>5144.762788879998</v>
      </c>
      <c r="AJ209" s="5">
        <f t="shared" si="67"/>
        <v>185.88479285413177</v>
      </c>
    </row>
    <row r="210" spans="1:36" x14ac:dyDescent="0.25">
      <c r="A210" s="17">
        <f t="shared" si="62"/>
        <v>208</v>
      </c>
      <c r="B210" s="17">
        <f t="shared" si="58"/>
        <v>18</v>
      </c>
      <c r="C210" s="23">
        <f>IFERROR(IPMT(Assumptions!$D$16/12,Model_30y!A210, 360,Assumptions!$D$8), 0)</f>
        <v>-1262.9386487723721</v>
      </c>
      <c r="D210" s="2">
        <f>IFERROR(PPMT(Assumptions!$D$16/12, Model_30y!A210, 360, Assumptions!$D$8), 0)</f>
        <v>-935.51898416056576</v>
      </c>
      <c r="E210" s="2">
        <f t="shared" si="52"/>
        <v>-2198.4576329329379</v>
      </c>
      <c r="F210" s="2">
        <f>IF(I209&gt;1, Assumptions!$E$18, 0)*-1</f>
        <v>-2198.4576329329379</v>
      </c>
      <c r="G210" s="24">
        <f t="shared" si="53"/>
        <v>1</v>
      </c>
      <c r="H210" s="20">
        <f t="shared" si="59"/>
        <v>115410.76027480842</v>
      </c>
      <c r="I210" s="2">
        <f>MAX(Assumptions!$D$8-SUM(Model_30y!H210), 0)</f>
        <v>224589.23972519158</v>
      </c>
      <c r="J210" s="2">
        <f>J209*(1+(Assumptions!$E$51))</f>
        <v>990079.60388550814</v>
      </c>
      <c r="K210" s="22">
        <f t="shared" si="54"/>
        <v>765490.36416031653</v>
      </c>
      <c r="L210" s="5">
        <f t="shared" si="60"/>
        <v>200410.76027480836</v>
      </c>
      <c r="M210" s="63">
        <f>L210/Assumptions!$D$6</f>
        <v>0.47155473005837262</v>
      </c>
      <c r="N210" s="24">
        <f t="shared" ref="N210:N273" si="68">IF(M210&lt;0.2, 1, 0)</f>
        <v>0</v>
      </c>
      <c r="O210" s="5">
        <f>N210*Assumptions!$E$25*-1</f>
        <v>0</v>
      </c>
      <c r="P210" s="20">
        <f>Assumptions!$E$35*J210*-1</f>
        <v>-2039.4018781149034</v>
      </c>
      <c r="Q210" s="5">
        <f>J210*Assumptions!$E$36*-1</f>
        <v>-821.30876765977962</v>
      </c>
      <c r="R210" s="5">
        <f>(R198+(Model_30y!R198*Assumptions!$D$51))</f>
        <v>-744.71495175885218</v>
      </c>
      <c r="S210" s="5">
        <f>S198+(S198*Assumptions!$D$51)</f>
        <v>0</v>
      </c>
      <c r="T210" s="5">
        <f t="shared" si="63"/>
        <v>0</v>
      </c>
      <c r="U210" s="22">
        <f t="shared" si="55"/>
        <v>-3605.4255975335354</v>
      </c>
      <c r="V210" s="5">
        <f>MAX(Assumptions!$E$18:$E$19)-U210</f>
        <v>6447.0586093322327</v>
      </c>
      <c r="W210" s="5">
        <f t="shared" si="56"/>
        <v>-2198.4576329329379</v>
      </c>
      <c r="X210" s="5">
        <f t="shared" si="61"/>
        <v>-3605.4255975335354</v>
      </c>
      <c r="Y210" s="5">
        <f>C210*Assumptions!$D$44*-1</f>
        <v>189.4407973158558</v>
      </c>
      <c r="Z210" s="5">
        <f t="shared" si="57"/>
        <v>832.61617618161551</v>
      </c>
      <c r="AA210" s="5">
        <f t="shared" si="64"/>
        <v>407062.68636215478</v>
      </c>
      <c r="AB210" s="3">
        <f>Assumptions!$E$45</f>
        <v>6.9899151946608562E-3</v>
      </c>
      <c r="AC210" s="5">
        <f t="shared" si="65"/>
        <v>410740.63619491865</v>
      </c>
      <c r="AD210" s="5">
        <f>AC210*Assumptions!$E$43</f>
        <v>367.84925040730479</v>
      </c>
      <c r="AE210" s="2">
        <f>AD210*Assumptions!$D$44*-1</f>
        <v>-55.177387561095721</v>
      </c>
      <c r="AF210" s="2">
        <f>AC210*Assumptions!$E$46*-1</f>
        <v>-13.688845099475882</v>
      </c>
      <c r="AG210" s="22">
        <f t="shared" si="66"/>
        <v>410671.76996225805</v>
      </c>
      <c r="AH210" s="5">
        <f>Model_30y[[#This Row],[Mortgage Payment]]+Model_30y[[#This Row],[Total Upkeep]]+Model_30y[[#This Row],[Monthly Investment]]</f>
        <v>-4971.2670542848582</v>
      </c>
      <c r="AI210" s="5">
        <f>Model_Renter!D210*-1</f>
        <v>5144.762788879998</v>
      </c>
      <c r="AJ210" s="5">
        <f t="shared" si="67"/>
        <v>173.49573459513977</v>
      </c>
    </row>
    <row r="211" spans="1:36" x14ac:dyDescent="0.25">
      <c r="A211" s="17">
        <f t="shared" si="62"/>
        <v>209</v>
      </c>
      <c r="B211" s="17">
        <f t="shared" si="58"/>
        <v>18</v>
      </c>
      <c r="C211" s="23">
        <f>IFERROR(IPMT(Assumptions!$D$16/12,Model_30y!A211, 360,Assumptions!$D$8), 0)</f>
        <v>-1257.6997424610729</v>
      </c>
      <c r="D211" s="2">
        <f>IFERROR(PPMT(Assumptions!$D$16/12, Model_30y!A211, 360, Assumptions!$D$8), 0)</f>
        <v>-940.75789047186504</v>
      </c>
      <c r="E211" s="2">
        <f t="shared" si="52"/>
        <v>-2198.4576329329379</v>
      </c>
      <c r="F211" s="2">
        <f>IF(I210&gt;1, Assumptions!$E$18, 0)*-1</f>
        <v>-2198.4576329329379</v>
      </c>
      <c r="G211" s="24">
        <f t="shared" si="53"/>
        <v>1</v>
      </c>
      <c r="H211" s="20">
        <f t="shared" si="59"/>
        <v>116351.51816528029</v>
      </c>
      <c r="I211" s="2">
        <f>MAX(Assumptions!$D$8-SUM(Model_30y!H211), 0)</f>
        <v>223648.48183471971</v>
      </c>
      <c r="J211" s="2">
        <f>J210*(1+(Assumptions!$E$51))</f>
        <v>994113.31074740319</v>
      </c>
      <c r="K211" s="22">
        <f t="shared" si="54"/>
        <v>770464.82891268353</v>
      </c>
      <c r="L211" s="5">
        <f t="shared" si="60"/>
        <v>201351.51816528023</v>
      </c>
      <c r="M211" s="63">
        <f>L211/Assumptions!$D$6</f>
        <v>0.47376827803595345</v>
      </c>
      <c r="N211" s="24">
        <f t="shared" si="68"/>
        <v>0</v>
      </c>
      <c r="O211" s="5">
        <f>N211*Assumptions!$E$25*-1</f>
        <v>0</v>
      </c>
      <c r="P211" s="20">
        <f>Assumptions!$E$35*J211*-1</f>
        <v>-2047.7106538109485</v>
      </c>
      <c r="Q211" s="5">
        <f>J211*Assumptions!$E$36*-1</f>
        <v>-824.65488124382125</v>
      </c>
      <c r="R211" s="5">
        <f>(R199+(Model_30y!R199*Assumptions!$D$51))</f>
        <v>-744.71495175885218</v>
      </c>
      <c r="S211" s="5">
        <f>S199+(S199*Assumptions!$D$51)</f>
        <v>0</v>
      </c>
      <c r="T211" s="5">
        <f t="shared" si="63"/>
        <v>0</v>
      </c>
      <c r="U211" s="22">
        <f t="shared" si="55"/>
        <v>-3617.080486813622</v>
      </c>
      <c r="V211" s="5">
        <f>MAX(Assumptions!$E$18:$E$19)-U211</f>
        <v>6458.7134986123183</v>
      </c>
      <c r="W211" s="5">
        <f t="shared" si="56"/>
        <v>-2198.4576329329379</v>
      </c>
      <c r="X211" s="5">
        <f t="shared" si="61"/>
        <v>-3617.080486813622</v>
      </c>
      <c r="Y211" s="5">
        <f>C211*Assumptions!$D$44*-1</f>
        <v>188.65496136916093</v>
      </c>
      <c r="Z211" s="5">
        <f t="shared" si="57"/>
        <v>831.83034023491973</v>
      </c>
      <c r="AA211" s="5">
        <f t="shared" si="64"/>
        <v>410671.76996225805</v>
      </c>
      <c r="AB211" s="3">
        <f>Assumptions!$E$45</f>
        <v>6.9899151946608562E-3</v>
      </c>
      <c r="AC211" s="5">
        <f t="shared" si="65"/>
        <v>414374.16114737041</v>
      </c>
      <c r="AD211" s="5">
        <f>AC211*Assumptions!$E$43</f>
        <v>371.10334633138405</v>
      </c>
      <c r="AE211" s="2">
        <f>AD211*Assumptions!$D$44*-1</f>
        <v>-55.665501949707604</v>
      </c>
      <c r="AF211" s="2">
        <f>AC211*Assumptions!$E$46*-1</f>
        <v>-13.809940398689445</v>
      </c>
      <c r="AG211" s="22">
        <f t="shared" si="66"/>
        <v>414304.68570502201</v>
      </c>
      <c r="AH211" s="5">
        <f>Model_30y[[#This Row],[Mortgage Payment]]+Model_30y[[#This Row],[Total Upkeep]]+Model_30y[[#This Row],[Monthly Investment]]</f>
        <v>-4983.7077795116402</v>
      </c>
      <c r="AI211" s="5">
        <f>Model_Renter!D211*-1</f>
        <v>5144.762788879998</v>
      </c>
      <c r="AJ211" s="5">
        <f t="shared" si="67"/>
        <v>161.05500936835779</v>
      </c>
    </row>
    <row r="212" spans="1:36" x14ac:dyDescent="0.25">
      <c r="A212" s="17">
        <f t="shared" si="62"/>
        <v>210</v>
      </c>
      <c r="B212" s="17">
        <f t="shared" si="58"/>
        <v>18</v>
      </c>
      <c r="C212" s="23">
        <f>IFERROR(IPMT(Assumptions!$D$16/12,Model_30y!A212, 360,Assumptions!$D$8), 0)</f>
        <v>-1252.4314982744306</v>
      </c>
      <c r="D212" s="2">
        <f>IFERROR(PPMT(Assumptions!$D$16/12, Model_30y!A212, 360, Assumptions!$D$8), 0)</f>
        <v>-946.02613465850732</v>
      </c>
      <c r="E212" s="2">
        <f t="shared" si="52"/>
        <v>-2198.4576329329379</v>
      </c>
      <c r="F212" s="2">
        <f>IF(I211&gt;1, Assumptions!$E$18, 0)*-1</f>
        <v>-2198.4576329329379</v>
      </c>
      <c r="G212" s="24">
        <f t="shared" si="53"/>
        <v>1</v>
      </c>
      <c r="H212" s="20">
        <f t="shared" si="59"/>
        <v>117297.54429993879</v>
      </c>
      <c r="I212" s="2">
        <f>MAX(Assumptions!$D$8-SUM(Model_30y!H212), 0)</f>
        <v>222702.45570006123</v>
      </c>
      <c r="J212" s="2">
        <f>J211*(1+(Assumptions!$E$51))</f>
        <v>998163.45143036055</v>
      </c>
      <c r="K212" s="22">
        <f t="shared" si="54"/>
        <v>775460.99573029927</v>
      </c>
      <c r="L212" s="5">
        <f t="shared" si="60"/>
        <v>202297.54429993875</v>
      </c>
      <c r="M212" s="63">
        <f>L212/Assumptions!$D$6</f>
        <v>0.4759942218822088</v>
      </c>
      <c r="N212" s="24">
        <f t="shared" si="68"/>
        <v>0</v>
      </c>
      <c r="O212" s="5">
        <f>N212*Assumptions!$E$25*-1</f>
        <v>0</v>
      </c>
      <c r="P212" s="20">
        <f>Assumptions!$E$35*J212*-1</f>
        <v>-2056.0532804876698</v>
      </c>
      <c r="Q212" s="5">
        <f>J212*Assumptions!$E$36*-1</f>
        <v>-828.01462730879837</v>
      </c>
      <c r="R212" s="5">
        <f>(R200+(Model_30y!R200*Assumptions!$D$51))</f>
        <v>-744.71495175885218</v>
      </c>
      <c r="S212" s="5">
        <f>S200+(S200*Assumptions!$D$51)</f>
        <v>0</v>
      </c>
      <c r="T212" s="5">
        <f t="shared" si="63"/>
        <v>0</v>
      </c>
      <c r="U212" s="22">
        <f t="shared" si="55"/>
        <v>-3628.7828595553206</v>
      </c>
      <c r="V212" s="5">
        <f>MAX(Assumptions!$E$18:$E$19)-U212</f>
        <v>6470.4158713540173</v>
      </c>
      <c r="W212" s="5">
        <f t="shared" si="56"/>
        <v>-2198.4576329329379</v>
      </c>
      <c r="X212" s="5">
        <f t="shared" si="61"/>
        <v>-3628.7828595553206</v>
      </c>
      <c r="Y212" s="5">
        <f>C212*Assumptions!$D$44*-1</f>
        <v>187.86472474116459</v>
      </c>
      <c r="Z212" s="5">
        <f t="shared" si="57"/>
        <v>831.04010360692291</v>
      </c>
      <c r="AA212" s="5">
        <f t="shared" si="64"/>
        <v>414304.68570502201</v>
      </c>
      <c r="AB212" s="3">
        <f>Assumptions!$E$45</f>
        <v>6.9899151946608562E-3</v>
      </c>
      <c r="AC212" s="5">
        <f t="shared" si="65"/>
        <v>418031.68042645766</v>
      </c>
      <c r="AD212" s="5">
        <f>AC212*Assumptions!$E$43</f>
        <v>374.37893098652404</v>
      </c>
      <c r="AE212" s="2">
        <f>AD212*Assumptions!$D$44*-1</f>
        <v>-56.156839647978607</v>
      </c>
      <c r="AF212" s="2">
        <f>AC212*Assumptions!$E$46*-1</f>
        <v>-13.931835362196324</v>
      </c>
      <c r="AG212" s="22">
        <f t="shared" si="66"/>
        <v>417961.59175144747</v>
      </c>
      <c r="AH212" s="5">
        <f>Model_30y[[#This Row],[Mortgage Payment]]+Model_30y[[#This Row],[Total Upkeep]]+Model_30y[[#This Row],[Monthly Investment]]</f>
        <v>-4996.200388881336</v>
      </c>
      <c r="AI212" s="5">
        <f>Model_Renter!D212*-1</f>
        <v>5144.762788879998</v>
      </c>
      <c r="AJ212" s="5">
        <f t="shared" si="67"/>
        <v>148.56239999866193</v>
      </c>
    </row>
    <row r="213" spans="1:36" x14ac:dyDescent="0.25">
      <c r="A213" s="17">
        <f t="shared" si="62"/>
        <v>211</v>
      </c>
      <c r="B213" s="17">
        <f t="shared" si="58"/>
        <v>18</v>
      </c>
      <c r="C213" s="23">
        <f>IFERROR(IPMT(Assumptions!$D$16/12,Model_30y!A213, 360,Assumptions!$D$8), 0)</f>
        <v>-1247.1337519203428</v>
      </c>
      <c r="D213" s="2">
        <f>IFERROR(PPMT(Assumptions!$D$16/12, Model_30y!A213, 360, Assumptions!$D$8), 0)</f>
        <v>-951.32388101259505</v>
      </c>
      <c r="E213" s="2">
        <f t="shared" si="52"/>
        <v>-2198.4576329329379</v>
      </c>
      <c r="F213" s="2">
        <f>IF(I212&gt;1, Assumptions!$E$18, 0)*-1</f>
        <v>-2198.4576329329379</v>
      </c>
      <c r="G213" s="24">
        <f t="shared" si="53"/>
        <v>1</v>
      </c>
      <c r="H213" s="20">
        <f t="shared" si="59"/>
        <v>118248.86818095138</v>
      </c>
      <c r="I213" s="2">
        <f>MAX(Assumptions!$D$8-SUM(Model_30y!H213), 0)</f>
        <v>221751.13181904861</v>
      </c>
      <c r="J213" s="2">
        <f>J212*(1+(Assumptions!$E$51))</f>
        <v>1002230.0928878015</v>
      </c>
      <c r="K213" s="22">
        <f t="shared" si="54"/>
        <v>780478.96106875292</v>
      </c>
      <c r="L213" s="5">
        <f t="shared" si="60"/>
        <v>203248.86818095134</v>
      </c>
      <c r="M213" s="63">
        <f>L213/Assumptions!$D$6</f>
        <v>0.47823263101400315</v>
      </c>
      <c r="N213" s="24">
        <f t="shared" si="68"/>
        <v>0</v>
      </c>
      <c r="O213" s="5">
        <f>N213*Assumptions!$E$25*-1</f>
        <v>0</v>
      </c>
      <c r="P213" s="20">
        <f>Assumptions!$E$35*J213*-1</f>
        <v>-2064.4298960581527</v>
      </c>
      <c r="Q213" s="5">
        <f>J213*Assumptions!$E$36*-1</f>
        <v>-831.38806139512587</v>
      </c>
      <c r="R213" s="5">
        <f>(R201+(Model_30y!R201*Assumptions!$D$51))</f>
        <v>-744.71495175885218</v>
      </c>
      <c r="S213" s="5">
        <f>S201+(S201*Assumptions!$D$51)</f>
        <v>0</v>
      </c>
      <c r="T213" s="5">
        <f t="shared" si="63"/>
        <v>0</v>
      </c>
      <c r="U213" s="22">
        <f t="shared" si="55"/>
        <v>-3640.532909212131</v>
      </c>
      <c r="V213" s="5">
        <f>MAX(Assumptions!$E$18:$E$19)-U213</f>
        <v>6482.1659210108282</v>
      </c>
      <c r="W213" s="5">
        <f t="shared" si="56"/>
        <v>-2198.4576329329379</v>
      </c>
      <c r="X213" s="5">
        <f t="shared" si="61"/>
        <v>-3640.532909212131</v>
      </c>
      <c r="Y213" s="5">
        <f>C213*Assumptions!$D$44*-1</f>
        <v>187.07006278805142</v>
      </c>
      <c r="Z213" s="5">
        <f t="shared" si="57"/>
        <v>830.24544165381121</v>
      </c>
      <c r="AA213" s="5">
        <f t="shared" si="64"/>
        <v>417961.59175144747</v>
      </c>
      <c r="AB213" s="3">
        <f>Assumptions!$E$45</f>
        <v>6.9899151946608562E-3</v>
      </c>
      <c r="AC213" s="5">
        <f t="shared" si="65"/>
        <v>421713.35327406938</v>
      </c>
      <c r="AD213" s="5">
        <f>AC213*Assumptions!$E$43</f>
        <v>377.67614698585896</v>
      </c>
      <c r="AE213" s="2">
        <f>AD213*Assumptions!$D$44*-1</f>
        <v>-56.651422047878846</v>
      </c>
      <c r="AF213" s="2">
        <f>AC213*Assumptions!$E$46*-1</f>
        <v>-14.05453529708659</v>
      </c>
      <c r="AG213" s="22">
        <f t="shared" si="66"/>
        <v>421642.64731672441</v>
      </c>
      <c r="AH213" s="5">
        <f>Model_30y[[#This Row],[Mortgage Payment]]+Model_30y[[#This Row],[Total Upkeep]]+Model_30y[[#This Row],[Monthly Investment]]</f>
        <v>-5008.7451004912582</v>
      </c>
      <c r="AI213" s="5">
        <f>Model_Renter!D213*-1</f>
        <v>5144.762788879998</v>
      </c>
      <c r="AJ213" s="5">
        <f t="shared" si="67"/>
        <v>136.01768838873977</v>
      </c>
    </row>
    <row r="214" spans="1:36" x14ac:dyDescent="0.25">
      <c r="A214" s="17">
        <f t="shared" si="62"/>
        <v>212</v>
      </c>
      <c r="B214" s="17">
        <f t="shared" si="58"/>
        <v>18</v>
      </c>
      <c r="C214" s="23">
        <f>IFERROR(IPMT(Assumptions!$D$16/12,Model_30y!A214, 360,Assumptions!$D$8), 0)</f>
        <v>-1241.8063381866721</v>
      </c>
      <c r="D214" s="2">
        <f>IFERROR(PPMT(Assumptions!$D$16/12, Model_30y!A214, 360, Assumptions!$D$8), 0)</f>
        <v>-956.65129474626576</v>
      </c>
      <c r="E214" s="2">
        <f t="shared" si="52"/>
        <v>-2198.4576329329379</v>
      </c>
      <c r="F214" s="2">
        <f>IF(I213&gt;1, Assumptions!$E$18, 0)*-1</f>
        <v>-2198.4576329329379</v>
      </c>
      <c r="G214" s="24">
        <f t="shared" si="53"/>
        <v>1</v>
      </c>
      <c r="H214" s="20">
        <f t="shared" si="59"/>
        <v>119205.51947569764</v>
      </c>
      <c r="I214" s="2">
        <f>MAX(Assumptions!$D$8-SUM(Model_30y!H214), 0)</f>
        <v>220794.48052430234</v>
      </c>
      <c r="J214" s="2">
        <f>J213*(1+(Assumptions!$E$51))</f>
        <v>1006313.3023459237</v>
      </c>
      <c r="K214" s="22">
        <f t="shared" si="54"/>
        <v>785518.82182162139</v>
      </c>
      <c r="L214" s="5">
        <f t="shared" si="60"/>
        <v>204205.5194756976</v>
      </c>
      <c r="M214" s="63">
        <f>L214/Assumptions!$D$6</f>
        <v>0.48048357523693552</v>
      </c>
      <c r="N214" s="24">
        <f t="shared" si="68"/>
        <v>0</v>
      </c>
      <c r="O214" s="5">
        <f>N214*Assumptions!$E$25*-1</f>
        <v>0</v>
      </c>
      <c r="P214" s="20">
        <f>Assumptions!$E$35*J214*-1</f>
        <v>-2072.8406389973579</v>
      </c>
      <c r="Q214" s="5">
        <f>J214*Assumptions!$E$36*-1</f>
        <v>-834.77523926949698</v>
      </c>
      <c r="R214" s="5">
        <f>(R202+(Model_30y!R202*Assumptions!$D$51))</f>
        <v>-744.71495175885218</v>
      </c>
      <c r="S214" s="5">
        <f>S202+(S202*Assumptions!$D$51)</f>
        <v>0</v>
      </c>
      <c r="T214" s="5">
        <f t="shared" si="63"/>
        <v>0</v>
      </c>
      <c r="U214" s="22">
        <f t="shared" si="55"/>
        <v>-3652.3308300257072</v>
      </c>
      <c r="V214" s="5">
        <f>MAX(Assumptions!$E$18:$E$19)-U214</f>
        <v>6493.963841824404</v>
      </c>
      <c r="W214" s="5">
        <f t="shared" si="56"/>
        <v>-2198.4576329329379</v>
      </c>
      <c r="X214" s="5">
        <f t="shared" si="61"/>
        <v>-3652.3308300257072</v>
      </c>
      <c r="Y214" s="5">
        <f>C214*Assumptions!$D$44*-1</f>
        <v>186.2709507280008</v>
      </c>
      <c r="Z214" s="5">
        <f t="shared" si="57"/>
        <v>829.44632959375917</v>
      </c>
      <c r="AA214" s="5">
        <f t="shared" si="64"/>
        <v>421642.64731672441</v>
      </c>
      <c r="AB214" s="3">
        <f>Assumptions!$E$45</f>
        <v>6.9899151946608562E-3</v>
      </c>
      <c r="AC214" s="5">
        <f t="shared" si="65"/>
        <v>425419.33999351441</v>
      </c>
      <c r="AD214" s="5">
        <f>AC214*Assumptions!$E$43</f>
        <v>380.99513789310475</v>
      </c>
      <c r="AE214" s="2">
        <f>AD214*Assumptions!$D$44*-1</f>
        <v>-57.14927068396571</v>
      </c>
      <c r="AF214" s="2">
        <f>AC214*Assumptions!$E$46*-1</f>
        <v>-14.178045545824491</v>
      </c>
      <c r="AG214" s="22">
        <f t="shared" si="66"/>
        <v>425348.0126772846</v>
      </c>
      <c r="AH214" s="5">
        <f>Model_30y[[#This Row],[Mortgage Payment]]+Model_30y[[#This Row],[Total Upkeep]]+Model_30y[[#This Row],[Monthly Investment]]</f>
        <v>-5021.3421333648857</v>
      </c>
      <c r="AI214" s="5">
        <f>Model_Renter!D214*-1</f>
        <v>5144.762788879998</v>
      </c>
      <c r="AJ214" s="5">
        <f t="shared" si="67"/>
        <v>123.42065551511223</v>
      </c>
    </row>
    <row r="215" spans="1:36" x14ac:dyDescent="0.25">
      <c r="A215" s="17">
        <f t="shared" si="62"/>
        <v>213</v>
      </c>
      <c r="B215" s="17">
        <f t="shared" si="58"/>
        <v>18</v>
      </c>
      <c r="C215" s="23">
        <f>IFERROR(IPMT(Assumptions!$D$16/12,Model_30y!A215, 360,Assumptions!$D$8), 0)</f>
        <v>-1236.4490909360932</v>
      </c>
      <c r="D215" s="2">
        <f>IFERROR(PPMT(Assumptions!$D$16/12, Model_30y!A215, 360, Assumptions!$D$8), 0)</f>
        <v>-962.00854199684466</v>
      </c>
      <c r="E215" s="2">
        <f t="shared" si="52"/>
        <v>-2198.4576329329379</v>
      </c>
      <c r="F215" s="2">
        <f>IF(I214&gt;1, Assumptions!$E$18, 0)*-1</f>
        <v>-2198.4576329329379</v>
      </c>
      <c r="G215" s="24">
        <f t="shared" si="53"/>
        <v>1</v>
      </c>
      <c r="H215" s="20">
        <f t="shared" si="59"/>
        <v>120167.52801769448</v>
      </c>
      <c r="I215" s="2">
        <f>MAX(Assumptions!$D$8-SUM(Model_30y!H215), 0)</f>
        <v>219832.47198230552</v>
      </c>
      <c r="J215" s="2">
        <f>J214*(1+(Assumptions!$E$51))</f>
        <v>1010413.147304813</v>
      </c>
      <c r="K215" s="22">
        <f t="shared" si="54"/>
        <v>790580.67532250751</v>
      </c>
      <c r="L215" s="5">
        <f t="shared" si="60"/>
        <v>205167.52801769445</v>
      </c>
      <c r="M215" s="63">
        <f>L215/Assumptions!$D$6</f>
        <v>0.48274712474751635</v>
      </c>
      <c r="N215" s="24">
        <f t="shared" si="68"/>
        <v>0</v>
      </c>
      <c r="O215" s="5">
        <f>N215*Assumptions!$E$25*-1</f>
        <v>0</v>
      </c>
      <c r="P215" s="20">
        <f>Assumptions!$E$35*J215*-1</f>
        <v>-2081.2856483444098</v>
      </c>
      <c r="Q215" s="5">
        <f>J215*Assumptions!$E$36*-1</f>
        <v>-838.17621692580565</v>
      </c>
      <c r="R215" s="5">
        <f>(R203+(Model_30y!R203*Assumptions!$D$51))</f>
        <v>-744.71495175885218</v>
      </c>
      <c r="S215" s="5">
        <f>S203+(S203*Assumptions!$D$51)</f>
        <v>0</v>
      </c>
      <c r="T215" s="5">
        <f t="shared" si="63"/>
        <v>0</v>
      </c>
      <c r="U215" s="22">
        <f t="shared" si="55"/>
        <v>-3664.1768170290679</v>
      </c>
      <c r="V215" s="5">
        <f>MAX(Assumptions!$E$18:$E$19)-U215</f>
        <v>6505.8098288277652</v>
      </c>
      <c r="W215" s="5">
        <f t="shared" si="56"/>
        <v>-2198.4576329329379</v>
      </c>
      <c r="X215" s="5">
        <f t="shared" si="61"/>
        <v>-3664.1768170290679</v>
      </c>
      <c r="Y215" s="5">
        <f>C215*Assumptions!$D$44*-1</f>
        <v>185.46736364041396</v>
      </c>
      <c r="Z215" s="5">
        <f t="shared" si="57"/>
        <v>828.6427425061737</v>
      </c>
      <c r="AA215" s="5">
        <f t="shared" si="64"/>
        <v>425348.0126772846</v>
      </c>
      <c r="AB215" s="3">
        <f>Assumptions!$E$45</f>
        <v>6.9899151946608562E-3</v>
      </c>
      <c r="AC215" s="5">
        <f t="shared" si="65"/>
        <v>429149.80195662251</v>
      </c>
      <c r="AD215" s="5">
        <f>AC215*Assumptions!$E$43</f>
        <v>384.3360482289184</v>
      </c>
      <c r="AE215" s="2">
        <f>AD215*Assumptions!$D$44*-1</f>
        <v>-57.650407234337756</v>
      </c>
      <c r="AF215" s="2">
        <f>AC215*Assumptions!$E$46*-1</f>
        <v>-14.302371486485107</v>
      </c>
      <c r="AG215" s="22">
        <f t="shared" si="66"/>
        <v>429077.84917790169</v>
      </c>
      <c r="AH215" s="5">
        <f>Model_30y[[#This Row],[Mortgage Payment]]+Model_30y[[#This Row],[Total Upkeep]]+Model_30y[[#This Row],[Monthly Investment]]</f>
        <v>-5033.9917074558325</v>
      </c>
      <c r="AI215" s="5">
        <f>Model_Renter!D215*-1</f>
        <v>5144.762788879998</v>
      </c>
      <c r="AJ215" s="5">
        <f t="shared" si="67"/>
        <v>110.77108142416546</v>
      </c>
    </row>
    <row r="216" spans="1:36" x14ac:dyDescent="0.25">
      <c r="A216" s="17">
        <f t="shared" si="62"/>
        <v>214</v>
      </c>
      <c r="B216" s="17">
        <f t="shared" si="58"/>
        <v>18</v>
      </c>
      <c r="C216" s="23">
        <f>IFERROR(IPMT(Assumptions!$D$16/12,Model_30y!A216, 360,Assumptions!$D$8), 0)</f>
        <v>-1231.0618431009107</v>
      </c>
      <c r="D216" s="2">
        <f>IFERROR(PPMT(Assumptions!$D$16/12, Model_30y!A216, 360, Assumptions!$D$8), 0)</f>
        <v>-967.39578983202716</v>
      </c>
      <c r="E216" s="2">
        <f t="shared" si="52"/>
        <v>-2198.4576329329379</v>
      </c>
      <c r="F216" s="2">
        <f>IF(I215&gt;1, Assumptions!$E$18, 0)*-1</f>
        <v>-2198.4576329329379</v>
      </c>
      <c r="G216" s="24">
        <f t="shared" si="53"/>
        <v>1</v>
      </c>
      <c r="H216" s="20">
        <f t="shared" si="59"/>
        <v>121134.9238075265</v>
      </c>
      <c r="I216" s="2">
        <f>MAX(Assumptions!$D$8-SUM(Model_30y!H216), 0)</f>
        <v>218865.0761924735</v>
      </c>
      <c r="J216" s="2">
        <f>J215*(1+(Assumptions!$E$51))</f>
        <v>1014529.6955395585</v>
      </c>
      <c r="K216" s="22">
        <f t="shared" si="54"/>
        <v>795664.61934708501</v>
      </c>
      <c r="L216" s="5">
        <f t="shared" si="60"/>
        <v>206134.92380752647</v>
      </c>
      <c r="M216" s="63">
        <f>L216/Assumptions!$D$6</f>
        <v>0.48502335013535641</v>
      </c>
      <c r="N216" s="24">
        <f t="shared" si="68"/>
        <v>0</v>
      </c>
      <c r="O216" s="5">
        <f>N216*Assumptions!$E$25*-1</f>
        <v>0</v>
      </c>
      <c r="P216" s="20">
        <f>Assumptions!$E$35*J216*-1</f>
        <v>-2089.765063704896</v>
      </c>
      <c r="Q216" s="5">
        <f>J216*Assumptions!$E$36*-1</f>
        <v>-841.59105058607145</v>
      </c>
      <c r="R216" s="5">
        <f>(R204+(Model_30y!R204*Assumptions!$D$51))</f>
        <v>-744.71495175885218</v>
      </c>
      <c r="S216" s="5">
        <f>S204+(S204*Assumptions!$D$51)</f>
        <v>0</v>
      </c>
      <c r="T216" s="5">
        <f t="shared" si="63"/>
        <v>0</v>
      </c>
      <c r="U216" s="22">
        <f t="shared" si="55"/>
        <v>-3676.0710660498198</v>
      </c>
      <c r="V216" s="5">
        <f>MAX(Assumptions!$E$18:$E$19)-U216</f>
        <v>6517.704077848517</v>
      </c>
      <c r="W216" s="5">
        <f t="shared" si="56"/>
        <v>-2198.4576329329379</v>
      </c>
      <c r="X216" s="5">
        <f t="shared" si="61"/>
        <v>-3676.0710660498198</v>
      </c>
      <c r="Y216" s="5">
        <f>C216*Assumptions!$D$44*-1</f>
        <v>184.6592764651366</v>
      </c>
      <c r="Z216" s="5">
        <f t="shared" si="57"/>
        <v>827.83465533089634</v>
      </c>
      <c r="AA216" s="5">
        <f t="shared" si="64"/>
        <v>429077.84917790169</v>
      </c>
      <c r="AB216" s="3">
        <f>Assumptions!$E$45</f>
        <v>6.9899151946608562E-3</v>
      </c>
      <c r="AC216" s="5">
        <f t="shared" si="65"/>
        <v>432904.9016108936</v>
      </c>
      <c r="AD216" s="5">
        <f>AC216*Assumptions!$E$43</f>
        <v>387.69902347730078</v>
      </c>
      <c r="AE216" s="2">
        <f>AD216*Assumptions!$D$44*-1</f>
        <v>-58.154853521595115</v>
      </c>
      <c r="AF216" s="2">
        <f>AC216*Assumptions!$E$46*-1</f>
        <v>-14.427518532992623</v>
      </c>
      <c r="AG216" s="22">
        <f t="shared" si="66"/>
        <v>432832.31923883903</v>
      </c>
      <c r="AH216" s="5">
        <f>Model_30y[[#This Row],[Mortgage Payment]]+Model_30y[[#This Row],[Total Upkeep]]+Model_30y[[#This Row],[Monthly Investment]]</f>
        <v>-5046.6940436518616</v>
      </c>
      <c r="AI216" s="5">
        <f>Model_Renter!D216*-1</f>
        <v>5144.762788879998</v>
      </c>
      <c r="AJ216" s="5">
        <f t="shared" si="67"/>
        <v>98.068745228136322</v>
      </c>
    </row>
    <row r="217" spans="1:36" x14ac:dyDescent="0.25">
      <c r="A217" s="17">
        <f t="shared" si="62"/>
        <v>215</v>
      </c>
      <c r="B217" s="17">
        <f t="shared" si="58"/>
        <v>18</v>
      </c>
      <c r="C217" s="23">
        <f>IFERROR(IPMT(Assumptions!$D$16/12,Model_30y!A217, 360,Assumptions!$D$8), 0)</f>
        <v>-1225.6444266778515</v>
      </c>
      <c r="D217" s="2">
        <f>IFERROR(PPMT(Assumptions!$D$16/12, Model_30y!A217, 360, Assumptions!$D$8), 0)</f>
        <v>-972.81320625508647</v>
      </c>
      <c r="E217" s="2">
        <f t="shared" si="52"/>
        <v>-2198.4576329329379</v>
      </c>
      <c r="F217" s="2">
        <f>IF(I216&gt;1, Assumptions!$E$18, 0)*-1</f>
        <v>-2198.4576329329379</v>
      </c>
      <c r="G217" s="24">
        <f t="shared" si="53"/>
        <v>1</v>
      </c>
      <c r="H217" s="20">
        <f t="shared" si="59"/>
        <v>122107.73701378159</v>
      </c>
      <c r="I217" s="2">
        <f>MAX(Assumptions!$D$8-SUM(Model_30y!H217), 0)</f>
        <v>217892.26298621841</v>
      </c>
      <c r="J217" s="2">
        <f>J216*(1+(Assumptions!$E$51))</f>
        <v>1018663.0151013738</v>
      </c>
      <c r="K217" s="22">
        <f t="shared" si="54"/>
        <v>800770.75211515534</v>
      </c>
      <c r="L217" s="5">
        <f t="shared" si="60"/>
        <v>207107.73701378156</v>
      </c>
      <c r="M217" s="63">
        <f>L217/Assumptions!$D$6</f>
        <v>0.48731232238536837</v>
      </c>
      <c r="N217" s="24">
        <f t="shared" si="68"/>
        <v>0</v>
      </c>
      <c r="O217" s="5">
        <f>N217*Assumptions!$E$25*-1</f>
        <v>0</v>
      </c>
      <c r="P217" s="20">
        <f>Assumptions!$E$35*J217*-1</f>
        <v>-2098.2790252531731</v>
      </c>
      <c r="Q217" s="5">
        <f>J217*Assumptions!$E$36*-1</f>
        <v>-845.01979670136973</v>
      </c>
      <c r="R217" s="5">
        <f>(R205+(Model_30y!R205*Assumptions!$D$51))</f>
        <v>-744.71495175885218</v>
      </c>
      <c r="S217" s="5">
        <f>S205+(S205*Assumptions!$D$51)</f>
        <v>0</v>
      </c>
      <c r="T217" s="5">
        <f t="shared" si="63"/>
        <v>0</v>
      </c>
      <c r="U217" s="22">
        <f t="shared" si="55"/>
        <v>-3688.013773713395</v>
      </c>
      <c r="V217" s="5">
        <f>MAX(Assumptions!$E$18:$E$19)-U217</f>
        <v>6529.6467855120918</v>
      </c>
      <c r="W217" s="5">
        <f t="shared" si="56"/>
        <v>-2198.4576329329379</v>
      </c>
      <c r="X217" s="5">
        <f t="shared" si="61"/>
        <v>-3688.013773713395</v>
      </c>
      <c r="Y217" s="5">
        <f>C217*Assumptions!$D$44*-1</f>
        <v>183.84666400167771</v>
      </c>
      <c r="Z217" s="5">
        <f t="shared" si="57"/>
        <v>827.02204286743699</v>
      </c>
      <c r="AA217" s="5">
        <f t="shared" si="64"/>
        <v>432832.31923883903</v>
      </c>
      <c r="AB217" s="3">
        <f>Assumptions!$E$45</f>
        <v>6.9899151946608562E-3</v>
      </c>
      <c r="AC217" s="5">
        <f t="shared" si="65"/>
        <v>436684.8024866943</v>
      </c>
      <c r="AD217" s="5">
        <f>AC217*Assumptions!$E$43</f>
        <v>391.0842100920417</v>
      </c>
      <c r="AE217" s="2">
        <f>AD217*Assumptions!$D$44*-1</f>
        <v>-58.662631513806254</v>
      </c>
      <c r="AF217" s="2">
        <f>AC217*Assumptions!$E$46*-1</f>
        <v>-14.553492135360164</v>
      </c>
      <c r="AG217" s="22">
        <f t="shared" si="66"/>
        <v>436611.58636304515</v>
      </c>
      <c r="AH217" s="5">
        <f>Model_30y[[#This Row],[Mortgage Payment]]+Model_30y[[#This Row],[Total Upkeep]]+Model_30y[[#This Row],[Monthly Investment]]</f>
        <v>-5059.4493637788964</v>
      </c>
      <c r="AI217" s="5">
        <f>Model_Renter!D217*-1</f>
        <v>5144.762788879998</v>
      </c>
      <c r="AJ217" s="5">
        <f t="shared" si="67"/>
        <v>85.313425101101529</v>
      </c>
    </row>
    <row r="218" spans="1:36" x14ac:dyDescent="0.25">
      <c r="A218" s="17">
        <f t="shared" si="62"/>
        <v>216</v>
      </c>
      <c r="B218" s="17">
        <f t="shared" si="58"/>
        <v>18</v>
      </c>
      <c r="C218" s="23">
        <f>IFERROR(IPMT(Assumptions!$D$16/12,Model_30y!A218, 360,Assumptions!$D$8), 0)</f>
        <v>-1220.196672722823</v>
      </c>
      <c r="D218" s="2">
        <f>IFERROR(PPMT(Assumptions!$D$16/12, Model_30y!A218, 360, Assumptions!$D$8), 0)</f>
        <v>-978.26096021011483</v>
      </c>
      <c r="E218" s="2">
        <f t="shared" si="52"/>
        <v>-2198.4576329329379</v>
      </c>
      <c r="F218" s="2">
        <f>IF(I217&gt;1, Assumptions!$E$18, 0)*-1</f>
        <v>-2198.4576329329379</v>
      </c>
      <c r="G218" s="24">
        <f t="shared" si="53"/>
        <v>1</v>
      </c>
      <c r="H218" s="20">
        <f t="shared" si="59"/>
        <v>123085.9979739917</v>
      </c>
      <c r="I218" s="2">
        <f>MAX(Assumptions!$D$8-SUM(Model_30y!H218), 0)</f>
        <v>216914.0020260083</v>
      </c>
      <c r="J218" s="2">
        <f>J217*(1+(Assumptions!$E$51))</f>
        <v>1022813.1743187212</v>
      </c>
      <c r="K218" s="22">
        <f t="shared" si="54"/>
        <v>805899.17229271284</v>
      </c>
      <c r="L218" s="5">
        <f t="shared" si="60"/>
        <v>208085.99797399167</v>
      </c>
      <c r="M218" s="63">
        <f>L218/Assumptions!$D$6</f>
        <v>0.48961411287998041</v>
      </c>
      <c r="N218" s="24">
        <f t="shared" si="68"/>
        <v>0</v>
      </c>
      <c r="O218" s="5">
        <f>N218*Assumptions!$E$25*-1</f>
        <v>0</v>
      </c>
      <c r="P218" s="20">
        <f>Assumptions!$E$35*J218*-1</f>
        <v>-2106.8276737346878</v>
      </c>
      <c r="Q218" s="5">
        <f>J218*Assumptions!$E$36*-1</f>
        <v>-848.46251195276443</v>
      </c>
      <c r="R218" s="5">
        <f>(R206+(Model_30y!R206*Assumptions!$D$51))</f>
        <v>-744.71495175885218</v>
      </c>
      <c r="S218" s="5">
        <f>S206+(S206*Assumptions!$D$51)</f>
        <v>0</v>
      </c>
      <c r="T218" s="5">
        <f t="shared" si="63"/>
        <v>0</v>
      </c>
      <c r="U218" s="22">
        <f t="shared" si="55"/>
        <v>-3700.0051374463046</v>
      </c>
      <c r="V218" s="5">
        <f>MAX(Assumptions!$E$18:$E$19)-U218</f>
        <v>6541.6381492450018</v>
      </c>
      <c r="W218" s="5">
        <f t="shared" si="56"/>
        <v>-2198.4576329329379</v>
      </c>
      <c r="X218" s="5">
        <f t="shared" si="61"/>
        <v>-3700.0051374463046</v>
      </c>
      <c r="Y218" s="5">
        <f>C218*Assumptions!$D$44*-1</f>
        <v>183.02950090842344</v>
      </c>
      <c r="Z218" s="5">
        <f t="shared" si="57"/>
        <v>826.20487977418315</v>
      </c>
      <c r="AA218" s="5">
        <f t="shared" si="64"/>
        <v>436611.58636304515</v>
      </c>
      <c r="AB218" s="3">
        <f>Assumptions!$E$45</f>
        <v>6.9899151946608562E-3</v>
      </c>
      <c r="AC218" s="5">
        <f t="shared" si="65"/>
        <v>440489.66920450336</v>
      </c>
      <c r="AD218" s="5">
        <f>AC218*Assumptions!$E$43</f>
        <v>394.49175550320859</v>
      </c>
      <c r="AE218" s="2">
        <f>AD218*Assumptions!$D$44*-1</f>
        <v>-59.173763325481289</v>
      </c>
      <c r="AF218" s="2">
        <f>AC218*Assumptions!$E$46*-1</f>
        <v>-14.680297779931262</v>
      </c>
      <c r="AG218" s="22">
        <f t="shared" si="66"/>
        <v>440415.81514339795</v>
      </c>
      <c r="AH218" s="5">
        <f>Model_30y[[#This Row],[Mortgage Payment]]+Model_30y[[#This Row],[Total Upkeep]]+Model_30y[[#This Row],[Monthly Investment]]</f>
        <v>-5072.2578906050603</v>
      </c>
      <c r="AI218" s="5">
        <f>Model_Renter!D218*-1</f>
        <v>5144.762788879998</v>
      </c>
      <c r="AJ218" s="5">
        <f t="shared" si="67"/>
        <v>72.504898274937659</v>
      </c>
    </row>
    <row r="219" spans="1:36" x14ac:dyDescent="0.25">
      <c r="A219" s="17">
        <f t="shared" si="62"/>
        <v>217</v>
      </c>
      <c r="B219" s="17">
        <f t="shared" si="58"/>
        <v>19</v>
      </c>
      <c r="C219" s="23">
        <f>IFERROR(IPMT(Assumptions!$D$16/12,Model_30y!A219, 360,Assumptions!$D$8), 0)</f>
        <v>-1214.718411345646</v>
      </c>
      <c r="D219" s="2">
        <f>IFERROR(PPMT(Assumptions!$D$16/12, Model_30y!A219, 360, Assumptions!$D$8), 0)</f>
        <v>-983.73922158729158</v>
      </c>
      <c r="E219" s="2">
        <f t="shared" si="52"/>
        <v>-2198.4576329329375</v>
      </c>
      <c r="F219" s="2">
        <f>IF(I218&gt;1, Assumptions!$E$18, 0)*-1</f>
        <v>-2198.4576329329379</v>
      </c>
      <c r="G219" s="24">
        <f t="shared" si="53"/>
        <v>1</v>
      </c>
      <c r="H219" s="20">
        <f t="shared" si="59"/>
        <v>124069.737195579</v>
      </c>
      <c r="I219" s="2">
        <f>MAX(Assumptions!$D$8-SUM(Model_30y!H219), 0)</f>
        <v>215930.26280442101</v>
      </c>
      <c r="J219" s="2">
        <f>J218*(1+(Assumptions!$E$51))</f>
        <v>1026980.241798442</v>
      </c>
      <c r="K219" s="22">
        <f t="shared" si="54"/>
        <v>811049.97899402096</v>
      </c>
      <c r="L219" s="5">
        <f t="shared" si="60"/>
        <v>209069.73719557896</v>
      </c>
      <c r="M219" s="63">
        <f>L219/Assumptions!$D$6</f>
        <v>0.49192879340136225</v>
      </c>
      <c r="N219" s="24">
        <f t="shared" si="68"/>
        <v>0</v>
      </c>
      <c r="O219" s="5">
        <f>N219*Assumptions!$E$25*-1</f>
        <v>0</v>
      </c>
      <c r="P219" s="20">
        <f>Assumptions!$E$35*J219*-1</f>
        <v>-2115.4111504682987</v>
      </c>
      <c r="Q219" s="5">
        <f>J219*Assumptions!$E$36*-1</f>
        <v>-851.91925325224531</v>
      </c>
      <c r="R219" s="5">
        <f>(R207+(Model_30y!R207*Assumptions!$D$51))</f>
        <v>-781.95069934679475</v>
      </c>
      <c r="S219" s="5">
        <f>S207+(S207*Assumptions!$D$51)</f>
        <v>0</v>
      </c>
      <c r="T219" s="5">
        <f t="shared" si="63"/>
        <v>0</v>
      </c>
      <c r="U219" s="22">
        <f t="shared" si="55"/>
        <v>-3749.2811030673388</v>
      </c>
      <c r="V219" s="5">
        <f>MAX(Assumptions!$E$18:$E$19)-U219</f>
        <v>6590.9141148660356</v>
      </c>
      <c r="W219" s="5">
        <f t="shared" si="56"/>
        <v>-2198.4576329329379</v>
      </c>
      <c r="X219" s="5">
        <f t="shared" si="61"/>
        <v>-3749.2811030673388</v>
      </c>
      <c r="Y219" s="5">
        <f>C219*Assumptions!$D$44*-1</f>
        <v>182.20776170184689</v>
      </c>
      <c r="Z219" s="5">
        <f t="shared" si="57"/>
        <v>825.38314056760532</v>
      </c>
      <c r="AA219" s="5">
        <f t="shared" si="64"/>
        <v>440415.81514339795</v>
      </c>
      <c r="AB219" s="3">
        <f>Assumptions!$E$45</f>
        <v>6.9899151946608562E-3</v>
      </c>
      <c r="AC219" s="5">
        <f t="shared" si="65"/>
        <v>444319.66748220538</v>
      </c>
      <c r="AD219" s="5">
        <f>AC219*Assumptions!$E$43</f>
        <v>397.92180812367877</v>
      </c>
      <c r="AE219" s="2">
        <f>AD219*Assumptions!$D$44*-1</f>
        <v>-59.688271218551812</v>
      </c>
      <c r="AF219" s="2">
        <f>AC219*Assumptions!$E$46*-1</f>
        <v>-14.807940989622942</v>
      </c>
      <c r="AG219" s="22">
        <f t="shared" si="66"/>
        <v>444245.1712699972</v>
      </c>
      <c r="AH219" s="5">
        <f>Model_30y[[#This Row],[Mortgage Payment]]+Model_30y[[#This Row],[Total Upkeep]]+Model_30y[[#This Row],[Monthly Investment]]</f>
        <v>-5122.3555954326712</v>
      </c>
      <c r="AI219" s="5">
        <f>Model_Renter!D219*-1</f>
        <v>5337.1769171841106</v>
      </c>
      <c r="AJ219" s="5">
        <f t="shared" si="67"/>
        <v>214.82132175143943</v>
      </c>
    </row>
    <row r="220" spans="1:36" x14ac:dyDescent="0.25">
      <c r="A220" s="17">
        <f t="shared" si="62"/>
        <v>218</v>
      </c>
      <c r="B220" s="17">
        <f t="shared" si="58"/>
        <v>19</v>
      </c>
      <c r="C220" s="23">
        <f>IFERROR(IPMT(Assumptions!$D$16/12,Model_30y!A220, 360,Assumptions!$D$8), 0)</f>
        <v>-1209.2094717047576</v>
      </c>
      <c r="D220" s="2">
        <f>IFERROR(PPMT(Assumptions!$D$16/12, Model_30y!A220, 360, Assumptions!$D$8), 0)</f>
        <v>-989.24816122818027</v>
      </c>
      <c r="E220" s="2">
        <f t="shared" si="52"/>
        <v>-2198.4576329329379</v>
      </c>
      <c r="F220" s="2">
        <f>IF(I219&gt;1, Assumptions!$E$18, 0)*-1</f>
        <v>-2198.4576329329379</v>
      </c>
      <c r="G220" s="24">
        <f t="shared" si="53"/>
        <v>1</v>
      </c>
      <c r="H220" s="20">
        <f t="shared" si="59"/>
        <v>125058.98535680718</v>
      </c>
      <c r="I220" s="2">
        <f>MAX(Assumptions!$D$8-SUM(Model_30y!H220), 0)</f>
        <v>214941.01464319282</v>
      </c>
      <c r="J220" s="2">
        <f>J219*(1+(Assumptions!$E$51))</f>
        <v>1031164.2864268899</v>
      </c>
      <c r="K220" s="22">
        <f t="shared" si="54"/>
        <v>816223.27178369719</v>
      </c>
      <c r="L220" s="5">
        <f t="shared" si="60"/>
        <v>210058.98535680713</v>
      </c>
      <c r="M220" s="63">
        <f>L220/Assumptions!$D$6</f>
        <v>0.49425643613366382</v>
      </c>
      <c r="N220" s="24">
        <f t="shared" si="68"/>
        <v>0</v>
      </c>
      <c r="O220" s="5">
        <f>N220*Assumptions!$E$25*-1</f>
        <v>0</v>
      </c>
      <c r="P220" s="20">
        <f>Assumptions!$E$35*J220*-1</f>
        <v>-2124.0295973486163</v>
      </c>
      <c r="Q220" s="5">
        <f>J220*Assumptions!$E$36*-1</f>
        <v>-855.39007774366814</v>
      </c>
      <c r="R220" s="5">
        <f>(R208+(Model_30y!R208*Assumptions!$D$51))</f>
        <v>-781.95069934679475</v>
      </c>
      <c r="S220" s="5">
        <f>S208+(S208*Assumptions!$D$51)</f>
        <v>0</v>
      </c>
      <c r="T220" s="5">
        <f t="shared" si="63"/>
        <v>0</v>
      </c>
      <c r="U220" s="22">
        <f t="shared" si="55"/>
        <v>-3761.3703744390796</v>
      </c>
      <c r="V220" s="5">
        <f>MAX(Assumptions!$E$18:$E$19)-U220</f>
        <v>6603.0033862377768</v>
      </c>
      <c r="W220" s="5">
        <f t="shared" si="56"/>
        <v>-2198.4576329329379</v>
      </c>
      <c r="X220" s="5">
        <f t="shared" si="61"/>
        <v>-3761.3703744390796</v>
      </c>
      <c r="Y220" s="5">
        <f>C220*Assumptions!$D$44*-1</f>
        <v>181.38142075571363</v>
      </c>
      <c r="Z220" s="5">
        <f t="shared" si="57"/>
        <v>824.55679962147337</v>
      </c>
      <c r="AA220" s="5">
        <f t="shared" si="64"/>
        <v>444245.1712699972</v>
      </c>
      <c r="AB220" s="3">
        <f>Assumptions!$E$45</f>
        <v>6.9899151946608562E-3</v>
      </c>
      <c r="AC220" s="5">
        <f t="shared" si="65"/>
        <v>448174.96414243354</v>
      </c>
      <c r="AD220" s="5">
        <f>AC220*Assumptions!$E$43</f>
        <v>401.37451735571517</v>
      </c>
      <c r="AE220" s="2">
        <f>AD220*Assumptions!$D$44*-1</f>
        <v>-60.206177603357276</v>
      </c>
      <c r="AF220" s="2">
        <f>AC220*Assumptions!$E$46*-1</f>
        <v>-14.936427324170435</v>
      </c>
      <c r="AG220" s="22">
        <f t="shared" si="66"/>
        <v>448099.82153750601</v>
      </c>
      <c r="AH220" s="5">
        <f>Model_30y[[#This Row],[Mortgage Payment]]+Model_30y[[#This Row],[Total Upkeep]]+Model_30y[[#This Row],[Monthly Investment]]</f>
        <v>-5135.2712077505448</v>
      </c>
      <c r="AI220" s="5">
        <f>Model_Renter!D220*-1</f>
        <v>5337.1769171841106</v>
      </c>
      <c r="AJ220" s="5">
        <f t="shared" si="67"/>
        <v>201.90570943356579</v>
      </c>
    </row>
    <row r="221" spans="1:36" x14ac:dyDescent="0.25">
      <c r="A221" s="17">
        <f t="shared" si="62"/>
        <v>219</v>
      </c>
      <c r="B221" s="17">
        <f t="shared" si="58"/>
        <v>19</v>
      </c>
      <c r="C221" s="23">
        <f>IFERROR(IPMT(Assumptions!$D$16/12,Model_30y!A221, 360,Assumptions!$D$8), 0)</f>
        <v>-1203.6696820018797</v>
      </c>
      <c r="D221" s="2">
        <f>IFERROR(PPMT(Assumptions!$D$16/12, Model_30y!A221, 360, Assumptions!$D$8), 0)</f>
        <v>-994.78795093105828</v>
      </c>
      <c r="E221" s="2">
        <f t="shared" si="52"/>
        <v>-2198.4576329329379</v>
      </c>
      <c r="F221" s="2">
        <f>IF(I220&gt;1, Assumptions!$E$18, 0)*-1</f>
        <v>-2198.4576329329379</v>
      </c>
      <c r="G221" s="24">
        <f t="shared" si="53"/>
        <v>1</v>
      </c>
      <c r="H221" s="20">
        <f t="shared" si="59"/>
        <v>126053.77330773824</v>
      </c>
      <c r="I221" s="2">
        <f>MAX(Assumptions!$D$8-SUM(Model_30y!H221), 0)</f>
        <v>213946.22669226176</v>
      </c>
      <c r="J221" s="2">
        <f>J220*(1+(Assumptions!$E$51))</f>
        <v>1035365.3773710706</v>
      </c>
      <c r="K221" s="22">
        <f t="shared" si="54"/>
        <v>821419.1506788088</v>
      </c>
      <c r="L221" s="5">
        <f t="shared" si="60"/>
        <v>211053.77330773819</v>
      </c>
      <c r="M221" s="63">
        <f>L221/Assumptions!$D$6</f>
        <v>0.49659711366526632</v>
      </c>
      <c r="N221" s="24">
        <f t="shared" si="68"/>
        <v>0</v>
      </c>
      <c r="O221" s="5">
        <f>N221*Assumptions!$E$25*-1</f>
        <v>0</v>
      </c>
      <c r="P221" s="20">
        <f>Assumptions!$E$35*J221*-1</f>
        <v>-2132.6831568483476</v>
      </c>
      <c r="Q221" s="5">
        <f>J221*Assumptions!$E$36*-1</f>
        <v>-858.87504280370047</v>
      </c>
      <c r="R221" s="5">
        <f>(R209+(Model_30y!R209*Assumptions!$D$51))</f>
        <v>-781.95069934679475</v>
      </c>
      <c r="S221" s="5">
        <f>S209+(S209*Assumptions!$D$51)</f>
        <v>0</v>
      </c>
      <c r="T221" s="5">
        <f t="shared" si="63"/>
        <v>0</v>
      </c>
      <c r="U221" s="22">
        <f t="shared" si="55"/>
        <v>-3773.5088989988431</v>
      </c>
      <c r="V221" s="5">
        <f>MAX(Assumptions!$E$18:$E$19)-U221</f>
        <v>6615.1419107975398</v>
      </c>
      <c r="W221" s="5">
        <f t="shared" si="56"/>
        <v>-2198.4576329329379</v>
      </c>
      <c r="X221" s="5">
        <f t="shared" si="61"/>
        <v>-3773.5088989988431</v>
      </c>
      <c r="Y221" s="5">
        <f>C221*Assumptions!$D$44*-1</f>
        <v>180.55045230028193</v>
      </c>
      <c r="Z221" s="5">
        <f t="shared" si="57"/>
        <v>823.72583116604119</v>
      </c>
      <c r="AA221" s="5">
        <f t="shared" si="64"/>
        <v>448099.82153750601</v>
      </c>
      <c r="AB221" s="3">
        <f>Assumptions!$E$45</f>
        <v>6.9899151946608562E-3</v>
      </c>
      <c r="AC221" s="5">
        <f t="shared" si="65"/>
        <v>452055.72711996187</v>
      </c>
      <c r="AD221" s="5">
        <f>AC221*Assumptions!$E$43</f>
        <v>404.85003359758701</v>
      </c>
      <c r="AE221" s="2">
        <f>AD221*Assumptions!$D$44*-1</f>
        <v>-60.727505039638046</v>
      </c>
      <c r="AF221" s="2">
        <f>AC221*Assumptions!$E$46*-1</f>
        <v>-15.065762380373533</v>
      </c>
      <c r="AG221" s="22">
        <f t="shared" si="66"/>
        <v>451979.93385254184</v>
      </c>
      <c r="AH221" s="5">
        <f>Model_30y[[#This Row],[Mortgage Payment]]+Model_30y[[#This Row],[Total Upkeep]]+Model_30y[[#This Row],[Monthly Investment]]</f>
        <v>-5148.2407007657403</v>
      </c>
      <c r="AI221" s="5">
        <f>Model_Renter!D221*-1</f>
        <v>5337.1769171841106</v>
      </c>
      <c r="AJ221" s="5">
        <f t="shared" si="67"/>
        <v>188.93621641837035</v>
      </c>
    </row>
    <row r="222" spans="1:36" x14ac:dyDescent="0.25">
      <c r="A222" s="17">
        <f t="shared" si="62"/>
        <v>220</v>
      </c>
      <c r="B222" s="17">
        <f t="shared" si="58"/>
        <v>19</v>
      </c>
      <c r="C222" s="23">
        <f>IFERROR(IPMT(Assumptions!$D$16/12,Model_30y!A222, 360,Assumptions!$D$8), 0)</f>
        <v>-1198.0988694766659</v>
      </c>
      <c r="D222" s="2">
        <f>IFERROR(PPMT(Assumptions!$D$16/12, Model_30y!A222, 360, Assumptions!$D$8), 0)</f>
        <v>-1000.3587634562721</v>
      </c>
      <c r="E222" s="2">
        <f t="shared" si="52"/>
        <v>-2198.4576329329379</v>
      </c>
      <c r="F222" s="2">
        <f>IF(I221&gt;1, Assumptions!$E$18, 0)*-1</f>
        <v>-2198.4576329329379</v>
      </c>
      <c r="G222" s="24">
        <f t="shared" si="53"/>
        <v>1</v>
      </c>
      <c r="H222" s="20">
        <f t="shared" si="59"/>
        <v>127054.13207119452</v>
      </c>
      <c r="I222" s="2">
        <f>MAX(Assumptions!$D$8-SUM(Model_30y!H222), 0)</f>
        <v>212945.86792880547</v>
      </c>
      <c r="J222" s="2">
        <f>J221*(1+(Assumptions!$E$51))</f>
        <v>1039583.5840797841</v>
      </c>
      <c r="K222" s="22">
        <f t="shared" si="54"/>
        <v>826637.71615097858</v>
      </c>
      <c r="L222" s="5">
        <f t="shared" si="60"/>
        <v>212054.13207119447</v>
      </c>
      <c r="M222" s="63">
        <f>L222/Assumptions!$D$6</f>
        <v>0.49895089899104583</v>
      </c>
      <c r="N222" s="24">
        <f t="shared" si="68"/>
        <v>0</v>
      </c>
      <c r="O222" s="5">
        <f>N222*Assumptions!$E$25*-1</f>
        <v>0</v>
      </c>
      <c r="P222" s="20">
        <f>Assumptions!$E$35*J222*-1</f>
        <v>-2141.37197202065</v>
      </c>
      <c r="Q222" s="5">
        <f>J222*Assumptions!$E$36*-1</f>
        <v>-862.37420604276906</v>
      </c>
      <c r="R222" s="5">
        <f>(R210+(Model_30y!R210*Assumptions!$D$51))</f>
        <v>-781.95069934679475</v>
      </c>
      <c r="S222" s="5">
        <f>S210+(S210*Assumptions!$D$51)</f>
        <v>0</v>
      </c>
      <c r="T222" s="5">
        <f t="shared" si="63"/>
        <v>0</v>
      </c>
      <c r="U222" s="22">
        <f t="shared" si="55"/>
        <v>-3785.6968774102138</v>
      </c>
      <c r="V222" s="5">
        <f>MAX(Assumptions!$E$18:$E$19)-U222</f>
        <v>6627.3298892089106</v>
      </c>
      <c r="W222" s="5">
        <f t="shared" si="56"/>
        <v>-2198.4576329329379</v>
      </c>
      <c r="X222" s="5">
        <f t="shared" si="61"/>
        <v>-3785.6968774102138</v>
      </c>
      <c r="Y222" s="5">
        <f>C222*Assumptions!$D$44*-1</f>
        <v>179.71483042149987</v>
      </c>
      <c r="Z222" s="5">
        <f t="shared" si="57"/>
        <v>822.89020928725824</v>
      </c>
      <c r="AA222" s="5">
        <f t="shared" si="64"/>
        <v>451979.93385254184</v>
      </c>
      <c r="AB222" s="3">
        <f>Assumptions!$E$45</f>
        <v>6.9899151946608562E-3</v>
      </c>
      <c r="AC222" s="5">
        <f t="shared" si="65"/>
        <v>455962.12546914676</v>
      </c>
      <c r="AD222" s="5">
        <f>AC222*Assumptions!$E$43</f>
        <v>408.34850825023398</v>
      </c>
      <c r="AE222" s="2">
        <f>AD222*Assumptions!$D$44*-1</f>
        <v>-61.252276237535092</v>
      </c>
      <c r="AF222" s="2">
        <f>AC222*Assumptions!$E$46*-1</f>
        <v>-15.195951792344605</v>
      </c>
      <c r="AG222" s="22">
        <f t="shared" si="66"/>
        <v>455885.67724111688</v>
      </c>
      <c r="AH222" s="5">
        <f>Model_30y[[#This Row],[Mortgage Payment]]+Model_30y[[#This Row],[Total Upkeep]]+Model_30y[[#This Row],[Monthly Investment]]</f>
        <v>-5161.2643010558932</v>
      </c>
      <c r="AI222" s="5">
        <f>Model_Renter!D222*-1</f>
        <v>5337.1769171841106</v>
      </c>
      <c r="AJ222" s="5">
        <f t="shared" si="67"/>
        <v>175.91261612821745</v>
      </c>
    </row>
    <row r="223" spans="1:36" x14ac:dyDescent="0.25">
      <c r="A223" s="17">
        <f t="shared" si="62"/>
        <v>221</v>
      </c>
      <c r="B223" s="17">
        <f t="shared" si="58"/>
        <v>19</v>
      </c>
      <c r="C223" s="23">
        <f>IFERROR(IPMT(Assumptions!$D$16/12,Model_30y!A223, 360,Assumptions!$D$8), 0)</f>
        <v>-1192.4968604013109</v>
      </c>
      <c r="D223" s="2">
        <f>IFERROR(PPMT(Assumptions!$D$16/12, Model_30y!A223, 360, Assumptions!$D$8), 0)</f>
        <v>-1005.9607725316272</v>
      </c>
      <c r="E223" s="2">
        <f t="shared" si="52"/>
        <v>-2198.4576329329379</v>
      </c>
      <c r="F223" s="2">
        <f>IF(I222&gt;1, Assumptions!$E$18, 0)*-1</f>
        <v>-2198.4576329329379</v>
      </c>
      <c r="G223" s="24">
        <f t="shared" si="53"/>
        <v>1</v>
      </c>
      <c r="H223" s="20">
        <f t="shared" si="59"/>
        <v>128060.09284372615</v>
      </c>
      <c r="I223" s="2">
        <f>MAX(Assumptions!$D$8-SUM(Model_30y!H223), 0)</f>
        <v>211939.90715627384</v>
      </c>
      <c r="J223" s="2">
        <f>J222*(1+(Assumptions!$E$51))</f>
        <v>1043818.9762847739</v>
      </c>
      <c r="K223" s="22">
        <f t="shared" si="54"/>
        <v>831879.06912850006</v>
      </c>
      <c r="L223" s="5">
        <f t="shared" si="60"/>
        <v>213060.0928437261</v>
      </c>
      <c r="M223" s="63">
        <f>L223/Assumptions!$D$6</f>
        <v>0.50131786551464963</v>
      </c>
      <c r="N223" s="24">
        <f t="shared" si="68"/>
        <v>0</v>
      </c>
      <c r="O223" s="5">
        <f>N223*Assumptions!$E$25*-1</f>
        <v>0</v>
      </c>
      <c r="P223" s="20">
        <f>Assumptions!$E$35*J223*-1</f>
        <v>-2150.096186501497</v>
      </c>
      <c r="Q223" s="5">
        <f>J223*Assumptions!$E$36*-1</f>
        <v>-865.88762530601275</v>
      </c>
      <c r="R223" s="5">
        <f>(R211+(Model_30y!R211*Assumptions!$D$51))</f>
        <v>-781.95069934679475</v>
      </c>
      <c r="S223" s="5">
        <f>S211+(S211*Assumptions!$D$51)</f>
        <v>0</v>
      </c>
      <c r="T223" s="5">
        <f t="shared" si="63"/>
        <v>0</v>
      </c>
      <c r="U223" s="22">
        <f t="shared" si="55"/>
        <v>-3797.9345111543043</v>
      </c>
      <c r="V223" s="5">
        <f>MAX(Assumptions!$E$18:$E$19)-U223</f>
        <v>6639.5675229530007</v>
      </c>
      <c r="W223" s="5">
        <f t="shared" si="56"/>
        <v>-2198.4576329329379</v>
      </c>
      <c r="X223" s="5">
        <f t="shared" si="61"/>
        <v>-3797.9345111543043</v>
      </c>
      <c r="Y223" s="5">
        <f>C223*Assumptions!$D$44*-1</f>
        <v>178.87452906019664</v>
      </c>
      <c r="Z223" s="5">
        <f t="shared" si="57"/>
        <v>822.04990792595549</v>
      </c>
      <c r="AA223" s="5">
        <f t="shared" si="64"/>
        <v>455885.67724111688</v>
      </c>
      <c r="AB223" s="3">
        <f>Assumptions!$E$45</f>
        <v>6.9899151946608562E-3</v>
      </c>
      <c r="AC223" s="5">
        <f t="shared" si="65"/>
        <v>459894.32937141875</v>
      </c>
      <c r="AD223" s="5">
        <f>AC223*Assumptions!$E$43</f>
        <v>411.87009372397563</v>
      </c>
      <c r="AE223" s="2">
        <f>AD223*Assumptions!$D$44*-1</f>
        <v>-61.780514058596339</v>
      </c>
      <c r="AF223" s="2">
        <f>AC223*Assumptions!$E$46*-1</f>
        <v>-15.327001231758269</v>
      </c>
      <c r="AG223" s="22">
        <f t="shared" si="66"/>
        <v>459817.22185612837</v>
      </c>
      <c r="AH223" s="5">
        <f>Model_30y[[#This Row],[Mortgage Payment]]+Model_30y[[#This Row],[Total Upkeep]]+Model_30y[[#This Row],[Monthly Investment]]</f>
        <v>-5174.3422361612866</v>
      </c>
      <c r="AI223" s="5">
        <f>Model_Renter!D223*-1</f>
        <v>5337.1769171841106</v>
      </c>
      <c r="AJ223" s="5">
        <f t="shared" si="67"/>
        <v>162.83468102282404</v>
      </c>
    </row>
    <row r="224" spans="1:36" x14ac:dyDescent="0.25">
      <c r="A224" s="17">
        <f t="shared" si="62"/>
        <v>222</v>
      </c>
      <c r="B224" s="17">
        <f t="shared" si="58"/>
        <v>19</v>
      </c>
      <c r="C224" s="23">
        <f>IFERROR(IPMT(Assumptions!$D$16/12,Model_30y!A224, 360,Assumptions!$D$8), 0)</f>
        <v>-1186.8634800751336</v>
      </c>
      <c r="D224" s="2">
        <f>IFERROR(PPMT(Assumptions!$D$16/12, Model_30y!A224, 360, Assumptions!$D$8), 0)</f>
        <v>-1011.5941528578044</v>
      </c>
      <c r="E224" s="2">
        <f t="shared" si="52"/>
        <v>-2198.4576329329379</v>
      </c>
      <c r="F224" s="2">
        <f>IF(I223&gt;1, Assumptions!$E$18, 0)*-1</f>
        <v>-2198.4576329329379</v>
      </c>
      <c r="G224" s="24">
        <f t="shared" si="53"/>
        <v>1</v>
      </c>
      <c r="H224" s="20">
        <f t="shared" si="59"/>
        <v>129071.68699658396</v>
      </c>
      <c r="I224" s="2">
        <f>MAX(Assumptions!$D$8-SUM(Model_30y!H224), 0)</f>
        <v>210928.31300341606</v>
      </c>
      <c r="J224" s="2">
        <f>J223*(1+(Assumptions!$E$51))</f>
        <v>1048071.6240018791</v>
      </c>
      <c r="K224" s="22">
        <f t="shared" si="54"/>
        <v>837143.31099846307</v>
      </c>
      <c r="L224" s="5">
        <f t="shared" si="60"/>
        <v>214071.68699658391</v>
      </c>
      <c r="M224" s="63">
        <f>L224/Assumptions!$D$6</f>
        <v>0.50369808705078567</v>
      </c>
      <c r="N224" s="24">
        <f t="shared" si="68"/>
        <v>0</v>
      </c>
      <c r="O224" s="5">
        <f>N224*Assumptions!$E$25*-1</f>
        <v>0</v>
      </c>
      <c r="P224" s="20">
        <f>Assumptions!$E$35*J224*-1</f>
        <v>-2158.8559445120541</v>
      </c>
      <c r="Q224" s="5">
        <f>J224*Assumptions!$E$36*-1</f>
        <v>-869.41535867423875</v>
      </c>
      <c r="R224" s="5">
        <f>(R212+(Model_30y!R212*Assumptions!$D$51))</f>
        <v>-781.95069934679475</v>
      </c>
      <c r="S224" s="5">
        <f>S212+(S212*Assumptions!$D$51)</f>
        <v>0</v>
      </c>
      <c r="T224" s="5">
        <f t="shared" si="63"/>
        <v>0</v>
      </c>
      <c r="U224" s="22">
        <f t="shared" si="55"/>
        <v>-3810.2220025330876</v>
      </c>
      <c r="V224" s="5">
        <f>MAX(Assumptions!$E$18:$E$19)-U224</f>
        <v>6651.8550143317843</v>
      </c>
      <c r="W224" s="5">
        <f t="shared" si="56"/>
        <v>-2198.4576329329379</v>
      </c>
      <c r="X224" s="5">
        <f t="shared" si="61"/>
        <v>-3810.2220025330876</v>
      </c>
      <c r="Y224" s="5">
        <f>C224*Assumptions!$D$44*-1</f>
        <v>178.02952201127002</v>
      </c>
      <c r="Z224" s="5">
        <f t="shared" si="57"/>
        <v>821.20490087702933</v>
      </c>
      <c r="AA224" s="5">
        <f t="shared" si="64"/>
        <v>459817.22185612837</v>
      </c>
      <c r="AB224" s="3">
        <f>Assumptions!$E$45</f>
        <v>6.9899151946608562E-3</v>
      </c>
      <c r="AC224" s="5">
        <f t="shared" si="65"/>
        <v>463852.51014282426</v>
      </c>
      <c r="AD224" s="5">
        <f>AC224*Assumptions!$E$43</f>
        <v>415.41494344526581</v>
      </c>
      <c r="AE224" s="2">
        <f>AD224*Assumptions!$D$44*-1</f>
        <v>-62.312241516789868</v>
      </c>
      <c r="AF224" s="2">
        <f>AC224*Assumptions!$E$46*-1</f>
        <v>-15.458916408102741</v>
      </c>
      <c r="AG224" s="22">
        <f t="shared" si="66"/>
        <v>463774.73898489936</v>
      </c>
      <c r="AH224" s="5">
        <f>Model_30y[[#This Row],[Mortgage Payment]]+Model_30y[[#This Row],[Total Upkeep]]+Model_30y[[#This Row],[Monthly Investment]]</f>
        <v>-5187.4747345889964</v>
      </c>
      <c r="AI224" s="5">
        <f>Model_Renter!D224*-1</f>
        <v>5337.1769171841106</v>
      </c>
      <c r="AJ224" s="5">
        <f t="shared" si="67"/>
        <v>149.70218259511421</v>
      </c>
    </row>
    <row r="225" spans="1:36" x14ac:dyDescent="0.25">
      <c r="A225" s="17">
        <f t="shared" si="62"/>
        <v>223</v>
      </c>
      <c r="B225" s="17">
        <f t="shared" si="58"/>
        <v>19</v>
      </c>
      <c r="C225" s="23">
        <f>IFERROR(IPMT(Assumptions!$D$16/12,Model_30y!A225, 360,Assumptions!$D$8), 0)</f>
        <v>-1181.1985528191301</v>
      </c>
      <c r="D225" s="2">
        <f>IFERROR(PPMT(Assumptions!$D$16/12, Model_30y!A225, 360, Assumptions!$D$8), 0)</f>
        <v>-1017.259080113808</v>
      </c>
      <c r="E225" s="2">
        <f t="shared" si="52"/>
        <v>-2198.4576329329379</v>
      </c>
      <c r="F225" s="2">
        <f>IF(I224&gt;1, Assumptions!$E$18, 0)*-1</f>
        <v>-2198.4576329329379</v>
      </c>
      <c r="G225" s="24">
        <f t="shared" si="53"/>
        <v>1</v>
      </c>
      <c r="H225" s="20">
        <f t="shared" si="59"/>
        <v>130088.94607669777</v>
      </c>
      <c r="I225" s="2">
        <f>MAX(Assumptions!$D$8-SUM(Model_30y!H225), 0)</f>
        <v>209911.05392330221</v>
      </c>
      <c r="J225" s="2">
        <f>J224*(1+(Assumptions!$E$51))</f>
        <v>1052341.5975321922</v>
      </c>
      <c r="K225" s="22">
        <f t="shared" si="54"/>
        <v>842430.54360889003</v>
      </c>
      <c r="L225" s="5">
        <f t="shared" si="60"/>
        <v>215088.94607669773</v>
      </c>
      <c r="M225" s="63">
        <f>L225/Assumptions!$D$6</f>
        <v>0.50609163782752409</v>
      </c>
      <c r="N225" s="24">
        <f t="shared" si="68"/>
        <v>0</v>
      </c>
      <c r="O225" s="5">
        <f>N225*Assumptions!$E$25*-1</f>
        <v>0</v>
      </c>
      <c r="P225" s="20">
        <f>Assumptions!$E$35*J225*-1</f>
        <v>-2167.6513908610618</v>
      </c>
      <c r="Q225" s="5">
        <f>J225*Assumptions!$E$36*-1</f>
        <v>-872.95746446488272</v>
      </c>
      <c r="R225" s="5">
        <f>(R213+(Model_30y!R213*Assumptions!$D$51))</f>
        <v>-781.95069934679475</v>
      </c>
      <c r="S225" s="5">
        <f>S213+(S213*Assumptions!$D$51)</f>
        <v>0</v>
      </c>
      <c r="T225" s="5">
        <f t="shared" si="63"/>
        <v>0</v>
      </c>
      <c r="U225" s="22">
        <f t="shared" si="55"/>
        <v>-3822.5595546727395</v>
      </c>
      <c r="V225" s="5">
        <f>MAX(Assumptions!$E$18:$E$19)-U225</f>
        <v>6664.1925664714363</v>
      </c>
      <c r="W225" s="5">
        <f t="shared" si="56"/>
        <v>-2198.4576329329379</v>
      </c>
      <c r="X225" s="5">
        <f t="shared" si="61"/>
        <v>-3822.5595546727395</v>
      </c>
      <c r="Y225" s="5">
        <f>C225*Assumptions!$D$44*-1</f>
        <v>177.17978292286952</v>
      </c>
      <c r="Z225" s="5">
        <f t="shared" si="57"/>
        <v>820.35516178862883</v>
      </c>
      <c r="AA225" s="5">
        <f t="shared" si="64"/>
        <v>463774.73898489936</v>
      </c>
      <c r="AB225" s="3">
        <f>Assumptions!$E$45</f>
        <v>6.9899151946608562E-3</v>
      </c>
      <c r="AC225" s="5">
        <f t="shared" si="65"/>
        <v>467836.8402416184</v>
      </c>
      <c r="AD225" s="5">
        <f>AC225*Assumptions!$E$43</f>
        <v>418.98321186349256</v>
      </c>
      <c r="AE225" s="2">
        <f>AD225*Assumptions!$D$44*-1</f>
        <v>-62.847481779523882</v>
      </c>
      <c r="AF225" s="2">
        <f>AC225*Assumptions!$E$46*-1</f>
        <v>-15.591703068932887</v>
      </c>
      <c r="AG225" s="22">
        <f t="shared" si="66"/>
        <v>467758.40105676994</v>
      </c>
      <c r="AH225" s="5">
        <f>Model_30y[[#This Row],[Mortgage Payment]]+Model_30y[[#This Row],[Total Upkeep]]+Model_30y[[#This Row],[Monthly Investment]]</f>
        <v>-5200.6620258170487</v>
      </c>
      <c r="AI225" s="5">
        <f>Model_Renter!D225*-1</f>
        <v>5337.1769171841106</v>
      </c>
      <c r="AJ225" s="5">
        <f t="shared" si="67"/>
        <v>136.51489136706186</v>
      </c>
    </row>
    <row r="226" spans="1:36" x14ac:dyDescent="0.25">
      <c r="A226" s="17">
        <f t="shared" si="62"/>
        <v>224</v>
      </c>
      <c r="B226" s="17">
        <f t="shared" si="58"/>
        <v>19</v>
      </c>
      <c r="C226" s="23">
        <f>IFERROR(IPMT(Assumptions!$D$16/12,Model_30y!A226, 360,Assumptions!$D$8), 0)</f>
        <v>-1175.5019019704926</v>
      </c>
      <c r="D226" s="2">
        <f>IFERROR(PPMT(Assumptions!$D$16/12, Model_30y!A226, 360, Assumptions!$D$8), 0)</f>
        <v>-1022.9557309624452</v>
      </c>
      <c r="E226" s="2">
        <f t="shared" si="52"/>
        <v>-2198.4576329329375</v>
      </c>
      <c r="F226" s="2">
        <f>IF(I225&gt;1, Assumptions!$E$18, 0)*-1</f>
        <v>-2198.4576329329379</v>
      </c>
      <c r="G226" s="24">
        <f t="shared" si="53"/>
        <v>1</v>
      </c>
      <c r="H226" s="20">
        <f t="shared" si="59"/>
        <v>131111.90180766021</v>
      </c>
      <c r="I226" s="2">
        <f>MAX(Assumptions!$D$8-SUM(Model_30y!H226), 0)</f>
        <v>208888.09819233979</v>
      </c>
      <c r="J226" s="2">
        <f>J225*(1+(Assumptions!$E$51))</f>
        <v>1056628.9674632207</v>
      </c>
      <c r="K226" s="22">
        <f t="shared" si="54"/>
        <v>847740.86927088094</v>
      </c>
      <c r="L226" s="5">
        <f t="shared" si="60"/>
        <v>216111.90180766018</v>
      </c>
      <c r="M226" s="63">
        <f>L226/Assumptions!$D$6</f>
        <v>0.50849859248861218</v>
      </c>
      <c r="N226" s="24">
        <f t="shared" si="68"/>
        <v>0</v>
      </c>
      <c r="O226" s="5">
        <f>N226*Assumptions!$E$25*-1</f>
        <v>0</v>
      </c>
      <c r="P226" s="20">
        <f>Assumptions!$E$35*J226*-1</f>
        <v>-2176.4826709472272</v>
      </c>
      <c r="Q226" s="5">
        <f>J226*Assumptions!$E$36*-1</f>
        <v>-876.51400123297253</v>
      </c>
      <c r="R226" s="5">
        <f>(R214+(Model_30y!R214*Assumptions!$D$51))</f>
        <v>-781.95069934679475</v>
      </c>
      <c r="S226" s="5">
        <f>S214+(S214*Assumptions!$D$51)</f>
        <v>0</v>
      </c>
      <c r="T226" s="5">
        <f t="shared" si="63"/>
        <v>0</v>
      </c>
      <c r="U226" s="22">
        <f t="shared" si="55"/>
        <v>-3834.9473715269946</v>
      </c>
      <c r="V226" s="5">
        <f>MAX(Assumptions!$E$18:$E$19)-U226</f>
        <v>6676.5803833256914</v>
      </c>
      <c r="W226" s="5">
        <f t="shared" si="56"/>
        <v>-2198.4576329329379</v>
      </c>
      <c r="X226" s="5">
        <f t="shared" si="61"/>
        <v>-3834.9473715269946</v>
      </c>
      <c r="Y226" s="5">
        <f>C226*Assumptions!$D$44*-1</f>
        <v>176.32528529557388</v>
      </c>
      <c r="Z226" s="5">
        <f t="shared" si="57"/>
        <v>819.50066416133222</v>
      </c>
      <c r="AA226" s="5">
        <f t="shared" si="64"/>
        <v>467758.40105676994</v>
      </c>
      <c r="AB226" s="3">
        <f>Assumptions!$E$45</f>
        <v>6.9899151946608562E-3</v>
      </c>
      <c r="AC226" s="5">
        <f t="shared" si="65"/>
        <v>471847.49327590829</v>
      </c>
      <c r="AD226" s="5">
        <f>AC226*Assumptions!$E$43</f>
        <v>422.57505445782306</v>
      </c>
      <c r="AE226" s="2">
        <f>AD226*Assumptions!$D$44*-1</f>
        <v>-63.386258168673457</v>
      </c>
      <c r="AF226" s="2">
        <f>AC226*Assumptions!$E$46*-1</f>
        <v>-15.725367000124939</v>
      </c>
      <c r="AG226" s="22">
        <f t="shared" si="66"/>
        <v>471768.38165073947</v>
      </c>
      <c r="AH226" s="5">
        <f>Model_30y[[#This Row],[Mortgage Payment]]+Model_30y[[#This Row],[Total Upkeep]]+Model_30y[[#This Row],[Monthly Investment]]</f>
        <v>-5213.9043402986008</v>
      </c>
      <c r="AI226" s="5">
        <f>Model_Renter!D226*-1</f>
        <v>5337.1769171841106</v>
      </c>
      <c r="AJ226" s="5">
        <f t="shared" si="67"/>
        <v>123.27257688550981</v>
      </c>
    </row>
    <row r="227" spans="1:36" x14ac:dyDescent="0.25">
      <c r="A227" s="17">
        <f t="shared" si="62"/>
        <v>225</v>
      </c>
      <c r="B227" s="17">
        <f t="shared" si="58"/>
        <v>19</v>
      </c>
      <c r="C227" s="23">
        <f>IFERROR(IPMT(Assumptions!$D$16/12,Model_30y!A227, 360,Assumptions!$D$8), 0)</f>
        <v>-1169.7733498771026</v>
      </c>
      <c r="D227" s="2">
        <f>IFERROR(PPMT(Assumptions!$D$16/12, Model_30y!A227, 360, Assumptions!$D$8), 0)</f>
        <v>-1028.6842830558351</v>
      </c>
      <c r="E227" s="2">
        <f t="shared" si="52"/>
        <v>-2198.4576329329375</v>
      </c>
      <c r="F227" s="2">
        <f>IF(I226&gt;1, Assumptions!$E$18, 0)*-1</f>
        <v>-2198.4576329329379</v>
      </c>
      <c r="G227" s="24">
        <f t="shared" si="53"/>
        <v>1</v>
      </c>
      <c r="H227" s="20">
        <f t="shared" si="59"/>
        <v>132140.58609071604</v>
      </c>
      <c r="I227" s="2">
        <f>MAX(Assumptions!$D$8-SUM(Model_30y!H227), 0)</f>
        <v>207859.41390928396</v>
      </c>
      <c r="J227" s="2">
        <f>J226*(1+(Assumptions!$E$51))</f>
        <v>1060933.8046700545</v>
      </c>
      <c r="K227" s="22">
        <f t="shared" si="54"/>
        <v>853074.39076077053</v>
      </c>
      <c r="L227" s="5">
        <f t="shared" si="60"/>
        <v>217140.58609071601</v>
      </c>
      <c r="M227" s="63">
        <f>L227/Assumptions!$D$6</f>
        <v>0.51091902609580242</v>
      </c>
      <c r="N227" s="24">
        <f t="shared" si="68"/>
        <v>0</v>
      </c>
      <c r="O227" s="5">
        <f>N227*Assumptions!$E$25*-1</f>
        <v>0</v>
      </c>
      <c r="P227" s="20">
        <f>Assumptions!$E$35*J227*-1</f>
        <v>-2185.3499307616321</v>
      </c>
      <c r="Q227" s="5">
        <f>J227*Assumptions!$E$36*-1</f>
        <v>-880.08502777209651</v>
      </c>
      <c r="R227" s="5">
        <f>(R215+(Model_30y!R215*Assumptions!$D$51))</f>
        <v>-781.95069934679475</v>
      </c>
      <c r="S227" s="5">
        <f>S215+(S215*Assumptions!$D$51)</f>
        <v>0</v>
      </c>
      <c r="T227" s="5">
        <f t="shared" si="63"/>
        <v>0</v>
      </c>
      <c r="U227" s="22">
        <f t="shared" si="55"/>
        <v>-3847.3856578805235</v>
      </c>
      <c r="V227" s="5">
        <f>MAX(Assumptions!$E$18:$E$19)-U227</f>
        <v>6689.0186696792207</v>
      </c>
      <c r="W227" s="5">
        <f t="shared" si="56"/>
        <v>-2198.4576329329379</v>
      </c>
      <c r="X227" s="5">
        <f t="shared" si="61"/>
        <v>-3847.3856578805235</v>
      </c>
      <c r="Y227" s="5">
        <f>C227*Assumptions!$D$44*-1</f>
        <v>175.4660024815654</v>
      </c>
      <c r="Z227" s="5">
        <f t="shared" si="57"/>
        <v>818.64138134732514</v>
      </c>
      <c r="AA227" s="5">
        <f t="shared" si="64"/>
        <v>471768.38165073947</v>
      </c>
      <c r="AB227" s="3">
        <f>Assumptions!$E$45</f>
        <v>6.9899151946608562E-3</v>
      </c>
      <c r="AC227" s="5">
        <f t="shared" si="65"/>
        <v>475884.64401134785</v>
      </c>
      <c r="AD227" s="5">
        <f>AC227*Assumptions!$E$43</f>
        <v>426.19062774409514</v>
      </c>
      <c r="AE227" s="2">
        <f>AD227*Assumptions!$D$44*-1</f>
        <v>-63.928594161614271</v>
      </c>
      <c r="AF227" s="2">
        <f>AC227*Assumptions!$E$46*-1</f>
        <v>-15.859914026132955</v>
      </c>
      <c r="AG227" s="22">
        <f t="shared" si="66"/>
        <v>475804.8555031601</v>
      </c>
      <c r="AH227" s="5">
        <f>Model_30y[[#This Row],[Mortgage Payment]]+Model_30y[[#This Row],[Total Upkeep]]+Model_30y[[#This Row],[Monthly Investment]]</f>
        <v>-5227.2019094661364</v>
      </c>
      <c r="AI227" s="5">
        <f>Model_Renter!D227*-1</f>
        <v>5337.1769171841106</v>
      </c>
      <c r="AJ227" s="5">
        <f t="shared" si="67"/>
        <v>109.97500771797422</v>
      </c>
    </row>
    <row r="228" spans="1:36" x14ac:dyDescent="0.25">
      <c r="A228" s="17">
        <f t="shared" si="62"/>
        <v>226</v>
      </c>
      <c r="B228" s="17">
        <f t="shared" si="58"/>
        <v>19</v>
      </c>
      <c r="C228" s="23">
        <f>IFERROR(IPMT(Assumptions!$D$16/12,Model_30y!A228, 360,Assumptions!$D$8), 0)</f>
        <v>-1164.0127178919904</v>
      </c>
      <c r="D228" s="2">
        <f>IFERROR(PPMT(Assumptions!$D$16/12, Model_30y!A228, 360, Assumptions!$D$8), 0)</f>
        <v>-1034.4449150409478</v>
      </c>
      <c r="E228" s="2">
        <f t="shared" si="52"/>
        <v>-2198.4576329329384</v>
      </c>
      <c r="F228" s="2">
        <f>IF(I227&gt;1, Assumptions!$E$18, 0)*-1</f>
        <v>-2198.4576329329379</v>
      </c>
      <c r="G228" s="24">
        <f t="shared" si="53"/>
        <v>1</v>
      </c>
      <c r="H228" s="20">
        <f t="shared" si="59"/>
        <v>133175.03100575699</v>
      </c>
      <c r="I228" s="2">
        <f>MAX(Assumptions!$D$8-SUM(Model_30y!H228), 0)</f>
        <v>206824.96899424301</v>
      </c>
      <c r="J228" s="2">
        <f>J227*(1+(Assumptions!$E$51))</f>
        <v>1065256.1803165374</v>
      </c>
      <c r="K228" s="22">
        <f t="shared" si="54"/>
        <v>858431.21132229432</v>
      </c>
      <c r="L228" s="5">
        <f t="shared" si="60"/>
        <v>218175.03100575696</v>
      </c>
      <c r="M228" s="63">
        <f>L228/Assumptions!$D$6</f>
        <v>0.51335301413119283</v>
      </c>
      <c r="N228" s="24">
        <f t="shared" si="68"/>
        <v>0</v>
      </c>
      <c r="O228" s="5">
        <f>N228*Assumptions!$E$25*-1</f>
        <v>0</v>
      </c>
      <c r="P228" s="20">
        <f>Assumptions!$E$35*J228*-1</f>
        <v>-2194.2533168901423</v>
      </c>
      <c r="Q228" s="5">
        <f>J228*Assumptions!$E$36*-1</f>
        <v>-883.6706031153758</v>
      </c>
      <c r="R228" s="5">
        <f>(R216+(Model_30y!R216*Assumptions!$D$51))</f>
        <v>-781.95069934679475</v>
      </c>
      <c r="S228" s="5">
        <f>S216+(S216*Assumptions!$D$51)</f>
        <v>0</v>
      </c>
      <c r="T228" s="5">
        <f t="shared" si="63"/>
        <v>0</v>
      </c>
      <c r="U228" s="22">
        <f t="shared" si="55"/>
        <v>-3859.8746193523129</v>
      </c>
      <c r="V228" s="5">
        <f>MAX(Assumptions!$E$18:$E$19)-U228</f>
        <v>6701.5076311510093</v>
      </c>
      <c r="W228" s="5">
        <f t="shared" si="56"/>
        <v>-2198.4576329329379</v>
      </c>
      <c r="X228" s="5">
        <f t="shared" si="61"/>
        <v>-3859.8746193523129</v>
      </c>
      <c r="Y228" s="5">
        <f>C228*Assumptions!$D$44*-1</f>
        <v>174.60190768379854</v>
      </c>
      <c r="Z228" s="5">
        <f t="shared" si="57"/>
        <v>817.7772865495574</v>
      </c>
      <c r="AA228" s="5">
        <f t="shared" si="64"/>
        <v>475804.8555031601</v>
      </c>
      <c r="AB228" s="3">
        <f>Assumptions!$E$45</f>
        <v>6.9899151946608562E-3</v>
      </c>
      <c r="AC228" s="5">
        <f t="shared" si="65"/>
        <v>479948.4683788846</v>
      </c>
      <c r="AD228" s="5">
        <f>AC228*Assumptions!$E$43</f>
        <v>429.83008928175497</v>
      </c>
      <c r="AE228" s="2">
        <f>AD228*Assumptions!$D$44*-1</f>
        <v>-64.474513392263248</v>
      </c>
      <c r="AF228" s="2">
        <f>AC228*Assumptions!$E$46*-1</f>
        <v>-15.995350010246996</v>
      </c>
      <c r="AG228" s="22">
        <f t="shared" si="66"/>
        <v>479867.99851548212</v>
      </c>
      <c r="AH228" s="5">
        <f>Model_30y[[#This Row],[Mortgage Payment]]+Model_30y[[#This Row],[Total Upkeep]]+Model_30y[[#This Row],[Monthly Investment]]</f>
        <v>-5240.5549657356933</v>
      </c>
      <c r="AI228" s="5">
        <f>Model_Renter!D228*-1</f>
        <v>5337.1769171841106</v>
      </c>
      <c r="AJ228" s="5">
        <f t="shared" si="67"/>
        <v>96.621951448417349</v>
      </c>
    </row>
    <row r="229" spans="1:36" x14ac:dyDescent="0.25">
      <c r="A229" s="17">
        <f t="shared" si="62"/>
        <v>227</v>
      </c>
      <c r="B229" s="17">
        <f t="shared" si="58"/>
        <v>19</v>
      </c>
      <c r="C229" s="23">
        <f>IFERROR(IPMT(Assumptions!$D$16/12,Model_30y!A229, 360,Assumptions!$D$8), 0)</f>
        <v>-1158.2198263677608</v>
      </c>
      <c r="D229" s="2">
        <f>IFERROR(PPMT(Assumptions!$D$16/12, Model_30y!A229, 360, Assumptions!$D$8), 0)</f>
        <v>-1040.2378065651772</v>
      </c>
      <c r="E229" s="2">
        <f t="shared" si="52"/>
        <v>-2198.4576329329379</v>
      </c>
      <c r="F229" s="2">
        <f>IF(I228&gt;1, Assumptions!$E$18, 0)*-1</f>
        <v>-2198.4576329329379</v>
      </c>
      <c r="G229" s="24">
        <f t="shared" si="53"/>
        <v>1</v>
      </c>
      <c r="H229" s="20">
        <f t="shared" si="59"/>
        <v>134215.26881232217</v>
      </c>
      <c r="I229" s="2">
        <f>MAX(Assumptions!$D$8-SUM(Model_30y!H229), 0)</f>
        <v>205784.73118767783</v>
      </c>
      <c r="J229" s="2">
        <f>J228*(1+(Assumptions!$E$51))</f>
        <v>1069596.1658564433</v>
      </c>
      <c r="K229" s="22">
        <f t="shared" si="54"/>
        <v>863811.43466876552</v>
      </c>
      <c r="L229" s="5">
        <f t="shared" si="60"/>
        <v>219215.26881232215</v>
      </c>
      <c r="M229" s="63">
        <f>L229/Assumptions!$D$6</f>
        <v>0.51580063249958152</v>
      </c>
      <c r="N229" s="24">
        <f t="shared" si="68"/>
        <v>0</v>
      </c>
      <c r="O229" s="5">
        <f>N229*Assumptions!$E$25*-1</f>
        <v>0</v>
      </c>
      <c r="P229" s="20">
        <f>Assumptions!$E$35*J229*-1</f>
        <v>-2203.1929765158338</v>
      </c>
      <c r="Q229" s="5">
        <f>J229*Assumptions!$E$36*-1</f>
        <v>-887.270786536439</v>
      </c>
      <c r="R229" s="5">
        <f>(R217+(Model_30y!R217*Assumptions!$D$51))</f>
        <v>-781.95069934679475</v>
      </c>
      <c r="S229" s="5">
        <f>S217+(S217*Assumptions!$D$51)</f>
        <v>0</v>
      </c>
      <c r="T229" s="5">
        <f t="shared" si="63"/>
        <v>0</v>
      </c>
      <c r="U229" s="22">
        <f t="shared" si="55"/>
        <v>-3872.4144623990678</v>
      </c>
      <c r="V229" s="5">
        <f>MAX(Assumptions!$E$18:$E$19)-U229</f>
        <v>6714.047474197765</v>
      </c>
      <c r="W229" s="5">
        <f t="shared" si="56"/>
        <v>-2198.4576329329379</v>
      </c>
      <c r="X229" s="5">
        <f t="shared" si="61"/>
        <v>-3872.4144623990678</v>
      </c>
      <c r="Y229" s="5">
        <f>C229*Assumptions!$D$44*-1</f>
        <v>173.73297395516411</v>
      </c>
      <c r="Z229" s="5">
        <f t="shared" si="57"/>
        <v>816.90835282092382</v>
      </c>
      <c r="AA229" s="5">
        <f t="shared" si="64"/>
        <v>479867.99851548212</v>
      </c>
      <c r="AB229" s="3">
        <f>Assumptions!$E$45</f>
        <v>6.9899151946608562E-3</v>
      </c>
      <c r="AC229" s="5">
        <f t="shared" si="65"/>
        <v>484039.14348255791</v>
      </c>
      <c r="AD229" s="5">
        <f>AC229*Assumptions!$E$43</f>
        <v>433.49359768084105</v>
      </c>
      <c r="AE229" s="2">
        <f>AD229*Assumptions!$D$44*-1</f>
        <v>-65.024039652126149</v>
      </c>
      <c r="AF229" s="2">
        <f>AC229*Assumptions!$E$46*-1</f>
        <v>-16.131680854853013</v>
      </c>
      <c r="AG229" s="22">
        <f t="shared" si="66"/>
        <v>483957.98776205094</v>
      </c>
      <c r="AH229" s="5">
        <f>Model_30y[[#This Row],[Mortgage Payment]]+Model_30y[[#This Row],[Total Upkeep]]+Model_30y[[#This Row],[Monthly Investment]]</f>
        <v>-5253.9637425110823</v>
      </c>
      <c r="AI229" s="5">
        <f>Model_Renter!D229*-1</f>
        <v>5337.1769171841106</v>
      </c>
      <c r="AJ229" s="5">
        <f t="shared" si="67"/>
        <v>83.213174673028334</v>
      </c>
    </row>
    <row r="230" spans="1:36" x14ac:dyDescent="0.25">
      <c r="A230" s="17">
        <f t="shared" si="62"/>
        <v>228</v>
      </c>
      <c r="B230" s="17">
        <f t="shared" si="58"/>
        <v>19</v>
      </c>
      <c r="C230" s="23">
        <f>IFERROR(IPMT(Assumptions!$D$16/12,Model_30y!A230, 360,Assumptions!$D$8), 0)</f>
        <v>-1152.3944946509957</v>
      </c>
      <c r="D230" s="2">
        <f>IFERROR(PPMT(Assumptions!$D$16/12, Model_30y!A230, 360, Assumptions!$D$8), 0)</f>
        <v>-1046.0631382819422</v>
      </c>
      <c r="E230" s="2">
        <f t="shared" si="52"/>
        <v>-2198.4576329329379</v>
      </c>
      <c r="F230" s="2">
        <f>IF(I229&gt;1, Assumptions!$E$18, 0)*-1</f>
        <v>-2198.4576329329379</v>
      </c>
      <c r="G230" s="24">
        <f t="shared" si="53"/>
        <v>1</v>
      </c>
      <c r="H230" s="20">
        <f t="shared" si="59"/>
        <v>135261.33195060413</v>
      </c>
      <c r="I230" s="2">
        <f>MAX(Assumptions!$D$8-SUM(Model_30y!H230), 0)</f>
        <v>204738.66804939587</v>
      </c>
      <c r="J230" s="2">
        <f>J229*(1+(Assumptions!$E$51))</f>
        <v>1073953.8330346581</v>
      </c>
      <c r="K230" s="22">
        <f t="shared" si="54"/>
        <v>869215.16498526221</v>
      </c>
      <c r="L230" s="5">
        <f t="shared" si="60"/>
        <v>220261.3319506041</v>
      </c>
      <c r="M230" s="63">
        <f>L230/Assumptions!$D$6</f>
        <v>0.51826195753083315</v>
      </c>
      <c r="N230" s="24">
        <f t="shared" si="68"/>
        <v>0</v>
      </c>
      <c r="O230" s="5">
        <f>N230*Assumptions!$E$25*-1</f>
        <v>0</v>
      </c>
      <c r="P230" s="20">
        <f>Assumptions!$E$35*J230*-1</f>
        <v>-2212.169057421424</v>
      </c>
      <c r="Q230" s="5">
        <f>J230*Assumptions!$E$36*-1</f>
        <v>-890.88563755040343</v>
      </c>
      <c r="R230" s="5">
        <f>(R218+(Model_30y!R218*Assumptions!$D$51))</f>
        <v>-781.95069934679475</v>
      </c>
      <c r="S230" s="5">
        <f>S218+(S218*Assumptions!$D$51)</f>
        <v>0</v>
      </c>
      <c r="T230" s="5">
        <f t="shared" si="63"/>
        <v>0</v>
      </c>
      <c r="U230" s="22">
        <f t="shared" si="55"/>
        <v>-3885.0053943186222</v>
      </c>
      <c r="V230" s="5">
        <f>MAX(Assumptions!$E$18:$E$19)-U230</f>
        <v>6726.6384061173194</v>
      </c>
      <c r="W230" s="5">
        <f t="shared" si="56"/>
        <v>-2198.4576329329379</v>
      </c>
      <c r="X230" s="5">
        <f t="shared" si="61"/>
        <v>-3885.0053943186222</v>
      </c>
      <c r="Y230" s="5">
        <f>C230*Assumptions!$D$44*-1</f>
        <v>172.85917419764937</v>
      </c>
      <c r="Z230" s="5">
        <f t="shared" si="57"/>
        <v>816.03455306340913</v>
      </c>
      <c r="AA230" s="5">
        <f t="shared" si="64"/>
        <v>483957.98776205094</v>
      </c>
      <c r="AB230" s="3">
        <f>Assumptions!$E$45</f>
        <v>6.9899151946608562E-3</v>
      </c>
      <c r="AC230" s="5">
        <f t="shared" si="65"/>
        <v>488156.8476073498</v>
      </c>
      <c r="AD230" s="5">
        <f>AC230*Assumptions!$E$43</f>
        <v>437.18131260901527</v>
      </c>
      <c r="AE230" s="2">
        <f>AD230*Assumptions!$D$44*-1</f>
        <v>-65.577196891352287</v>
      </c>
      <c r="AF230" s="2">
        <f>AC230*Assumptions!$E$46*-1</f>
        <v>-16.268912501694501</v>
      </c>
      <c r="AG230" s="22">
        <f t="shared" si="66"/>
        <v>488075.00149795675</v>
      </c>
      <c r="AH230" s="5">
        <f>Model_30y[[#This Row],[Mortgage Payment]]+Model_30y[[#This Row],[Total Upkeep]]+Model_30y[[#This Row],[Monthly Investment]]</f>
        <v>-5267.4284741881511</v>
      </c>
      <c r="AI230" s="5">
        <f>Model_Renter!D230*-1</f>
        <v>5337.1769171841106</v>
      </c>
      <c r="AJ230" s="5">
        <f t="shared" si="67"/>
        <v>69.748442995959522</v>
      </c>
    </row>
    <row r="231" spans="1:36" x14ac:dyDescent="0.25">
      <c r="A231" s="17">
        <f t="shared" si="62"/>
        <v>229</v>
      </c>
      <c r="B231" s="17">
        <f t="shared" si="58"/>
        <v>20</v>
      </c>
      <c r="C231" s="23">
        <f>IFERROR(IPMT(Assumptions!$D$16/12,Model_30y!A231, 360,Assumptions!$D$8), 0)</f>
        <v>-1146.5365410766171</v>
      </c>
      <c r="D231" s="2">
        <f>IFERROR(PPMT(Assumptions!$D$16/12, Model_30y!A231, 360, Assumptions!$D$8), 0)</f>
        <v>-1051.9210918563208</v>
      </c>
      <c r="E231" s="2">
        <f t="shared" si="52"/>
        <v>-2198.4576329329379</v>
      </c>
      <c r="F231" s="2">
        <f>IF(I230&gt;1, Assumptions!$E$18, 0)*-1</f>
        <v>-2198.4576329329379</v>
      </c>
      <c r="G231" s="24">
        <f t="shared" si="53"/>
        <v>1</v>
      </c>
      <c r="H231" s="20">
        <f t="shared" si="59"/>
        <v>136313.25304246045</v>
      </c>
      <c r="I231" s="2">
        <f>MAX(Assumptions!$D$8-SUM(Model_30y!H231), 0)</f>
        <v>203686.74695753955</v>
      </c>
      <c r="J231" s="2">
        <f>J230*(1+(Assumptions!$E$51))</f>
        <v>1078329.2538883649</v>
      </c>
      <c r="K231" s="22">
        <f t="shared" si="54"/>
        <v>874642.5069308253</v>
      </c>
      <c r="L231" s="5">
        <f t="shared" si="60"/>
        <v>221313.25304246042</v>
      </c>
      <c r="M231" s="63">
        <f>L231/Assumptions!$D$6</f>
        <v>0.52073706598225977</v>
      </c>
      <c r="N231" s="24">
        <f t="shared" si="68"/>
        <v>0</v>
      </c>
      <c r="O231" s="5">
        <f>N231*Assumptions!$E$25*-1</f>
        <v>0</v>
      </c>
      <c r="P231" s="20">
        <f>Assumptions!$E$35*J231*-1</f>
        <v>-2221.1817079917155</v>
      </c>
      <c r="Q231" s="5">
        <f>J231*Assumptions!$E$36*-1</f>
        <v>-894.51521591485823</v>
      </c>
      <c r="R231" s="5">
        <f>(R219+(Model_30y!R219*Assumptions!$D$51))</f>
        <v>-821.04823431413445</v>
      </c>
      <c r="S231" s="5">
        <f>S219+(S219*Assumptions!$D$51)</f>
        <v>0</v>
      </c>
      <c r="T231" s="5">
        <f t="shared" si="63"/>
        <v>0</v>
      </c>
      <c r="U231" s="22">
        <f t="shared" si="55"/>
        <v>-3936.7451582207082</v>
      </c>
      <c r="V231" s="5">
        <f>MAX(Assumptions!$E$18:$E$19)-U231</f>
        <v>6778.3781700194049</v>
      </c>
      <c r="W231" s="5">
        <f t="shared" si="56"/>
        <v>-2198.4576329329379</v>
      </c>
      <c r="X231" s="5">
        <f t="shared" si="61"/>
        <v>-3936.7451582207082</v>
      </c>
      <c r="Y231" s="5">
        <f>C231*Assumptions!$D$44*-1</f>
        <v>171.98048116149258</v>
      </c>
      <c r="Z231" s="5">
        <f t="shared" si="57"/>
        <v>815.15586002725183</v>
      </c>
      <c r="AA231" s="5">
        <f t="shared" si="64"/>
        <v>488075.00149795675</v>
      </c>
      <c r="AB231" s="3">
        <f>Assumptions!$E$45</f>
        <v>6.9899151946608562E-3</v>
      </c>
      <c r="AC231" s="5">
        <f t="shared" si="65"/>
        <v>492301.7602270887</v>
      </c>
      <c r="AD231" s="5">
        <f>AC231*Assumptions!$E$43</f>
        <v>440.89339479864105</v>
      </c>
      <c r="AE231" s="2">
        <f>AD231*Assumptions!$D$44*-1</f>
        <v>-66.134009219796155</v>
      </c>
      <c r="AF231" s="2">
        <f>AC231*Assumptions!$E$46*-1</f>
        <v>-16.407050932135903</v>
      </c>
      <c r="AG231" s="22">
        <f t="shared" si="66"/>
        <v>492219.21916693676</v>
      </c>
      <c r="AH231" s="5">
        <f>Model_30y[[#This Row],[Mortgage Payment]]+Model_30y[[#This Row],[Total Upkeep]]+Model_30y[[#This Row],[Monthly Investment]]</f>
        <v>-5320.0469311263942</v>
      </c>
      <c r="AI231" s="5">
        <f>Model_Renter!D231*-1</f>
        <v>5536.7873338867967</v>
      </c>
      <c r="AJ231" s="5">
        <f t="shared" si="67"/>
        <v>216.7404027604025</v>
      </c>
    </row>
    <row r="232" spans="1:36" x14ac:dyDescent="0.25">
      <c r="A232" s="17">
        <f t="shared" si="62"/>
        <v>230</v>
      </c>
      <c r="B232" s="17">
        <f t="shared" si="58"/>
        <v>20</v>
      </c>
      <c r="C232" s="23">
        <f>IFERROR(IPMT(Assumptions!$D$16/12,Model_30y!A232, 360,Assumptions!$D$8), 0)</f>
        <v>-1140.6457829622216</v>
      </c>
      <c r="D232" s="2">
        <f>IFERROR(PPMT(Assumptions!$D$16/12, Model_30y!A232, 360, Assumptions!$D$8), 0)</f>
        <v>-1057.8118499707164</v>
      </c>
      <c r="E232" s="2">
        <f t="shared" si="52"/>
        <v>-2198.4576329329379</v>
      </c>
      <c r="F232" s="2">
        <f>IF(I231&gt;1, Assumptions!$E$18, 0)*-1</f>
        <v>-2198.4576329329379</v>
      </c>
      <c r="G232" s="24">
        <f t="shared" si="53"/>
        <v>1</v>
      </c>
      <c r="H232" s="20">
        <f t="shared" si="59"/>
        <v>137371.06489243117</v>
      </c>
      <c r="I232" s="2">
        <f>MAX(Assumptions!$D$8-SUM(Model_30y!H232), 0)</f>
        <v>202628.93510756883</v>
      </c>
      <c r="J232" s="2">
        <f>J231*(1+(Assumptions!$E$51))</f>
        <v>1082722.5007482353</v>
      </c>
      <c r="K232" s="22">
        <f t="shared" si="54"/>
        <v>880093.56564066641</v>
      </c>
      <c r="L232" s="5">
        <f t="shared" si="60"/>
        <v>222371.06489243114</v>
      </c>
      <c r="M232" s="63">
        <f>L232/Assumptions!$D$6</f>
        <v>0.52322603504101439</v>
      </c>
      <c r="N232" s="24">
        <f t="shared" si="68"/>
        <v>0</v>
      </c>
      <c r="O232" s="5">
        <f>N232*Assumptions!$E$25*-1</f>
        <v>0</v>
      </c>
      <c r="P232" s="20">
        <f>Assumptions!$E$35*J232*-1</f>
        <v>-2230.231077216049</v>
      </c>
      <c r="Q232" s="5">
        <f>J232*Assumptions!$E$36*-1</f>
        <v>-898.15958163085224</v>
      </c>
      <c r="R232" s="5">
        <f>(R220+(Model_30y!R220*Assumptions!$D$51))</f>
        <v>-821.04823431413445</v>
      </c>
      <c r="S232" s="5">
        <f>S220+(S220*Assumptions!$D$51)</f>
        <v>0</v>
      </c>
      <c r="T232" s="5">
        <f t="shared" si="63"/>
        <v>0</v>
      </c>
      <c r="U232" s="22">
        <f t="shared" si="55"/>
        <v>-3949.4388931610356</v>
      </c>
      <c r="V232" s="5">
        <f>MAX(Assumptions!$E$18:$E$19)-U232</f>
        <v>6791.0719049597319</v>
      </c>
      <c r="W232" s="5">
        <f t="shared" si="56"/>
        <v>-2198.4576329329379</v>
      </c>
      <c r="X232" s="5">
        <f t="shared" si="61"/>
        <v>-3949.4388931610356</v>
      </c>
      <c r="Y232" s="5">
        <f>C232*Assumptions!$D$44*-1</f>
        <v>171.09686744433324</v>
      </c>
      <c r="Z232" s="5">
        <f t="shared" si="57"/>
        <v>814.2722463100921</v>
      </c>
      <c r="AA232" s="5">
        <f t="shared" si="64"/>
        <v>492219.21916693676</v>
      </c>
      <c r="AB232" s="3">
        <f>Assumptions!$E$45</f>
        <v>6.9899151946608562E-3</v>
      </c>
      <c r="AC232" s="5">
        <f t="shared" si="65"/>
        <v>496474.06201240589</v>
      </c>
      <c r="AD232" s="5">
        <f>AC232*Assumptions!$E$43</f>
        <v>444.63000605390931</v>
      </c>
      <c r="AE232" s="2">
        <f>AD232*Assumptions!$D$44*-1</f>
        <v>-66.694500908086397</v>
      </c>
      <c r="AF232" s="2">
        <f>AC232*Assumptions!$E$46*-1</f>
        <v>-16.546102167427776</v>
      </c>
      <c r="AG232" s="22">
        <f t="shared" si="66"/>
        <v>496390.82140933035</v>
      </c>
      <c r="AH232" s="5">
        <f>Model_30y[[#This Row],[Mortgage Payment]]+Model_30y[[#This Row],[Total Upkeep]]+Model_30y[[#This Row],[Monthly Investment]]</f>
        <v>-5333.6242797838813</v>
      </c>
      <c r="AI232" s="5">
        <f>Model_Renter!D232*-1</f>
        <v>5536.7873338867967</v>
      </c>
      <c r="AJ232" s="5">
        <f t="shared" si="67"/>
        <v>203.16305410291534</v>
      </c>
    </row>
    <row r="233" spans="1:36" x14ac:dyDescent="0.25">
      <c r="A233" s="17">
        <f t="shared" si="62"/>
        <v>231</v>
      </c>
      <c r="B233" s="17">
        <f t="shared" si="58"/>
        <v>20</v>
      </c>
      <c r="C233" s="23">
        <f>IFERROR(IPMT(Assumptions!$D$16/12,Model_30y!A233, 360,Assumptions!$D$8), 0)</f>
        <v>-1134.7220366023855</v>
      </c>
      <c r="D233" s="2">
        <f>IFERROR(PPMT(Assumptions!$D$16/12, Model_30y!A233, 360, Assumptions!$D$8), 0)</f>
        <v>-1063.7355963305522</v>
      </c>
      <c r="E233" s="2">
        <f t="shared" si="52"/>
        <v>-2198.4576329329375</v>
      </c>
      <c r="F233" s="2">
        <f>IF(I232&gt;1, Assumptions!$E$18, 0)*-1</f>
        <v>-2198.4576329329379</v>
      </c>
      <c r="G233" s="24">
        <f t="shared" si="53"/>
        <v>1</v>
      </c>
      <c r="H233" s="20">
        <f t="shared" si="59"/>
        <v>138434.80048876171</v>
      </c>
      <c r="I233" s="2">
        <f>MAX(Assumptions!$D$8-SUM(Model_30y!H233), 0)</f>
        <v>201565.19951123829</v>
      </c>
      <c r="J233" s="2">
        <f>J232*(1+(Assumptions!$E$51))</f>
        <v>1087133.6462396248</v>
      </c>
      <c r="K233" s="22">
        <f t="shared" si="54"/>
        <v>885568.44672838657</v>
      </c>
      <c r="L233" s="5">
        <f t="shared" si="60"/>
        <v>223434.80048876168</v>
      </c>
      <c r="M233" s="63">
        <f>L233/Assumptions!$D$6</f>
        <v>0.52572894232649803</v>
      </c>
      <c r="N233" s="24">
        <f t="shared" si="68"/>
        <v>0</v>
      </c>
      <c r="O233" s="5">
        <f>N233*Assumptions!$E$25*-1</f>
        <v>0</v>
      </c>
      <c r="P233" s="20">
        <f>Assumptions!$E$35*J233*-1</f>
        <v>-2239.3173146907666</v>
      </c>
      <c r="Q233" s="5">
        <f>J233*Assumptions!$E$36*-1</f>
        <v>-901.81879494388613</v>
      </c>
      <c r="R233" s="5">
        <f>(R221+(Model_30y!R221*Assumptions!$D$51))</f>
        <v>-821.04823431413445</v>
      </c>
      <c r="S233" s="5">
        <f>S221+(S221*Assumptions!$D$51)</f>
        <v>0</v>
      </c>
      <c r="T233" s="5">
        <f t="shared" si="63"/>
        <v>0</v>
      </c>
      <c r="U233" s="22">
        <f t="shared" si="55"/>
        <v>-3962.184343948787</v>
      </c>
      <c r="V233" s="5">
        <f>MAX(Assumptions!$E$18:$E$19)-U233</f>
        <v>6803.8173557474838</v>
      </c>
      <c r="W233" s="5">
        <f t="shared" si="56"/>
        <v>-2198.4576329329379</v>
      </c>
      <c r="X233" s="5">
        <f t="shared" si="61"/>
        <v>-3962.184343948787</v>
      </c>
      <c r="Y233" s="5">
        <f>C233*Assumptions!$D$44*-1</f>
        <v>170.20830549035782</v>
      </c>
      <c r="Z233" s="5">
        <f t="shared" si="57"/>
        <v>813.3836843561171</v>
      </c>
      <c r="AA233" s="5">
        <f t="shared" si="64"/>
        <v>496390.82140933035</v>
      </c>
      <c r="AB233" s="3">
        <f>Assumptions!$E$45</f>
        <v>6.9899151946608562E-3</v>
      </c>
      <c r="AC233" s="5">
        <f t="shared" si="65"/>
        <v>500673.93483874574</v>
      </c>
      <c r="AD233" s="5">
        <f>AC233*Assumptions!$E$43</f>
        <v>448.39130925801203</v>
      </c>
      <c r="AE233" s="2">
        <f>AD233*Assumptions!$D$44*-1</f>
        <v>-67.258696388701807</v>
      </c>
      <c r="AF233" s="2">
        <f>AC233*Assumptions!$E$46*-1</f>
        <v>-16.68607226897376</v>
      </c>
      <c r="AG233" s="22">
        <f t="shared" si="66"/>
        <v>500589.99007008807</v>
      </c>
      <c r="AH233" s="5">
        <f>Model_30y[[#This Row],[Mortgage Payment]]+Model_30y[[#This Row],[Total Upkeep]]+Model_30y[[#This Row],[Monthly Investment]]</f>
        <v>-5347.2582925256083</v>
      </c>
      <c r="AI233" s="5">
        <f>Model_Renter!D233*-1</f>
        <v>5536.7873338867967</v>
      </c>
      <c r="AJ233" s="5">
        <f t="shared" si="67"/>
        <v>189.52904136118832</v>
      </c>
    </row>
    <row r="234" spans="1:36" x14ac:dyDescent="0.25">
      <c r="A234" s="17">
        <f t="shared" si="62"/>
        <v>232</v>
      </c>
      <c r="B234" s="17">
        <f t="shared" si="58"/>
        <v>20</v>
      </c>
      <c r="C234" s="23">
        <f>IFERROR(IPMT(Assumptions!$D$16/12,Model_30y!A234, 360,Assumptions!$D$8), 0)</f>
        <v>-1128.7651172629344</v>
      </c>
      <c r="D234" s="2">
        <f>IFERROR(PPMT(Assumptions!$D$16/12, Model_30y!A234, 360, Assumptions!$D$8), 0)</f>
        <v>-1069.6925156700036</v>
      </c>
      <c r="E234" s="2">
        <f t="shared" si="52"/>
        <v>-2198.4576329329379</v>
      </c>
      <c r="F234" s="2">
        <f>IF(I233&gt;1, Assumptions!$E$18, 0)*-1</f>
        <v>-2198.4576329329379</v>
      </c>
      <c r="G234" s="24">
        <f t="shared" si="53"/>
        <v>1</v>
      </c>
      <c r="H234" s="20">
        <f t="shared" si="59"/>
        <v>139504.49300443172</v>
      </c>
      <c r="I234" s="2">
        <f>MAX(Assumptions!$D$8-SUM(Model_30y!H234), 0)</f>
        <v>200495.50699556828</v>
      </c>
      <c r="J234" s="2">
        <f>J233*(1+(Assumptions!$E$51))</f>
        <v>1091562.763283774</v>
      </c>
      <c r="K234" s="22">
        <f t="shared" si="54"/>
        <v>891067.25628820574</v>
      </c>
      <c r="L234" s="5">
        <f t="shared" si="60"/>
        <v>224504.49300443169</v>
      </c>
      <c r="M234" s="63">
        <f>L234/Assumptions!$D$6</f>
        <v>0.52824586589278044</v>
      </c>
      <c r="N234" s="24">
        <f t="shared" si="68"/>
        <v>0</v>
      </c>
      <c r="O234" s="5">
        <f>N234*Assumptions!$E$25*-1</f>
        <v>0</v>
      </c>
      <c r="P234" s="20">
        <f>Assumptions!$E$35*J234*-1</f>
        <v>-2248.4405706216839</v>
      </c>
      <c r="Q234" s="5">
        <f>J234*Assumptions!$E$36*-1</f>
        <v>-905.49291634490817</v>
      </c>
      <c r="R234" s="5">
        <f>(R222+(Model_30y!R222*Assumptions!$D$51))</f>
        <v>-821.04823431413445</v>
      </c>
      <c r="S234" s="5">
        <f>S222+(S222*Assumptions!$D$51)</f>
        <v>0</v>
      </c>
      <c r="T234" s="5">
        <f t="shared" si="63"/>
        <v>0</v>
      </c>
      <c r="U234" s="22">
        <f t="shared" si="55"/>
        <v>-3974.9817212807266</v>
      </c>
      <c r="V234" s="5">
        <f>MAX(Assumptions!$E$18:$E$19)-U234</f>
        <v>6816.6147330794229</v>
      </c>
      <c r="W234" s="5">
        <f t="shared" si="56"/>
        <v>-2198.4576329329379</v>
      </c>
      <c r="X234" s="5">
        <f t="shared" si="61"/>
        <v>-3974.9817212807266</v>
      </c>
      <c r="Y234" s="5">
        <f>C234*Assumptions!$D$44*-1</f>
        <v>169.31476758944015</v>
      </c>
      <c r="Z234" s="5">
        <f t="shared" si="57"/>
        <v>812.49014645519901</v>
      </c>
      <c r="AA234" s="5">
        <f t="shared" si="64"/>
        <v>500589.99007008807</v>
      </c>
      <c r="AB234" s="3">
        <f>Assumptions!$E$45</f>
        <v>6.9899151946608562E-3</v>
      </c>
      <c r="AC234" s="5">
        <f t="shared" si="65"/>
        <v>504901.56179442926</v>
      </c>
      <c r="AD234" s="5">
        <f>AC234*Assumptions!$E$43</f>
        <v>452.17746838036362</v>
      </c>
      <c r="AE234" s="2">
        <f>AD234*Assumptions!$D$44*-1</f>
        <v>-67.826620257054543</v>
      </c>
      <c r="AF234" s="2">
        <f>AC234*Assumptions!$E$46*-1</f>
        <v>-16.826967338599296</v>
      </c>
      <c r="AG234" s="22">
        <f t="shared" si="66"/>
        <v>504816.90820683358</v>
      </c>
      <c r="AH234" s="5">
        <f>Model_30y[[#This Row],[Mortgage Payment]]+Model_30y[[#This Row],[Total Upkeep]]+Model_30y[[#This Row],[Monthly Investment]]</f>
        <v>-5360.9492077584655</v>
      </c>
      <c r="AI234" s="5">
        <f>Model_Renter!D234*-1</f>
        <v>5536.7873338867967</v>
      </c>
      <c r="AJ234" s="5">
        <f t="shared" si="67"/>
        <v>175.83812612833117</v>
      </c>
    </row>
    <row r="235" spans="1:36" x14ac:dyDescent="0.25">
      <c r="A235" s="17">
        <f t="shared" si="62"/>
        <v>233</v>
      </c>
      <c r="B235" s="17">
        <f t="shared" si="58"/>
        <v>20</v>
      </c>
      <c r="C235" s="23">
        <f>IFERROR(IPMT(Assumptions!$D$16/12,Model_30y!A235, 360,Assumptions!$D$8), 0)</f>
        <v>-1122.7748391751825</v>
      </c>
      <c r="D235" s="2">
        <f>IFERROR(PPMT(Assumptions!$D$16/12, Model_30y!A235, 360, Assumptions!$D$8), 0)</f>
        <v>-1075.6827937577555</v>
      </c>
      <c r="E235" s="2">
        <f t="shared" si="52"/>
        <v>-2198.4576329329379</v>
      </c>
      <c r="F235" s="2">
        <f>IF(I234&gt;1, Assumptions!$E$18, 0)*-1</f>
        <v>-2198.4576329329379</v>
      </c>
      <c r="G235" s="24">
        <f t="shared" si="53"/>
        <v>1</v>
      </c>
      <c r="H235" s="20">
        <f t="shared" si="59"/>
        <v>140580.17579818948</v>
      </c>
      <c r="I235" s="2">
        <f>MAX(Assumptions!$D$8-SUM(Model_30y!H235), 0)</f>
        <v>199419.82420181052</v>
      </c>
      <c r="J235" s="2">
        <f>J234*(1+(Assumptions!$E$51))</f>
        <v>1096009.9250990134</v>
      </c>
      <c r="K235" s="22">
        <f t="shared" si="54"/>
        <v>896590.10089720285</v>
      </c>
      <c r="L235" s="5">
        <f t="shared" si="60"/>
        <v>225580.17579818945</v>
      </c>
      <c r="M235" s="63">
        <f>L235/Assumptions!$D$6</f>
        <v>0.53077688423103397</v>
      </c>
      <c r="N235" s="24">
        <f t="shared" si="68"/>
        <v>0</v>
      </c>
      <c r="O235" s="5">
        <f>N235*Assumptions!$E$25*-1</f>
        <v>0</v>
      </c>
      <c r="P235" s="20">
        <f>Assumptions!$E$35*J235*-1</f>
        <v>-2257.6009958265736</v>
      </c>
      <c r="Q235" s="5">
        <f>J235*Assumptions!$E$36*-1</f>
        <v>-909.18200657131399</v>
      </c>
      <c r="R235" s="5">
        <f>(R223+(Model_30y!R223*Assumptions!$D$51))</f>
        <v>-821.04823431413445</v>
      </c>
      <c r="S235" s="5">
        <f>S223+(S223*Assumptions!$D$51)</f>
        <v>0</v>
      </c>
      <c r="T235" s="5">
        <f t="shared" si="63"/>
        <v>0</v>
      </c>
      <c r="U235" s="22">
        <f t="shared" si="55"/>
        <v>-3987.831236712022</v>
      </c>
      <c r="V235" s="5">
        <f>MAX(Assumptions!$E$18:$E$19)-U235</f>
        <v>6829.4642485107188</v>
      </c>
      <c r="W235" s="5">
        <f t="shared" si="56"/>
        <v>-2198.4576329329379</v>
      </c>
      <c r="X235" s="5">
        <f t="shared" si="61"/>
        <v>-3987.831236712022</v>
      </c>
      <c r="Y235" s="5">
        <f>C235*Assumptions!$D$44*-1</f>
        <v>168.41622587627737</v>
      </c>
      <c r="Z235" s="5">
        <f t="shared" si="57"/>
        <v>811.59160474203577</v>
      </c>
      <c r="AA235" s="5">
        <f t="shared" si="64"/>
        <v>504816.90820683358</v>
      </c>
      <c r="AB235" s="3">
        <f>Assumptions!$E$45</f>
        <v>6.9899151946608562E-3</v>
      </c>
      <c r="AC235" s="5">
        <f t="shared" si="65"/>
        <v>509157.12718877231</v>
      </c>
      <c r="AD235" s="5">
        <f>AC235*Assumptions!$E$43</f>
        <v>455.98864848387183</v>
      </c>
      <c r="AE235" s="2">
        <f>AD235*Assumptions!$D$44*-1</f>
        <v>-68.398297272580777</v>
      </c>
      <c r="AF235" s="2">
        <f>AC235*Assumptions!$E$46*-1</f>
        <v>-16.968793518822203</v>
      </c>
      <c r="AG235" s="22">
        <f t="shared" si="66"/>
        <v>509071.76009798091</v>
      </c>
      <c r="AH235" s="5">
        <f>Model_30y[[#This Row],[Mortgage Payment]]+Model_30y[[#This Row],[Total Upkeep]]+Model_30y[[#This Row],[Monthly Investment]]</f>
        <v>-5374.697264902924</v>
      </c>
      <c r="AI235" s="5">
        <f>Model_Renter!D235*-1</f>
        <v>5536.7873338867967</v>
      </c>
      <c r="AJ235" s="5">
        <f t="shared" si="67"/>
        <v>162.0900689838727</v>
      </c>
    </row>
    <row r="236" spans="1:36" x14ac:dyDescent="0.25">
      <c r="A236" s="17">
        <f t="shared" si="62"/>
        <v>234</v>
      </c>
      <c r="B236" s="17">
        <f t="shared" si="58"/>
        <v>20</v>
      </c>
      <c r="C236" s="23">
        <f>IFERROR(IPMT(Assumptions!$D$16/12,Model_30y!A236, 360,Assumptions!$D$8), 0)</f>
        <v>-1116.7510155301393</v>
      </c>
      <c r="D236" s="2">
        <f>IFERROR(PPMT(Assumptions!$D$16/12, Model_30y!A236, 360, Assumptions!$D$8), 0)</f>
        <v>-1081.7066174027989</v>
      </c>
      <c r="E236" s="2">
        <f t="shared" si="52"/>
        <v>-2198.4576329329384</v>
      </c>
      <c r="F236" s="2">
        <f>IF(I235&gt;1, Assumptions!$E$18, 0)*-1</f>
        <v>-2198.4576329329379</v>
      </c>
      <c r="G236" s="24">
        <f t="shared" si="53"/>
        <v>1</v>
      </c>
      <c r="H236" s="20">
        <f t="shared" si="59"/>
        <v>141661.88241559226</v>
      </c>
      <c r="I236" s="2">
        <f>MAX(Assumptions!$D$8-SUM(Model_30y!H236), 0)</f>
        <v>198338.11758440774</v>
      </c>
      <c r="J236" s="2">
        <f>J235*(1+(Assumptions!$E$51))</f>
        <v>1100475.2052019739</v>
      </c>
      <c r="K236" s="22">
        <f t="shared" si="54"/>
        <v>902137.08761756611</v>
      </c>
      <c r="L236" s="5">
        <f t="shared" si="60"/>
        <v>226661.88241559223</v>
      </c>
      <c r="M236" s="63">
        <f>L236/Assumptions!$D$6</f>
        <v>0.53332207627198169</v>
      </c>
      <c r="N236" s="24">
        <f t="shared" si="68"/>
        <v>0</v>
      </c>
      <c r="O236" s="5">
        <f>N236*Assumptions!$E$25*-1</f>
        <v>0</v>
      </c>
      <c r="P236" s="20">
        <f>Assumptions!$E$35*J236*-1</f>
        <v>-2266.7987417376585</v>
      </c>
      <c r="Q236" s="5">
        <f>J236*Assumptions!$E$36*-1</f>
        <v>-912.88612660795138</v>
      </c>
      <c r="R236" s="5">
        <f>(R224+(Model_30y!R224*Assumptions!$D$51))</f>
        <v>-821.04823431413445</v>
      </c>
      <c r="S236" s="5">
        <f>S224+(S224*Assumptions!$D$51)</f>
        <v>0</v>
      </c>
      <c r="T236" s="5">
        <f t="shared" si="63"/>
        <v>0</v>
      </c>
      <c r="U236" s="22">
        <f t="shared" si="55"/>
        <v>-4000.7331026597444</v>
      </c>
      <c r="V236" s="5">
        <f>MAX(Assumptions!$E$18:$E$19)-U236</f>
        <v>6842.3661144584412</v>
      </c>
      <c r="W236" s="5">
        <f t="shared" si="56"/>
        <v>-2198.4576329329379</v>
      </c>
      <c r="X236" s="5">
        <f t="shared" si="61"/>
        <v>-4000.7331026597444</v>
      </c>
      <c r="Y236" s="5">
        <f>C236*Assumptions!$D$44*-1</f>
        <v>167.51265232952088</v>
      </c>
      <c r="Z236" s="5">
        <f t="shared" si="57"/>
        <v>810.68803119527922</v>
      </c>
      <c r="AA236" s="5">
        <f t="shared" si="64"/>
        <v>509071.76009798091</v>
      </c>
      <c r="AB236" s="3">
        <f>Assumptions!$E$45</f>
        <v>6.9899151946608562E-3</v>
      </c>
      <c r="AC236" s="5">
        <f t="shared" si="65"/>
        <v>513440.81656025781</v>
      </c>
      <c r="AD236" s="5">
        <f>AC236*Assumptions!$E$43</f>
        <v>459.82501573225602</v>
      </c>
      <c r="AE236" s="2">
        <f>AD236*Assumptions!$D$44*-1</f>
        <v>-68.9737523598384</v>
      </c>
      <c r="AF236" s="2">
        <f>AC236*Assumptions!$E$46*-1</f>
        <v>-17.111556993125021</v>
      </c>
      <c r="AG236" s="22">
        <f t="shared" si="66"/>
        <v>513354.73125090485</v>
      </c>
      <c r="AH236" s="5">
        <f>Model_30y[[#This Row],[Mortgage Payment]]+Model_30y[[#This Row],[Total Upkeep]]+Model_30y[[#This Row],[Monthly Investment]]</f>
        <v>-5388.5027043974032</v>
      </c>
      <c r="AI236" s="5">
        <f>Model_Renter!D236*-1</f>
        <v>5536.7873338867967</v>
      </c>
      <c r="AJ236" s="5">
        <f t="shared" si="67"/>
        <v>148.28462948939341</v>
      </c>
    </row>
    <row r="237" spans="1:36" x14ac:dyDescent="0.25">
      <c r="A237" s="17">
        <f t="shared" si="62"/>
        <v>235</v>
      </c>
      <c r="B237" s="17">
        <f t="shared" si="58"/>
        <v>20</v>
      </c>
      <c r="C237" s="23">
        <f>IFERROR(IPMT(Assumptions!$D$16/12,Model_30y!A237, 360,Assumptions!$D$8), 0)</f>
        <v>-1110.6934584726835</v>
      </c>
      <c r="D237" s="2">
        <f>IFERROR(PPMT(Assumptions!$D$16/12, Model_30y!A237, 360, Assumptions!$D$8), 0)</f>
        <v>-1087.7641744602547</v>
      </c>
      <c r="E237" s="2">
        <f t="shared" si="52"/>
        <v>-2198.4576329329384</v>
      </c>
      <c r="F237" s="2">
        <f>IF(I236&gt;1, Assumptions!$E$18, 0)*-1</f>
        <v>-2198.4576329329379</v>
      </c>
      <c r="G237" s="24">
        <f t="shared" si="53"/>
        <v>1</v>
      </c>
      <c r="H237" s="20">
        <f t="shared" si="59"/>
        <v>142749.64659005252</v>
      </c>
      <c r="I237" s="2">
        <f>MAX(Assumptions!$D$8-SUM(Model_30y!H237), 0)</f>
        <v>197250.35340994748</v>
      </c>
      <c r="J237" s="2">
        <f>J236*(1+(Assumptions!$E$51))</f>
        <v>1104958.6774088026</v>
      </c>
      <c r="K237" s="22">
        <f t="shared" si="54"/>
        <v>907708.32399885508</v>
      </c>
      <c r="L237" s="5">
        <f t="shared" si="60"/>
        <v>227749.64659005249</v>
      </c>
      <c r="M237" s="63">
        <f>L237/Assumptions!$D$6</f>
        <v>0.53588152138835876</v>
      </c>
      <c r="N237" s="24">
        <f t="shared" si="68"/>
        <v>0</v>
      </c>
      <c r="O237" s="5">
        <f>N237*Assumptions!$E$25*-1</f>
        <v>0</v>
      </c>
      <c r="P237" s="20">
        <f>Assumptions!$E$35*J237*-1</f>
        <v>-2276.0339604041164</v>
      </c>
      <c r="Q237" s="5">
        <f>J237*Assumptions!$E$36*-1</f>
        <v>-916.60533768812741</v>
      </c>
      <c r="R237" s="5">
        <f>(R225+(Model_30y!R225*Assumptions!$D$51))</f>
        <v>-821.04823431413445</v>
      </c>
      <c r="S237" s="5">
        <f>S225+(S225*Assumptions!$D$51)</f>
        <v>0</v>
      </c>
      <c r="T237" s="5">
        <f t="shared" si="63"/>
        <v>0</v>
      </c>
      <c r="U237" s="22">
        <f t="shared" si="55"/>
        <v>-4013.6875324063781</v>
      </c>
      <c r="V237" s="5">
        <f>MAX(Assumptions!$E$18:$E$19)-U237</f>
        <v>6855.3205442050748</v>
      </c>
      <c r="W237" s="5">
        <f t="shared" si="56"/>
        <v>-2198.4576329329379</v>
      </c>
      <c r="X237" s="5">
        <f t="shared" si="61"/>
        <v>-4013.6875324063781</v>
      </c>
      <c r="Y237" s="5">
        <f>C237*Assumptions!$D$44*-1</f>
        <v>166.60401877090251</v>
      </c>
      <c r="Z237" s="5">
        <f t="shared" si="57"/>
        <v>809.77939763666177</v>
      </c>
      <c r="AA237" s="5">
        <f t="shared" si="64"/>
        <v>513354.73125090485</v>
      </c>
      <c r="AB237" s="3">
        <f>Assumptions!$E$45</f>
        <v>6.9899151946608562E-3</v>
      </c>
      <c r="AC237" s="5">
        <f t="shared" si="65"/>
        <v>517752.81668476324</v>
      </c>
      <c r="AD237" s="5">
        <f>AC237*Assumptions!$E$43</f>
        <v>463.68673739741604</v>
      </c>
      <c r="AE237" s="2">
        <f>AD237*Assumptions!$D$44*-1</f>
        <v>-69.5530106096124</v>
      </c>
      <c r="AF237" s="2">
        <f>AC237*Assumptions!$E$46*-1</f>
        <v>-17.255263986229217</v>
      </c>
      <c r="AG237" s="22">
        <f t="shared" si="66"/>
        <v>517666.00841016741</v>
      </c>
      <c r="AH237" s="5">
        <f>Model_30y[[#This Row],[Mortgage Payment]]+Model_30y[[#This Row],[Total Upkeep]]+Model_30y[[#This Row],[Monthly Investment]]</f>
        <v>-5402.365767702654</v>
      </c>
      <c r="AI237" s="5">
        <f>Model_Renter!D237*-1</f>
        <v>5536.7873338867967</v>
      </c>
      <c r="AJ237" s="5">
        <f t="shared" si="67"/>
        <v>134.42156618414265</v>
      </c>
    </row>
    <row r="238" spans="1:36" x14ac:dyDescent="0.25">
      <c r="A238" s="17">
        <f t="shared" si="62"/>
        <v>236</v>
      </c>
      <c r="B238" s="17">
        <f t="shared" si="58"/>
        <v>20</v>
      </c>
      <c r="C238" s="23">
        <f>IFERROR(IPMT(Assumptions!$D$16/12,Model_30y!A238, 360,Assumptions!$D$8), 0)</f>
        <v>-1104.6019790957057</v>
      </c>
      <c r="D238" s="2">
        <f>IFERROR(PPMT(Assumptions!$D$16/12, Model_30y!A238, 360, Assumptions!$D$8), 0)</f>
        <v>-1093.855653837232</v>
      </c>
      <c r="E238" s="2">
        <f t="shared" si="52"/>
        <v>-2198.4576329329375</v>
      </c>
      <c r="F238" s="2">
        <f>IF(I237&gt;1, Assumptions!$E$18, 0)*-1</f>
        <v>-2198.4576329329379</v>
      </c>
      <c r="G238" s="24">
        <f t="shared" si="53"/>
        <v>1</v>
      </c>
      <c r="H238" s="20">
        <f t="shared" si="59"/>
        <v>143843.50224388976</v>
      </c>
      <c r="I238" s="2">
        <f>MAX(Assumptions!$D$8-SUM(Model_30y!H238), 0)</f>
        <v>196156.49775611024</v>
      </c>
      <c r="J238" s="2">
        <f>J237*(1+(Assumptions!$E$51))</f>
        <v>1109460.4158363824</v>
      </c>
      <c r="K238" s="22">
        <f t="shared" si="54"/>
        <v>913303.91808027215</v>
      </c>
      <c r="L238" s="5">
        <f t="shared" si="60"/>
        <v>228843.50224388973</v>
      </c>
      <c r="M238" s="63">
        <f>L238/Assumptions!$D$6</f>
        <v>0.53845529939738757</v>
      </c>
      <c r="N238" s="24">
        <f t="shared" si="68"/>
        <v>0</v>
      </c>
      <c r="O238" s="5">
        <f>N238*Assumptions!$E$25*-1</f>
        <v>0</v>
      </c>
      <c r="P238" s="20">
        <f>Assumptions!$E$35*J238*-1</f>
        <v>-2285.3068044945899</v>
      </c>
      <c r="Q238" s="5">
        <f>J238*Assumptions!$E$36*-1</f>
        <v>-920.3397012946217</v>
      </c>
      <c r="R238" s="5">
        <f>(R226+(Model_30y!R226*Assumptions!$D$51))</f>
        <v>-821.04823431413445</v>
      </c>
      <c r="S238" s="5">
        <f>S226+(S226*Assumptions!$D$51)</f>
        <v>0</v>
      </c>
      <c r="T238" s="5">
        <f t="shared" si="63"/>
        <v>0</v>
      </c>
      <c r="U238" s="22">
        <f t="shared" si="55"/>
        <v>-4026.6947401033458</v>
      </c>
      <c r="V238" s="5">
        <f>MAX(Assumptions!$E$18:$E$19)-U238</f>
        <v>6868.327751902043</v>
      </c>
      <c r="W238" s="5">
        <f t="shared" si="56"/>
        <v>-2198.4576329329379</v>
      </c>
      <c r="X238" s="5">
        <f t="shared" si="61"/>
        <v>-4026.6947401033458</v>
      </c>
      <c r="Y238" s="5">
        <f>C238*Assumptions!$D$44*-1</f>
        <v>165.69029686435584</v>
      </c>
      <c r="Z238" s="5">
        <f t="shared" si="57"/>
        <v>808.86567573011553</v>
      </c>
      <c r="AA238" s="5">
        <f t="shared" si="64"/>
        <v>517666.00841016741</v>
      </c>
      <c r="AB238" s="3">
        <f>Assumptions!$E$45</f>
        <v>6.9899151946608562E-3</v>
      </c>
      <c r="AC238" s="5">
        <f t="shared" si="65"/>
        <v>522093.31558384321</v>
      </c>
      <c r="AD238" s="5">
        <f>AC238*Assumptions!$E$43</f>
        <v>467.57398186684952</v>
      </c>
      <c r="AE238" s="2">
        <f>AD238*Assumptions!$D$44*-1</f>
        <v>-70.136097280027428</v>
      </c>
      <c r="AF238" s="2">
        <f>AC238*Assumptions!$E$46*-1</f>
        <v>-17.399920764371213</v>
      </c>
      <c r="AG238" s="22">
        <f t="shared" si="66"/>
        <v>522005.77956579882</v>
      </c>
      <c r="AH238" s="5">
        <f>Model_30y[[#This Row],[Mortgage Payment]]+Model_30y[[#This Row],[Total Upkeep]]+Model_30y[[#This Row],[Monthly Investment]]</f>
        <v>-5416.2866973061682</v>
      </c>
      <c r="AI238" s="5">
        <f>Model_Renter!D238*-1</f>
        <v>5536.7873338867967</v>
      </c>
      <c r="AJ238" s="5">
        <f t="shared" si="67"/>
        <v>120.50063658062845</v>
      </c>
    </row>
    <row r="239" spans="1:36" x14ac:dyDescent="0.25">
      <c r="A239" s="17">
        <f t="shared" si="62"/>
        <v>237</v>
      </c>
      <c r="B239" s="17">
        <f t="shared" si="58"/>
        <v>20</v>
      </c>
      <c r="C239" s="23">
        <f>IFERROR(IPMT(Assumptions!$D$16/12,Model_30y!A239, 360,Assumptions!$D$8), 0)</f>
        <v>-1098.4763874342173</v>
      </c>
      <c r="D239" s="2">
        <f>IFERROR(PPMT(Assumptions!$D$16/12, Model_30y!A239, 360, Assumptions!$D$8), 0)</f>
        <v>-1099.9812454987207</v>
      </c>
      <c r="E239" s="2">
        <f t="shared" si="52"/>
        <v>-2198.4576329329379</v>
      </c>
      <c r="F239" s="2">
        <f>IF(I238&gt;1, Assumptions!$E$18, 0)*-1</f>
        <v>-2198.4576329329379</v>
      </c>
      <c r="G239" s="24">
        <f t="shared" si="53"/>
        <v>1</v>
      </c>
      <c r="H239" s="20">
        <f t="shared" si="59"/>
        <v>144943.48348938848</v>
      </c>
      <c r="I239" s="2">
        <f>MAX(Assumptions!$D$8-SUM(Model_30y!H239), 0)</f>
        <v>195056.51651061152</v>
      </c>
      <c r="J239" s="2">
        <f>J238*(1+(Assumptions!$E$51))</f>
        <v>1113980.4949035579</v>
      </c>
      <c r="K239" s="22">
        <f t="shared" si="54"/>
        <v>918923.97839294642</v>
      </c>
      <c r="L239" s="5">
        <f t="shared" si="60"/>
        <v>229943.48348938845</v>
      </c>
      <c r="M239" s="63">
        <f>L239/Assumptions!$D$6</f>
        <v>0.54104349056326695</v>
      </c>
      <c r="N239" s="24">
        <f t="shared" si="68"/>
        <v>0</v>
      </c>
      <c r="O239" s="5">
        <f>N239*Assumptions!$E$25*-1</f>
        <v>0</v>
      </c>
      <c r="P239" s="20">
        <f>Assumptions!$E$35*J239*-1</f>
        <v>-2294.617427299715</v>
      </c>
      <c r="Q239" s="5">
        <f>J239*Assumptions!$E$36*-1</f>
        <v>-924.08927916070195</v>
      </c>
      <c r="R239" s="5">
        <f>(R227+(Model_30y!R227*Assumptions!$D$51))</f>
        <v>-821.04823431413445</v>
      </c>
      <c r="S239" s="5">
        <f>S227+(S227*Assumptions!$D$51)</f>
        <v>0</v>
      </c>
      <c r="T239" s="5">
        <f t="shared" si="63"/>
        <v>0</v>
      </c>
      <c r="U239" s="22">
        <f t="shared" si="55"/>
        <v>-4039.7549407745514</v>
      </c>
      <c r="V239" s="5">
        <f>MAX(Assumptions!$E$18:$E$19)-U239</f>
        <v>6881.3879525732482</v>
      </c>
      <c r="W239" s="5">
        <f t="shared" si="56"/>
        <v>-2198.4576329329379</v>
      </c>
      <c r="X239" s="5">
        <f t="shared" si="61"/>
        <v>-4039.7549407745514</v>
      </c>
      <c r="Y239" s="5">
        <f>C239*Assumptions!$D$44*-1</f>
        <v>164.77145811513259</v>
      </c>
      <c r="Z239" s="5">
        <f t="shared" si="57"/>
        <v>807.94683698089193</v>
      </c>
      <c r="AA239" s="5">
        <f t="shared" si="64"/>
        <v>522005.77956579882</v>
      </c>
      <c r="AB239" s="3">
        <f>Assumptions!$E$45</f>
        <v>6.9899151946608562E-3</v>
      </c>
      <c r="AC239" s="5">
        <f t="shared" si="65"/>
        <v>526462.50253306748</v>
      </c>
      <c r="AD239" s="5">
        <f>AC239*Assumptions!$E$43</f>
        <v>471.48691865111948</v>
      </c>
      <c r="AE239" s="2">
        <f>AD239*Assumptions!$D$44*-1</f>
        <v>-70.723037797667914</v>
      </c>
      <c r="AF239" s="2">
        <f>AC239*Assumptions!$E$46*-1</f>
        <v>-17.545533635580284</v>
      </c>
      <c r="AG239" s="22">
        <f t="shared" si="66"/>
        <v>526374.23396163422</v>
      </c>
      <c r="AH239" s="5">
        <f>Model_30y[[#This Row],[Mortgage Payment]]+Model_30y[[#This Row],[Total Upkeep]]+Model_30y[[#This Row],[Monthly Investment]]</f>
        <v>-5430.2657367265974</v>
      </c>
      <c r="AI239" s="5">
        <f>Model_Renter!D239*-1</f>
        <v>5536.7873338867967</v>
      </c>
      <c r="AJ239" s="5">
        <f t="shared" si="67"/>
        <v>106.52159716019924</v>
      </c>
    </row>
    <row r="240" spans="1:36" x14ac:dyDescent="0.25">
      <c r="A240" s="17">
        <f t="shared" si="62"/>
        <v>238</v>
      </c>
      <c r="B240" s="17">
        <f t="shared" si="58"/>
        <v>20</v>
      </c>
      <c r="C240" s="23">
        <f>IFERROR(IPMT(Assumptions!$D$16/12,Model_30y!A240, 360,Assumptions!$D$8), 0)</f>
        <v>-1092.3164924594248</v>
      </c>
      <c r="D240" s="2">
        <f>IFERROR(PPMT(Assumptions!$D$16/12, Model_30y!A240, 360, Assumptions!$D$8), 0)</f>
        <v>-1106.1411404735134</v>
      </c>
      <c r="E240" s="2">
        <f t="shared" si="52"/>
        <v>-2198.4576329329384</v>
      </c>
      <c r="F240" s="2">
        <f>IF(I239&gt;1, Assumptions!$E$18, 0)*-1</f>
        <v>-2198.4576329329379</v>
      </c>
      <c r="G240" s="24">
        <f t="shared" si="53"/>
        <v>1</v>
      </c>
      <c r="H240" s="20">
        <f t="shared" si="59"/>
        <v>146049.624629862</v>
      </c>
      <c r="I240" s="2">
        <f>MAX(Assumptions!$D$8-SUM(Model_30y!H240), 0)</f>
        <v>193950.375370138</v>
      </c>
      <c r="J240" s="2">
        <f>J239*(1+(Assumptions!$E$51))</f>
        <v>1118518.9893323649</v>
      </c>
      <c r="K240" s="22">
        <f t="shared" si="54"/>
        <v>924568.6139622269</v>
      </c>
      <c r="L240" s="5">
        <f t="shared" si="60"/>
        <v>231049.62462986197</v>
      </c>
      <c r="M240" s="63">
        <f>L240/Assumptions!$D$6</f>
        <v>0.54364617559967521</v>
      </c>
      <c r="N240" s="24">
        <f t="shared" si="68"/>
        <v>0</v>
      </c>
      <c r="O240" s="5">
        <f>N240*Assumptions!$E$25*-1</f>
        <v>0</v>
      </c>
      <c r="P240" s="20">
        <f>Assumptions!$E$35*J240*-1</f>
        <v>-2303.9659827346509</v>
      </c>
      <c r="Q240" s="5">
        <f>J240*Assumptions!$E$36*-1</f>
        <v>-927.85413327114509</v>
      </c>
      <c r="R240" s="5">
        <f>(R228+(Model_30y!R228*Assumptions!$D$51))</f>
        <v>-821.04823431413445</v>
      </c>
      <c r="S240" s="5">
        <f>S228+(S228*Assumptions!$D$51)</f>
        <v>0</v>
      </c>
      <c r="T240" s="5">
        <f t="shared" si="63"/>
        <v>0</v>
      </c>
      <c r="U240" s="22">
        <f t="shared" si="55"/>
        <v>-4052.8683503199304</v>
      </c>
      <c r="V240" s="5">
        <f>MAX(Assumptions!$E$18:$E$19)-U240</f>
        <v>6894.5013621186272</v>
      </c>
      <c r="W240" s="5">
        <f t="shared" si="56"/>
        <v>-2198.4576329329379</v>
      </c>
      <c r="X240" s="5">
        <f t="shared" si="61"/>
        <v>-4052.8683503199304</v>
      </c>
      <c r="Y240" s="5">
        <f>C240*Assumptions!$D$44*-1</f>
        <v>163.84747386891371</v>
      </c>
      <c r="Z240" s="5">
        <f t="shared" si="57"/>
        <v>807.02285273467214</v>
      </c>
      <c r="AA240" s="5">
        <f t="shared" si="64"/>
        <v>526374.23396163422</v>
      </c>
      <c r="AB240" s="3">
        <f>Assumptions!$E$45</f>
        <v>6.9899151946608562E-3</v>
      </c>
      <c r="AC240" s="5">
        <f t="shared" si="65"/>
        <v>530860.56807041529</v>
      </c>
      <c r="AD240" s="5">
        <f>AC240*Assumptions!$E$43</f>
        <v>475.42571839137173</v>
      </c>
      <c r="AE240" s="2">
        <f>AD240*Assumptions!$D$44*-1</f>
        <v>-71.313857758705751</v>
      </c>
      <c r="AF240" s="2">
        <f>AC240*Assumptions!$E$46*-1</f>
        <v>-17.692108949958303</v>
      </c>
      <c r="AG240" s="22">
        <f t="shared" si="66"/>
        <v>530771.56210370664</v>
      </c>
      <c r="AH240" s="5">
        <f>Model_30y[[#This Row],[Mortgage Payment]]+Model_30y[[#This Row],[Total Upkeep]]+Model_30y[[#This Row],[Monthly Investment]]</f>
        <v>-5444.3031305181958</v>
      </c>
      <c r="AI240" s="5">
        <f>Model_Renter!D240*-1</f>
        <v>5536.7873338867967</v>
      </c>
      <c r="AJ240" s="5">
        <f t="shared" si="67"/>
        <v>92.484203368600902</v>
      </c>
    </row>
    <row r="241" spans="1:36" x14ac:dyDescent="0.25">
      <c r="A241" s="17">
        <f t="shared" si="62"/>
        <v>239</v>
      </c>
      <c r="B241" s="17">
        <f t="shared" si="58"/>
        <v>20</v>
      </c>
      <c r="C241" s="23">
        <f>IFERROR(IPMT(Assumptions!$D$16/12,Model_30y!A241, 360,Assumptions!$D$8), 0)</f>
        <v>-1086.122102072773</v>
      </c>
      <c r="D241" s="2">
        <f>IFERROR(PPMT(Assumptions!$D$16/12, Model_30y!A241, 360, Assumptions!$D$8), 0)</f>
        <v>-1112.3355308601647</v>
      </c>
      <c r="E241" s="2">
        <f t="shared" si="52"/>
        <v>-2198.4576329329375</v>
      </c>
      <c r="F241" s="2">
        <f>IF(I240&gt;1, Assumptions!$E$18, 0)*-1</f>
        <v>-2198.4576329329379</v>
      </c>
      <c r="G241" s="24">
        <f t="shared" si="53"/>
        <v>1</v>
      </c>
      <c r="H241" s="20">
        <f t="shared" si="59"/>
        <v>147161.96016072217</v>
      </c>
      <c r="I241" s="2">
        <f>MAX(Assumptions!$D$8-SUM(Model_30y!H241), 0)</f>
        <v>192838.03983927783</v>
      </c>
      <c r="J241" s="2">
        <f>J240*(1+(Assumptions!$E$51))</f>
        <v>1123075.9741492663</v>
      </c>
      <c r="K241" s="22">
        <f t="shared" si="54"/>
        <v>930237.9343099884</v>
      </c>
      <c r="L241" s="5">
        <f t="shared" si="60"/>
        <v>232161.96016072214</v>
      </c>
      <c r="M241" s="63">
        <f>L241/Assumptions!$D$6</f>
        <v>0.54626343567228741</v>
      </c>
      <c r="N241" s="24">
        <f t="shared" si="68"/>
        <v>0</v>
      </c>
      <c r="O241" s="5">
        <f>N241*Assumptions!$E$25*-1</f>
        <v>0</v>
      </c>
      <c r="P241" s="20">
        <f>Assumptions!$E$35*J241*-1</f>
        <v>-2313.3526253416271</v>
      </c>
      <c r="Q241" s="5">
        <f>J241*Assumptions!$E$36*-1</f>
        <v>-931.63432586326155</v>
      </c>
      <c r="R241" s="5">
        <f>(R229+(Model_30y!R229*Assumptions!$D$51))</f>
        <v>-821.04823431413445</v>
      </c>
      <c r="S241" s="5">
        <f>S229+(S229*Assumptions!$D$51)</f>
        <v>0</v>
      </c>
      <c r="T241" s="5">
        <f t="shared" si="63"/>
        <v>0</v>
      </c>
      <c r="U241" s="22">
        <f t="shared" si="55"/>
        <v>-4066.0351855190229</v>
      </c>
      <c r="V241" s="5">
        <f>MAX(Assumptions!$E$18:$E$19)-U241</f>
        <v>6907.6681973177201</v>
      </c>
      <c r="W241" s="5">
        <f t="shared" si="56"/>
        <v>-2198.4576329329379</v>
      </c>
      <c r="X241" s="5">
        <f t="shared" si="61"/>
        <v>-4066.0351855190229</v>
      </c>
      <c r="Y241" s="5">
        <f>C241*Assumptions!$D$44*-1</f>
        <v>162.91831531091594</v>
      </c>
      <c r="Z241" s="5">
        <f t="shared" si="57"/>
        <v>806.09369417667563</v>
      </c>
      <c r="AA241" s="5">
        <f t="shared" si="64"/>
        <v>530771.56210370664</v>
      </c>
      <c r="AB241" s="3">
        <f>Assumptions!$E$45</f>
        <v>6.9899151946608562E-3</v>
      </c>
      <c r="AC241" s="5">
        <f t="shared" si="65"/>
        <v>535287.70400472591</v>
      </c>
      <c r="AD241" s="5">
        <f>AC241*Assumptions!$E$43</f>
        <v>479.39055286690331</v>
      </c>
      <c r="AE241" s="2">
        <f>AD241*Assumptions!$D$44*-1</f>
        <v>-71.908582930035493</v>
      </c>
      <c r="AF241" s="2">
        <f>AC241*Assumptions!$E$46*-1</f>
        <v>-17.839653099961378</v>
      </c>
      <c r="AG241" s="22">
        <f t="shared" si="66"/>
        <v>535197.95576869592</v>
      </c>
      <c r="AH241" s="5">
        <f>Model_30y[[#This Row],[Mortgage Payment]]+Model_30y[[#This Row],[Total Upkeep]]+Model_30y[[#This Row],[Monthly Investment]]</f>
        <v>-5458.3991242752854</v>
      </c>
      <c r="AI241" s="5">
        <f>Model_Renter!D241*-1</f>
        <v>5536.7873338867967</v>
      </c>
      <c r="AJ241" s="5">
        <f t="shared" si="67"/>
        <v>78.388209611511229</v>
      </c>
    </row>
    <row r="242" spans="1:36" x14ac:dyDescent="0.25">
      <c r="A242" s="17">
        <f t="shared" si="62"/>
        <v>240</v>
      </c>
      <c r="B242" s="17">
        <f t="shared" si="58"/>
        <v>20</v>
      </c>
      <c r="C242" s="23">
        <f>IFERROR(IPMT(Assumptions!$D$16/12,Model_30y!A242, 360,Assumptions!$D$8), 0)</f>
        <v>-1079.8930230999561</v>
      </c>
      <c r="D242" s="2">
        <f>IFERROR(PPMT(Assumptions!$D$16/12, Model_30y!A242, 360, Assumptions!$D$8), 0)</f>
        <v>-1118.5646098329819</v>
      </c>
      <c r="E242" s="2">
        <f t="shared" si="52"/>
        <v>-2198.4576329329379</v>
      </c>
      <c r="F242" s="2">
        <f>IF(I241&gt;1, Assumptions!$E$18, 0)*-1</f>
        <v>-2198.4576329329379</v>
      </c>
      <c r="G242" s="24">
        <f t="shared" si="53"/>
        <v>1</v>
      </c>
      <c r="H242" s="20">
        <f t="shared" si="59"/>
        <v>148280.52477055514</v>
      </c>
      <c r="I242" s="2">
        <f>MAX(Assumptions!$D$8-SUM(Model_30y!H242), 0)</f>
        <v>191719.47522944486</v>
      </c>
      <c r="J242" s="2">
        <f>J241*(1+(Assumptions!$E$51))</f>
        <v>1127651.5246863919</v>
      </c>
      <c r="K242" s="22">
        <f t="shared" si="54"/>
        <v>935932.04945694702</v>
      </c>
      <c r="L242" s="5">
        <f t="shared" si="60"/>
        <v>233280.52477055512</v>
      </c>
      <c r="M242" s="63">
        <f>L242/Assumptions!$D$6</f>
        <v>0.54889535240130616</v>
      </c>
      <c r="N242" s="24">
        <f t="shared" si="68"/>
        <v>0</v>
      </c>
      <c r="O242" s="5">
        <f>N242*Assumptions!$E$25*-1</f>
        <v>0</v>
      </c>
      <c r="P242" s="20">
        <f>Assumptions!$E$35*J242*-1</f>
        <v>-2322.777510292497</v>
      </c>
      <c r="Q242" s="5">
        <f>J242*Assumptions!$E$36*-1</f>
        <v>-935.42991942792435</v>
      </c>
      <c r="R242" s="5">
        <f>(R230+(Model_30y!R230*Assumptions!$D$51))</f>
        <v>-821.04823431413445</v>
      </c>
      <c r="S242" s="5">
        <f>S230+(S230*Assumptions!$D$51)</f>
        <v>0</v>
      </c>
      <c r="T242" s="5">
        <f t="shared" si="63"/>
        <v>0</v>
      </c>
      <c r="U242" s="22">
        <f t="shared" si="55"/>
        <v>-4079.2556640345556</v>
      </c>
      <c r="V242" s="5">
        <f>MAX(Assumptions!$E$18:$E$19)-U242</f>
        <v>6920.8886758332519</v>
      </c>
      <c r="W242" s="5">
        <f t="shared" si="56"/>
        <v>-2198.4576329329379</v>
      </c>
      <c r="X242" s="5">
        <f t="shared" si="61"/>
        <v>-4079.2556640345556</v>
      </c>
      <c r="Y242" s="5">
        <f>C242*Assumptions!$D$44*-1</f>
        <v>161.98395346499339</v>
      </c>
      <c r="Z242" s="5">
        <f t="shared" si="57"/>
        <v>805.15933233075225</v>
      </c>
      <c r="AA242" s="5">
        <f t="shared" si="64"/>
        <v>535197.95576869592</v>
      </c>
      <c r="AB242" s="3">
        <f>Assumptions!$E$45</f>
        <v>6.9899151946608562E-3</v>
      </c>
      <c r="AC242" s="5">
        <f t="shared" si="65"/>
        <v>539744.10342420579</v>
      </c>
      <c r="AD242" s="5">
        <f>AC242*Assumptions!$E$43</f>
        <v>483.38159500278124</v>
      </c>
      <c r="AE242" s="2">
        <f>AD242*Assumptions!$D$44*-1</f>
        <v>-72.507239250417186</v>
      </c>
      <c r="AF242" s="2">
        <f>AC242*Assumptions!$E$46*-1</f>
        <v>-17.988172520683374</v>
      </c>
      <c r="AG242" s="22">
        <f t="shared" si="66"/>
        <v>539653.60801243468</v>
      </c>
      <c r="AH242" s="5">
        <f>Model_30y[[#This Row],[Mortgage Payment]]+Model_30y[[#This Row],[Total Upkeep]]+Model_30y[[#This Row],[Monthly Investment]]</f>
        <v>-5472.5539646367406</v>
      </c>
      <c r="AI242" s="5">
        <f>Model_Renter!D242*-1</f>
        <v>5536.7873338867967</v>
      </c>
      <c r="AJ242" s="5">
        <f t="shared" si="67"/>
        <v>64.233369250056057</v>
      </c>
    </row>
    <row r="243" spans="1:36" x14ac:dyDescent="0.25">
      <c r="A243" s="17">
        <f t="shared" si="62"/>
        <v>241</v>
      </c>
      <c r="B243" s="17">
        <f t="shared" si="58"/>
        <v>21</v>
      </c>
      <c r="C243" s="23">
        <f>IFERROR(IPMT(Assumptions!$D$16/12,Model_30y!A243, 360,Assumptions!$D$8), 0)</f>
        <v>-1073.6290612848913</v>
      </c>
      <c r="D243" s="2">
        <f>IFERROR(PPMT(Assumptions!$D$16/12, Model_30y!A243, 360, Assumptions!$D$8), 0)</f>
        <v>-1124.8285716480466</v>
      </c>
      <c r="E243" s="2">
        <f t="shared" si="52"/>
        <v>-2198.4576329329379</v>
      </c>
      <c r="F243" s="2">
        <f>IF(I242&gt;1, Assumptions!$E$18, 0)*-1</f>
        <v>-2198.4576329329379</v>
      </c>
      <c r="G243" s="24">
        <f t="shared" si="53"/>
        <v>1</v>
      </c>
      <c r="H243" s="20">
        <f t="shared" si="59"/>
        <v>149405.35334220319</v>
      </c>
      <c r="I243" s="2">
        <f>MAX(Assumptions!$D$8-SUM(Model_30y!H243), 0)</f>
        <v>190594.64665779681</v>
      </c>
      <c r="J243" s="2">
        <f>J242*(1+(Assumptions!$E$51))</f>
        <v>1132245.7165827842</v>
      </c>
      <c r="K243" s="22">
        <f t="shared" si="54"/>
        <v>941651.06992498739</v>
      </c>
      <c r="L243" s="5">
        <f t="shared" si="60"/>
        <v>234405.35334220316</v>
      </c>
      <c r="M243" s="63">
        <f>L243/Assumptions!$D$6</f>
        <v>0.55154200786400742</v>
      </c>
      <c r="N243" s="24">
        <f t="shared" si="68"/>
        <v>0</v>
      </c>
      <c r="O243" s="5">
        <f>N243*Assumptions!$E$25*-1</f>
        <v>0</v>
      </c>
      <c r="P243" s="20">
        <f>Assumptions!$E$35*J243*-1</f>
        <v>-2332.2407933913032</v>
      </c>
      <c r="Q243" s="5">
        <f>J243*Assumptions!$E$36*-1</f>
        <v>-939.24097671060201</v>
      </c>
      <c r="R243" s="5">
        <f>(R231+(Model_30y!R231*Assumptions!$D$51))</f>
        <v>-862.10064602984119</v>
      </c>
      <c r="S243" s="5">
        <f>S231+(S231*Assumptions!$D$51)</f>
        <v>0</v>
      </c>
      <c r="T243" s="5">
        <f t="shared" si="63"/>
        <v>0</v>
      </c>
      <c r="U243" s="22">
        <f t="shared" si="55"/>
        <v>-4133.582416131746</v>
      </c>
      <c r="V243" s="5">
        <f>MAX(Assumptions!$E$18:$E$19)-U243</f>
        <v>6975.2154279304432</v>
      </c>
      <c r="W243" s="5">
        <f t="shared" si="56"/>
        <v>-2198.4576329329379</v>
      </c>
      <c r="X243" s="5">
        <f t="shared" si="61"/>
        <v>-4133.582416131746</v>
      </c>
      <c r="Y243" s="5">
        <f>C243*Assumptions!$D$44*-1</f>
        <v>161.04435919273371</v>
      </c>
      <c r="Z243" s="5">
        <f t="shared" si="57"/>
        <v>804.21973805849348</v>
      </c>
      <c r="AA243" s="5">
        <f t="shared" si="64"/>
        <v>539653.60801243468</v>
      </c>
      <c r="AB243" s="3">
        <f>Assumptions!$E$45</f>
        <v>6.9899151946608562E-3</v>
      </c>
      <c r="AC243" s="5">
        <f t="shared" si="65"/>
        <v>544229.96070499287</v>
      </c>
      <c r="AD243" s="5">
        <f>AC243*Assumptions!$E$43</f>
        <v>487.39901887751228</v>
      </c>
      <c r="AE243" s="2">
        <f>AD243*Assumptions!$D$44*-1</f>
        <v>-73.109852831626839</v>
      </c>
      <c r="AF243" s="2">
        <f>AC243*Assumptions!$E$46*-1</f>
        <v>-18.137673690141344</v>
      </c>
      <c r="AG243" s="22">
        <f t="shared" si="66"/>
        <v>544138.71317847108</v>
      </c>
      <c r="AH243" s="5">
        <f>Model_30y[[#This Row],[Mortgage Payment]]+Model_30y[[#This Row],[Total Upkeep]]+Model_30y[[#This Row],[Monthly Investment]]</f>
        <v>-5527.8203110061913</v>
      </c>
      <c r="AI243" s="5">
        <f>Model_Renter!D243*-1</f>
        <v>5743.8631801741631</v>
      </c>
      <c r="AJ243" s="5">
        <f t="shared" si="67"/>
        <v>216.04286916797173</v>
      </c>
    </row>
    <row r="244" spans="1:36" x14ac:dyDescent="0.25">
      <c r="A244" s="17">
        <f t="shared" si="62"/>
        <v>242</v>
      </c>
      <c r="B244" s="17">
        <f t="shared" si="58"/>
        <v>21</v>
      </c>
      <c r="C244" s="23">
        <f>IFERROR(IPMT(Assumptions!$D$16/12,Model_30y!A244, 360,Assumptions!$D$8), 0)</f>
        <v>-1067.3300212836623</v>
      </c>
      <c r="D244" s="2">
        <f>IFERROR(PPMT(Assumptions!$D$16/12, Model_30y!A244, 360, Assumptions!$D$8), 0)</f>
        <v>-1131.1276116492759</v>
      </c>
      <c r="E244" s="2">
        <f t="shared" si="52"/>
        <v>-2198.4576329329384</v>
      </c>
      <c r="F244" s="2">
        <f>IF(I243&gt;1, Assumptions!$E$18, 0)*-1</f>
        <v>-2198.4576329329379</v>
      </c>
      <c r="G244" s="24">
        <f t="shared" si="53"/>
        <v>1</v>
      </c>
      <c r="H244" s="20">
        <f t="shared" si="59"/>
        <v>150536.48095385247</v>
      </c>
      <c r="I244" s="2">
        <f>MAX(Assumptions!$D$8-SUM(Model_30y!H244), 0)</f>
        <v>189463.51904614753</v>
      </c>
      <c r="J244" s="2">
        <f>J243*(1+(Assumptions!$E$51))</f>
        <v>1136858.6257856481</v>
      </c>
      <c r="K244" s="22">
        <f t="shared" si="54"/>
        <v>947395.10673950054</v>
      </c>
      <c r="L244" s="5">
        <f t="shared" si="60"/>
        <v>235536.48095385244</v>
      </c>
      <c r="M244" s="63">
        <f>L244/Assumptions!$D$6</f>
        <v>0.55420348459729984</v>
      </c>
      <c r="N244" s="24">
        <f t="shared" si="68"/>
        <v>0</v>
      </c>
      <c r="O244" s="5">
        <f>N244*Assumptions!$E$25*-1</f>
        <v>0</v>
      </c>
      <c r="P244" s="20">
        <f>Assumptions!$E$35*J244*-1</f>
        <v>-2341.7426310768537</v>
      </c>
      <c r="Q244" s="5">
        <f>J244*Assumptions!$E$36*-1</f>
        <v>-943.06756071239579</v>
      </c>
      <c r="R244" s="5">
        <f>(R232+(Model_30y!R232*Assumptions!$D$51))</f>
        <v>-862.10064602984119</v>
      </c>
      <c r="S244" s="5">
        <f>S232+(S232*Assumptions!$D$51)</f>
        <v>0</v>
      </c>
      <c r="T244" s="5">
        <f t="shared" si="63"/>
        <v>0</v>
      </c>
      <c r="U244" s="22">
        <f t="shared" si="55"/>
        <v>-4146.9108378190904</v>
      </c>
      <c r="V244" s="5">
        <f>MAX(Assumptions!$E$18:$E$19)-U244</f>
        <v>6988.5438496177867</v>
      </c>
      <c r="W244" s="5">
        <f t="shared" si="56"/>
        <v>-2198.4576329329379</v>
      </c>
      <c r="X244" s="5">
        <f t="shared" si="61"/>
        <v>-4146.9108378190904</v>
      </c>
      <c r="Y244" s="5">
        <f>C244*Assumptions!$D$44*-1</f>
        <v>160.09950319254935</v>
      </c>
      <c r="Z244" s="5">
        <f t="shared" si="57"/>
        <v>803.27488205830821</v>
      </c>
      <c r="AA244" s="5">
        <f t="shared" si="64"/>
        <v>544138.71317847108</v>
      </c>
      <c r="AB244" s="3">
        <f>Assumptions!$E$45</f>
        <v>6.9899151946608562E-3</v>
      </c>
      <c r="AC244" s="5">
        <f t="shared" si="65"/>
        <v>548745.47151977872</v>
      </c>
      <c r="AD244" s="5">
        <f>AC244*Assumptions!$E$43</f>
        <v>491.44299973076488</v>
      </c>
      <c r="AE244" s="2">
        <f>AD244*Assumptions!$D$44*-1</f>
        <v>-73.716449959614735</v>
      </c>
      <c r="AF244" s="2">
        <f>AC244*Assumptions!$E$46*-1</f>
        <v>-18.288163129562864</v>
      </c>
      <c r="AG244" s="22">
        <f t="shared" si="66"/>
        <v>548653.46690668957</v>
      </c>
      <c r="AH244" s="5">
        <f>Model_30y[[#This Row],[Mortgage Payment]]+Model_30y[[#This Row],[Total Upkeep]]+Model_30y[[#This Row],[Monthly Investment]]</f>
        <v>-5542.0935886937195</v>
      </c>
      <c r="AI244" s="5">
        <f>Model_Renter!D244*-1</f>
        <v>5743.8631801741631</v>
      </c>
      <c r="AJ244" s="5">
        <f t="shared" si="67"/>
        <v>201.76959148044352</v>
      </c>
    </row>
    <row r="245" spans="1:36" x14ac:dyDescent="0.25">
      <c r="A245" s="17">
        <f t="shared" si="62"/>
        <v>243</v>
      </c>
      <c r="B245" s="17">
        <f t="shared" si="58"/>
        <v>21</v>
      </c>
      <c r="C245" s="23">
        <f>IFERROR(IPMT(Assumptions!$D$16/12,Model_30y!A245, 360,Assumptions!$D$8), 0)</f>
        <v>-1060.9957066584266</v>
      </c>
      <c r="D245" s="2">
        <f>IFERROR(PPMT(Assumptions!$D$16/12, Model_30y!A245, 360, Assumptions!$D$8), 0)</f>
        <v>-1137.4619262745118</v>
      </c>
      <c r="E245" s="2">
        <f t="shared" si="52"/>
        <v>-2198.4576329329384</v>
      </c>
      <c r="F245" s="2">
        <f>IF(I244&gt;1, Assumptions!$E$18, 0)*-1</f>
        <v>-2198.4576329329379</v>
      </c>
      <c r="G245" s="24">
        <f t="shared" si="53"/>
        <v>1</v>
      </c>
      <c r="H245" s="20">
        <f t="shared" si="59"/>
        <v>151673.942880127</v>
      </c>
      <c r="I245" s="2">
        <f>MAX(Assumptions!$D$8-SUM(Model_30y!H245), 0)</f>
        <v>188326.057119873</v>
      </c>
      <c r="J245" s="2">
        <f>J244*(1+(Assumptions!$E$51))</f>
        <v>1141490.3285516072</v>
      </c>
      <c r="K245" s="22">
        <f t="shared" si="54"/>
        <v>953164.2714317342</v>
      </c>
      <c r="L245" s="5">
        <f t="shared" si="60"/>
        <v>236673.94288012697</v>
      </c>
      <c r="M245" s="63">
        <f>L245/Assumptions!$D$6</f>
        <v>0.55687986560029878</v>
      </c>
      <c r="N245" s="24">
        <f t="shared" si="68"/>
        <v>0</v>
      </c>
      <c r="O245" s="5">
        <f>N245*Assumptions!$E$25*-1</f>
        <v>0</v>
      </c>
      <c r="P245" s="20">
        <f>Assumptions!$E$35*J245*-1</f>
        <v>-2351.2831804253074</v>
      </c>
      <c r="Q245" s="5">
        <f>J245*Assumptions!$E$36*-1</f>
        <v>-946.90973469108144</v>
      </c>
      <c r="R245" s="5">
        <f>(R233+(Model_30y!R233*Assumptions!$D$51))</f>
        <v>-862.10064602984119</v>
      </c>
      <c r="S245" s="5">
        <f>S233+(S233*Assumptions!$D$51)</f>
        <v>0</v>
      </c>
      <c r="T245" s="5">
        <f t="shared" si="63"/>
        <v>0</v>
      </c>
      <c r="U245" s="22">
        <f t="shared" si="55"/>
        <v>-4160.2935611462299</v>
      </c>
      <c r="V245" s="5">
        <f>MAX(Assumptions!$E$18:$E$19)-U245</f>
        <v>7001.9265729449271</v>
      </c>
      <c r="W245" s="5">
        <f t="shared" si="56"/>
        <v>-2198.4576329329379</v>
      </c>
      <c r="X245" s="5">
        <f t="shared" si="61"/>
        <v>-4160.2935611462299</v>
      </c>
      <c r="Y245" s="5">
        <f>C245*Assumptions!$D$44*-1</f>
        <v>159.14935599876398</v>
      </c>
      <c r="Z245" s="5">
        <f t="shared" si="57"/>
        <v>802.32473486452375</v>
      </c>
      <c r="AA245" s="5">
        <f t="shared" si="64"/>
        <v>548653.46690668957</v>
      </c>
      <c r="AB245" s="3">
        <f>Assumptions!$E$45</f>
        <v>6.9899151946608562E-3</v>
      </c>
      <c r="AC245" s="5">
        <f t="shared" si="65"/>
        <v>553290.83284648857</v>
      </c>
      <c r="AD245" s="5">
        <f>AC245*Assumptions!$E$43</f>
        <v>495.51371397114292</v>
      </c>
      <c r="AE245" s="2">
        <f>AD245*Assumptions!$D$44*-1</f>
        <v>-74.327057095671435</v>
      </c>
      <c r="AF245" s="2">
        <f>AC245*Assumptions!$E$46*-1</f>
        <v>-18.43964740367533</v>
      </c>
      <c r="AG245" s="22">
        <f t="shared" si="66"/>
        <v>553198.0661419892</v>
      </c>
      <c r="AH245" s="5">
        <f>Model_30y[[#This Row],[Mortgage Payment]]+Model_30y[[#This Row],[Total Upkeep]]+Model_30y[[#This Row],[Monthly Investment]]</f>
        <v>-5556.4264592146446</v>
      </c>
      <c r="AI245" s="5">
        <f>Model_Renter!D245*-1</f>
        <v>5743.8631801741631</v>
      </c>
      <c r="AJ245" s="5">
        <f t="shared" si="67"/>
        <v>187.43672095951842</v>
      </c>
    </row>
    <row r="246" spans="1:36" x14ac:dyDescent="0.25">
      <c r="A246" s="17">
        <f t="shared" si="62"/>
        <v>244</v>
      </c>
      <c r="B246" s="17">
        <f t="shared" si="58"/>
        <v>21</v>
      </c>
      <c r="C246" s="23">
        <f>IFERROR(IPMT(Assumptions!$D$16/12,Model_30y!A246, 360,Assumptions!$D$8), 0)</f>
        <v>-1054.6259198712894</v>
      </c>
      <c r="D246" s="2">
        <f>IFERROR(PPMT(Assumptions!$D$16/12, Model_30y!A246, 360, Assumptions!$D$8), 0)</f>
        <v>-1143.831713061649</v>
      </c>
      <c r="E246" s="2">
        <f t="shared" si="52"/>
        <v>-2198.4576329329384</v>
      </c>
      <c r="F246" s="2">
        <f>IF(I245&gt;1, Assumptions!$E$18, 0)*-1</f>
        <v>-2198.4576329329379</v>
      </c>
      <c r="G246" s="24">
        <f t="shared" si="53"/>
        <v>1</v>
      </c>
      <c r="H246" s="20">
        <f t="shared" si="59"/>
        <v>152817.77459318866</v>
      </c>
      <c r="I246" s="2">
        <f>MAX(Assumptions!$D$8-SUM(Model_30y!H246), 0)</f>
        <v>187182.22540681134</v>
      </c>
      <c r="J246" s="2">
        <f>J245*(1+(Assumptions!$E$51))</f>
        <v>1146140.9014479639</v>
      </c>
      <c r="K246" s="22">
        <f t="shared" si="54"/>
        <v>958958.67604115256</v>
      </c>
      <c r="L246" s="5">
        <f t="shared" si="60"/>
        <v>237817.77459318863</v>
      </c>
      <c r="M246" s="63">
        <f>L246/Assumptions!$D$6</f>
        <v>0.55957123433691447</v>
      </c>
      <c r="N246" s="24">
        <f t="shared" si="68"/>
        <v>0</v>
      </c>
      <c r="O246" s="5">
        <f>N246*Assumptions!$E$25*-1</f>
        <v>0</v>
      </c>
      <c r="P246" s="20">
        <f>Assumptions!$E$35*J246*-1</f>
        <v>-2360.8625991527706</v>
      </c>
      <c r="Q246" s="5">
        <f>J246*Assumptions!$E$36*-1</f>
        <v>-950.76756216215449</v>
      </c>
      <c r="R246" s="5">
        <f>(R234+(Model_30y!R234*Assumptions!$D$51))</f>
        <v>-862.10064602984119</v>
      </c>
      <c r="S246" s="5">
        <f>S234+(S234*Assumptions!$D$51)</f>
        <v>0</v>
      </c>
      <c r="T246" s="5">
        <f t="shared" si="63"/>
        <v>0</v>
      </c>
      <c r="U246" s="22">
        <f t="shared" si="55"/>
        <v>-4173.7308073447666</v>
      </c>
      <c r="V246" s="5">
        <f>MAX(Assumptions!$E$18:$E$19)-U246</f>
        <v>7015.3638191434638</v>
      </c>
      <c r="W246" s="5">
        <f t="shared" si="56"/>
        <v>-2198.4576329329379</v>
      </c>
      <c r="X246" s="5">
        <f t="shared" si="61"/>
        <v>-4173.7308073447666</v>
      </c>
      <c r="Y246" s="5">
        <f>C246*Assumptions!$D$44*-1</f>
        <v>158.1938879806934</v>
      </c>
      <c r="Z246" s="5">
        <f t="shared" si="57"/>
        <v>801.36926684645312</v>
      </c>
      <c r="AA246" s="5">
        <f t="shared" si="64"/>
        <v>553198.0661419892</v>
      </c>
      <c r="AB246" s="3">
        <f>Assumptions!$E$45</f>
        <v>6.9899151946608562E-3</v>
      </c>
      <c r="AC246" s="5">
        <f t="shared" si="65"/>
        <v>557866.24297701858</v>
      </c>
      <c r="AD246" s="5">
        <f>AC246*Assumptions!$E$43</f>
        <v>499.61133918401021</v>
      </c>
      <c r="AE246" s="2">
        <f>AD246*Assumptions!$D$44*-1</f>
        <v>-74.941700877601534</v>
      </c>
      <c r="AF246" s="2">
        <f>AC246*Assumptions!$E$46*-1</f>
        <v>-18.592133120997136</v>
      </c>
      <c r="AG246" s="22">
        <f t="shared" si="66"/>
        <v>557772.70914301998</v>
      </c>
      <c r="AH246" s="5">
        <f>Model_30y[[#This Row],[Mortgage Payment]]+Model_30y[[#This Row],[Total Upkeep]]+Model_30y[[#This Row],[Monthly Investment]]</f>
        <v>-5570.8191734312522</v>
      </c>
      <c r="AI246" s="5">
        <f>Model_Renter!D246*-1</f>
        <v>5743.8631801741631</v>
      </c>
      <c r="AJ246" s="5">
        <f t="shared" si="67"/>
        <v>173.04400674291082</v>
      </c>
    </row>
    <row r="247" spans="1:36" x14ac:dyDescent="0.25">
      <c r="A247" s="17">
        <f t="shared" si="62"/>
        <v>245</v>
      </c>
      <c r="B247" s="17">
        <f t="shared" si="58"/>
        <v>21</v>
      </c>
      <c r="C247" s="23">
        <f>IFERROR(IPMT(Assumptions!$D$16/12,Model_30y!A247, 360,Assumptions!$D$8), 0)</f>
        <v>-1048.2204622781437</v>
      </c>
      <c r="D247" s="2">
        <f>IFERROR(PPMT(Assumptions!$D$16/12, Model_30y!A247, 360, Assumptions!$D$8), 0)</f>
        <v>-1150.237170654794</v>
      </c>
      <c r="E247" s="2">
        <f t="shared" si="52"/>
        <v>-2198.4576329329375</v>
      </c>
      <c r="F247" s="2">
        <f>IF(I246&gt;1, Assumptions!$E$18, 0)*-1</f>
        <v>-2198.4576329329379</v>
      </c>
      <c r="G247" s="24">
        <f t="shared" si="53"/>
        <v>1</v>
      </c>
      <c r="H247" s="20">
        <f t="shared" si="59"/>
        <v>153968.01176384345</v>
      </c>
      <c r="I247" s="2">
        <f>MAX(Assumptions!$D$8-SUM(Model_30y!H247), 0)</f>
        <v>186031.98823615655</v>
      </c>
      <c r="J247" s="2">
        <f>J246*(1+(Assumptions!$E$51))</f>
        <v>1150810.4213539653</v>
      </c>
      <c r="K247" s="22">
        <f t="shared" si="54"/>
        <v>964778.43311780877</v>
      </c>
      <c r="L247" s="5">
        <f t="shared" si="60"/>
        <v>238968.01176384342</v>
      </c>
      <c r="M247" s="63">
        <f>L247/Assumptions!$D$6</f>
        <v>0.56227767473845514</v>
      </c>
      <c r="N247" s="24">
        <f t="shared" si="68"/>
        <v>0</v>
      </c>
      <c r="O247" s="5">
        <f>N247*Assumptions!$E$25*-1</f>
        <v>0</v>
      </c>
      <c r="P247" s="20">
        <f>Assumptions!$E$35*J247*-1</f>
        <v>-2370.4810456179048</v>
      </c>
      <c r="Q247" s="5">
        <f>J247*Assumptions!$E$36*-1</f>
        <v>-954.64110689988081</v>
      </c>
      <c r="R247" s="5">
        <f>(R235+(Model_30y!R235*Assumptions!$D$51))</f>
        <v>-862.10064602984119</v>
      </c>
      <c r="S247" s="5">
        <f>S235+(S235*Assumptions!$D$51)</f>
        <v>0</v>
      </c>
      <c r="T247" s="5">
        <f t="shared" si="63"/>
        <v>0</v>
      </c>
      <c r="U247" s="22">
        <f t="shared" si="55"/>
        <v>-4187.2227985476266</v>
      </c>
      <c r="V247" s="5">
        <f>MAX(Assumptions!$E$18:$E$19)-U247</f>
        <v>7028.8558103463238</v>
      </c>
      <c r="W247" s="5">
        <f t="shared" si="56"/>
        <v>-2198.4576329329379</v>
      </c>
      <c r="X247" s="5">
        <f t="shared" si="61"/>
        <v>-4187.2227985476266</v>
      </c>
      <c r="Y247" s="5">
        <f>C247*Assumptions!$D$44*-1</f>
        <v>157.23306934172155</v>
      </c>
      <c r="Z247" s="5">
        <f t="shared" si="57"/>
        <v>800.40844820748134</v>
      </c>
      <c r="AA247" s="5">
        <f t="shared" si="64"/>
        <v>557772.70914301998</v>
      </c>
      <c r="AB247" s="3">
        <f>Assumptions!$E$45</f>
        <v>6.9899151946608562E-3</v>
      </c>
      <c r="AC247" s="5">
        <f t="shared" si="65"/>
        <v>562471.9015260333</v>
      </c>
      <c r="AD247" s="5">
        <f>AC247*Assumptions!$E$43</f>
        <v>503.73605413936968</v>
      </c>
      <c r="AE247" s="2">
        <f>AD247*Assumptions!$D$44*-1</f>
        <v>-75.56040812090545</v>
      </c>
      <c r="AF247" s="2">
        <f>AC247*Assumptions!$E$46*-1</f>
        <v>-18.745626934130886</v>
      </c>
      <c r="AG247" s="22">
        <f t="shared" si="66"/>
        <v>562377.59549097822</v>
      </c>
      <c r="AH247" s="5">
        <f>Model_30y[[#This Row],[Mortgage Payment]]+Model_30y[[#This Row],[Total Upkeep]]+Model_30y[[#This Row],[Monthly Investment]]</f>
        <v>-5585.2719832730836</v>
      </c>
      <c r="AI247" s="5">
        <f>Model_Renter!D247*-1</f>
        <v>5743.8631801741631</v>
      </c>
      <c r="AJ247" s="5">
        <f t="shared" si="67"/>
        <v>158.59119690107946</v>
      </c>
    </row>
    <row r="248" spans="1:36" x14ac:dyDescent="0.25">
      <c r="A248" s="17">
        <f t="shared" si="62"/>
        <v>246</v>
      </c>
      <c r="B248" s="17">
        <f t="shared" si="58"/>
        <v>21</v>
      </c>
      <c r="C248" s="23">
        <f>IFERROR(IPMT(Assumptions!$D$16/12,Model_30y!A248, 360,Assumptions!$D$8), 0)</f>
        <v>-1041.7791341224768</v>
      </c>
      <c r="D248" s="2">
        <f>IFERROR(PPMT(Assumptions!$D$16/12, Model_30y!A248, 360, Assumptions!$D$8), 0)</f>
        <v>-1156.678498810461</v>
      </c>
      <c r="E248" s="2">
        <f t="shared" si="52"/>
        <v>-2198.4576329329375</v>
      </c>
      <c r="F248" s="2">
        <f>IF(I247&gt;1, Assumptions!$E$18, 0)*-1</f>
        <v>-2198.4576329329379</v>
      </c>
      <c r="G248" s="24">
        <f t="shared" si="53"/>
        <v>1</v>
      </c>
      <c r="H248" s="20">
        <f t="shared" si="59"/>
        <v>155124.69026265389</v>
      </c>
      <c r="I248" s="2">
        <f>MAX(Assumptions!$D$8-SUM(Model_30y!H248), 0)</f>
        <v>184875.30973734611</v>
      </c>
      <c r="J248" s="2">
        <f>J247*(1+(Assumptions!$E$51))</f>
        <v>1155498.9654620739</v>
      </c>
      <c r="K248" s="22">
        <f t="shared" si="54"/>
        <v>970623.65572472778</v>
      </c>
      <c r="L248" s="5">
        <f t="shared" si="60"/>
        <v>240124.69026265386</v>
      </c>
      <c r="M248" s="63">
        <f>L248/Assumptions!$D$6</f>
        <v>0.56499927120624438</v>
      </c>
      <c r="N248" s="24">
        <f t="shared" si="68"/>
        <v>0</v>
      </c>
      <c r="O248" s="5">
        <f>N248*Assumptions!$E$25*-1</f>
        <v>0</v>
      </c>
      <c r="P248" s="20">
        <f>Assumptions!$E$35*J248*-1</f>
        <v>-2380.1386788245445</v>
      </c>
      <c r="Q248" s="5">
        <f>J248*Assumptions!$E$36*-1</f>
        <v>-958.53043293835003</v>
      </c>
      <c r="R248" s="5">
        <f>(R236+(Model_30y!R236*Assumptions!$D$51))</f>
        <v>-862.10064602984119</v>
      </c>
      <c r="S248" s="5">
        <f>S236+(S236*Assumptions!$D$51)</f>
        <v>0</v>
      </c>
      <c r="T248" s="5">
        <f t="shared" si="63"/>
        <v>0</v>
      </c>
      <c r="U248" s="22">
        <f t="shared" si="55"/>
        <v>-4200.7697577927356</v>
      </c>
      <c r="V248" s="5">
        <f>MAX(Assumptions!$E$18:$E$19)-U248</f>
        <v>7042.4027695914319</v>
      </c>
      <c r="W248" s="5">
        <f t="shared" si="56"/>
        <v>-2198.4576329329379</v>
      </c>
      <c r="X248" s="5">
        <f t="shared" si="61"/>
        <v>-4200.7697577927356</v>
      </c>
      <c r="Y248" s="5">
        <f>C248*Assumptions!$D$44*-1</f>
        <v>156.26687011837151</v>
      </c>
      <c r="Z248" s="5">
        <f t="shared" si="57"/>
        <v>799.4422489841304</v>
      </c>
      <c r="AA248" s="5">
        <f t="shared" si="64"/>
        <v>562377.59549097822</v>
      </c>
      <c r="AB248" s="3">
        <f>Assumptions!$E$45</f>
        <v>6.9899151946608562E-3</v>
      </c>
      <c r="AC248" s="5">
        <f t="shared" si="65"/>
        <v>567108.00943982159</v>
      </c>
      <c r="AD248" s="5">
        <f>AC248*Assumptions!$E$43</f>
        <v>507.8880387997944</v>
      </c>
      <c r="AE248" s="2">
        <f>AD248*Assumptions!$D$44*-1</f>
        <v>-76.18320581996916</v>
      </c>
      <c r="AF248" s="2">
        <f>AC248*Assumptions!$E$46*-1</f>
        <v>-18.900135540058507</v>
      </c>
      <c r="AG248" s="22">
        <f t="shared" si="66"/>
        <v>567012.92609846161</v>
      </c>
      <c r="AH248" s="5">
        <f>Model_30y[[#This Row],[Mortgage Payment]]+Model_30y[[#This Row],[Total Upkeep]]+Model_30y[[#This Row],[Monthly Investment]]</f>
        <v>-5599.7851417415422</v>
      </c>
      <c r="AI248" s="5">
        <f>Model_Renter!D248*-1</f>
        <v>5743.8631801741631</v>
      </c>
      <c r="AJ248" s="5">
        <f t="shared" si="67"/>
        <v>144.07803843262082</v>
      </c>
    </row>
    <row r="249" spans="1:36" x14ac:dyDescent="0.25">
      <c r="A249" s="17">
        <f t="shared" si="62"/>
        <v>247</v>
      </c>
      <c r="B249" s="17">
        <f t="shared" si="58"/>
        <v>21</v>
      </c>
      <c r="C249" s="23">
        <f>IFERROR(IPMT(Assumptions!$D$16/12,Model_30y!A249, 360,Assumptions!$D$8), 0)</f>
        <v>-1035.3017345291385</v>
      </c>
      <c r="D249" s="2">
        <f>IFERROR(PPMT(Assumptions!$D$16/12, Model_30y!A249, 360, Assumptions!$D$8), 0)</f>
        <v>-1163.1558984037995</v>
      </c>
      <c r="E249" s="2">
        <f t="shared" si="52"/>
        <v>-2198.4576329329379</v>
      </c>
      <c r="F249" s="2">
        <f>IF(I248&gt;1, Assumptions!$E$18, 0)*-1</f>
        <v>-2198.4576329329379</v>
      </c>
      <c r="G249" s="24">
        <f t="shared" si="53"/>
        <v>1</v>
      </c>
      <c r="H249" s="20">
        <f t="shared" si="59"/>
        <v>156287.84616105771</v>
      </c>
      <c r="I249" s="2">
        <f>MAX(Assumptions!$D$8-SUM(Model_30y!H249), 0)</f>
        <v>183712.15383894229</v>
      </c>
      <c r="J249" s="2">
        <f>J248*(1+(Assumptions!$E$51))</f>
        <v>1160206.6112792441</v>
      </c>
      <c r="K249" s="22">
        <f t="shared" si="54"/>
        <v>976494.45744030178</v>
      </c>
      <c r="L249" s="5">
        <f t="shared" si="60"/>
        <v>241287.84616105768</v>
      </c>
      <c r="M249" s="63">
        <f>L249/Assumptions!$D$6</f>
        <v>0.56773610861425339</v>
      </c>
      <c r="N249" s="24">
        <f t="shared" si="68"/>
        <v>0</v>
      </c>
      <c r="O249" s="5">
        <f>N249*Assumptions!$E$25*-1</f>
        <v>0</v>
      </c>
      <c r="P249" s="20">
        <f>Assumptions!$E$35*J249*-1</f>
        <v>-2389.8356584243247</v>
      </c>
      <c r="Q249" s="5">
        <f>J249*Assumptions!$E$36*-1</f>
        <v>-962.43560457253488</v>
      </c>
      <c r="R249" s="5">
        <f>(R237+(Model_30y!R237*Assumptions!$D$51))</f>
        <v>-862.10064602984119</v>
      </c>
      <c r="S249" s="5">
        <f>S237+(S237*Assumptions!$D$51)</f>
        <v>0</v>
      </c>
      <c r="T249" s="5">
        <f t="shared" si="63"/>
        <v>0</v>
      </c>
      <c r="U249" s="22">
        <f t="shared" si="55"/>
        <v>-4214.3719090267005</v>
      </c>
      <c r="V249" s="5">
        <f>MAX(Assumptions!$E$18:$E$19)-U249</f>
        <v>7056.0049208253968</v>
      </c>
      <c r="W249" s="5">
        <f t="shared" si="56"/>
        <v>-2198.4576329329379</v>
      </c>
      <c r="X249" s="5">
        <f t="shared" si="61"/>
        <v>-4214.3719090267005</v>
      </c>
      <c r="Y249" s="5">
        <f>C249*Assumptions!$D$44*-1</f>
        <v>155.29526017937076</v>
      </c>
      <c r="Z249" s="5">
        <f t="shared" si="57"/>
        <v>798.47063904512959</v>
      </c>
      <c r="AA249" s="5">
        <f t="shared" si="64"/>
        <v>567012.92609846161</v>
      </c>
      <c r="AB249" s="3">
        <f>Assumptions!$E$45</f>
        <v>6.9899151946608562E-3</v>
      </c>
      <c r="AC249" s="5">
        <f t="shared" si="65"/>
        <v>571774.76900521154</v>
      </c>
      <c r="AD249" s="5">
        <f>AC249*Assumptions!$E$43</f>
        <v>512.06747432841144</v>
      </c>
      <c r="AE249" s="2">
        <f>AD249*Assumptions!$D$44*-1</f>
        <v>-76.810121149261718</v>
      </c>
      <c r="AF249" s="2">
        <f>AC249*Assumptions!$E$46*-1</f>
        <v>-19.055665680438398</v>
      </c>
      <c r="AG249" s="22">
        <f t="shared" si="66"/>
        <v>571678.90321838181</v>
      </c>
      <c r="AH249" s="5">
        <f>Model_30y[[#This Row],[Mortgage Payment]]+Model_30y[[#This Row],[Total Upkeep]]+Model_30y[[#This Row],[Monthly Investment]]</f>
        <v>-5614.3589029145087</v>
      </c>
      <c r="AI249" s="5">
        <f>Model_Renter!D249*-1</f>
        <v>5743.8631801741631</v>
      </c>
      <c r="AJ249" s="5">
        <f t="shared" si="67"/>
        <v>129.50427725965437</v>
      </c>
    </row>
    <row r="250" spans="1:36" x14ac:dyDescent="0.25">
      <c r="A250" s="17">
        <f t="shared" si="62"/>
        <v>248</v>
      </c>
      <c r="B250" s="17">
        <f t="shared" si="58"/>
        <v>21</v>
      </c>
      <c r="C250" s="23">
        <f>IFERROR(IPMT(Assumptions!$D$16/12,Model_30y!A250, 360,Assumptions!$D$8), 0)</f>
        <v>-1028.7880614980772</v>
      </c>
      <c r="D250" s="2">
        <f>IFERROR(PPMT(Assumptions!$D$16/12, Model_30y!A250, 360, Assumptions!$D$8), 0)</f>
        <v>-1169.6695714348609</v>
      </c>
      <c r="E250" s="2">
        <f t="shared" si="52"/>
        <v>-2198.4576329329384</v>
      </c>
      <c r="F250" s="2">
        <f>IF(I249&gt;1, Assumptions!$E$18, 0)*-1</f>
        <v>-2198.4576329329379</v>
      </c>
      <c r="G250" s="24">
        <f t="shared" si="53"/>
        <v>1</v>
      </c>
      <c r="H250" s="20">
        <f t="shared" si="59"/>
        <v>157457.51573249258</v>
      </c>
      <c r="I250" s="2">
        <f>MAX(Assumptions!$D$8-SUM(Model_30y!H250), 0)</f>
        <v>182542.48426750742</v>
      </c>
      <c r="J250" s="2">
        <f>J249*(1+(Assumptions!$E$51))</f>
        <v>1164933.4366282029</v>
      </c>
      <c r="K250" s="22">
        <f t="shared" si="54"/>
        <v>982390.95236069546</v>
      </c>
      <c r="L250" s="5">
        <f t="shared" si="60"/>
        <v>242457.51573249255</v>
      </c>
      <c r="M250" s="63">
        <f>L250/Assumptions!$D$6</f>
        <v>0.57048827231174715</v>
      </c>
      <c r="N250" s="24">
        <f t="shared" si="68"/>
        <v>0</v>
      </c>
      <c r="O250" s="5">
        <f>N250*Assumptions!$E$25*-1</f>
        <v>0</v>
      </c>
      <c r="P250" s="20">
        <f>Assumptions!$E$35*J250*-1</f>
        <v>-2399.5721447193223</v>
      </c>
      <c r="Q250" s="5">
        <f>J250*Assumptions!$E$36*-1</f>
        <v>-966.35668635935383</v>
      </c>
      <c r="R250" s="5">
        <f>(R238+(Model_30y!R238*Assumptions!$D$51))</f>
        <v>-862.10064602984119</v>
      </c>
      <c r="S250" s="5">
        <f>S238+(S238*Assumptions!$D$51)</f>
        <v>0</v>
      </c>
      <c r="T250" s="5">
        <f t="shared" si="63"/>
        <v>0</v>
      </c>
      <c r="U250" s="22">
        <f t="shared" si="55"/>
        <v>-4228.0294771085173</v>
      </c>
      <c r="V250" s="5">
        <f>MAX(Assumptions!$E$18:$E$19)-U250</f>
        <v>7069.6624889072136</v>
      </c>
      <c r="W250" s="5">
        <f t="shared" si="56"/>
        <v>-2198.4576329329379</v>
      </c>
      <c r="X250" s="5">
        <f t="shared" si="61"/>
        <v>-4228.0294771085173</v>
      </c>
      <c r="Y250" s="5">
        <f>C250*Assumptions!$D$44*-1</f>
        <v>154.31820922471158</v>
      </c>
      <c r="Z250" s="5">
        <f t="shared" si="57"/>
        <v>797.49358809047044</v>
      </c>
      <c r="AA250" s="5">
        <f t="shared" si="64"/>
        <v>571678.90321838181</v>
      </c>
      <c r="AB250" s="3">
        <f>Assumptions!$E$45</f>
        <v>6.9899151946608562E-3</v>
      </c>
      <c r="AC250" s="5">
        <f t="shared" si="65"/>
        <v>576472.38385854557</v>
      </c>
      <c r="AD250" s="5">
        <f>AC250*Assumptions!$E$43</f>
        <v>516.27454309693996</v>
      </c>
      <c r="AE250" s="2">
        <f>AD250*Assumptions!$D$44*-1</f>
        <v>-77.441181464540989</v>
      </c>
      <c r="AF250" s="2">
        <f>AC250*Assumptions!$E$46*-1</f>
        <v>-19.212224141904503</v>
      </c>
      <c r="AG250" s="22">
        <f t="shared" si="66"/>
        <v>576375.73045293917</v>
      </c>
      <c r="AH250" s="5">
        <f>Model_30y[[#This Row],[Mortgage Payment]]+Model_30y[[#This Row],[Total Upkeep]]+Model_30y[[#This Row],[Monthly Investment]]</f>
        <v>-5628.9935219509844</v>
      </c>
      <c r="AI250" s="5">
        <f>Model_Renter!D250*-1</f>
        <v>5743.8631801741631</v>
      </c>
      <c r="AJ250" s="5">
        <f t="shared" si="67"/>
        <v>114.8696582231787</v>
      </c>
    </row>
    <row r="251" spans="1:36" x14ac:dyDescent="0.25">
      <c r="A251" s="17">
        <f t="shared" si="62"/>
        <v>249</v>
      </c>
      <c r="B251" s="17">
        <f t="shared" si="58"/>
        <v>21</v>
      </c>
      <c r="C251" s="23">
        <f>IFERROR(IPMT(Assumptions!$D$16/12,Model_30y!A251, 360,Assumptions!$D$8), 0)</f>
        <v>-1022.2379118980421</v>
      </c>
      <c r="D251" s="2">
        <f>IFERROR(PPMT(Assumptions!$D$16/12, Model_30y!A251, 360, Assumptions!$D$8), 0)</f>
        <v>-1176.2197210348961</v>
      </c>
      <c r="E251" s="2">
        <f t="shared" si="52"/>
        <v>-2198.4576329329384</v>
      </c>
      <c r="F251" s="2">
        <f>IF(I250&gt;1, Assumptions!$E$18, 0)*-1</f>
        <v>-2198.4576329329379</v>
      </c>
      <c r="G251" s="24">
        <f t="shared" si="53"/>
        <v>1</v>
      </c>
      <c r="H251" s="20">
        <f t="shared" si="59"/>
        <v>158633.73545352748</v>
      </c>
      <c r="I251" s="2">
        <f>MAX(Assumptions!$D$8-SUM(Model_30y!H251), 0)</f>
        <v>181366.26454647252</v>
      </c>
      <c r="J251" s="2">
        <f>J250*(1+(Assumptions!$E$51))</f>
        <v>1169679.519648737</v>
      </c>
      <c r="K251" s="22">
        <f t="shared" si="54"/>
        <v>988313.25510226446</v>
      </c>
      <c r="L251" s="5">
        <f t="shared" si="60"/>
        <v>243633.73545352745</v>
      </c>
      <c r="M251" s="63">
        <f>L251/Assumptions!$D$6</f>
        <v>0.57325584812594699</v>
      </c>
      <c r="N251" s="24">
        <f t="shared" si="68"/>
        <v>0</v>
      </c>
      <c r="O251" s="5">
        <f>N251*Assumptions!$E$25*-1</f>
        <v>0</v>
      </c>
      <c r="P251" s="20">
        <f>Assumptions!$E$35*J251*-1</f>
        <v>-2409.3482986647032</v>
      </c>
      <c r="Q251" s="5">
        <f>J251*Assumptions!$E$36*-1</f>
        <v>-970.29374311873812</v>
      </c>
      <c r="R251" s="5">
        <f>(R239+(Model_30y!R239*Assumptions!$D$51))</f>
        <v>-862.10064602984119</v>
      </c>
      <c r="S251" s="5">
        <f>S239+(S239*Assumptions!$D$51)</f>
        <v>0</v>
      </c>
      <c r="T251" s="5">
        <f t="shared" si="63"/>
        <v>0</v>
      </c>
      <c r="U251" s="22">
        <f t="shared" si="55"/>
        <v>-4241.7426878132828</v>
      </c>
      <c r="V251" s="5">
        <f>MAX(Assumptions!$E$18:$E$19)-U251</f>
        <v>7083.3756996119791</v>
      </c>
      <c r="W251" s="5">
        <f t="shared" si="56"/>
        <v>-2198.4576329329379</v>
      </c>
      <c r="X251" s="5">
        <f t="shared" si="61"/>
        <v>-4241.7426878132828</v>
      </c>
      <c r="Y251" s="5">
        <f>C251*Assumptions!$D$44*-1</f>
        <v>153.3356867847063</v>
      </c>
      <c r="Z251" s="5">
        <f t="shared" si="57"/>
        <v>796.51106565046507</v>
      </c>
      <c r="AA251" s="5">
        <f t="shared" si="64"/>
        <v>576375.73045293917</v>
      </c>
      <c r="AB251" s="3">
        <f>Assumptions!$E$45</f>
        <v>6.9899151946608562E-3</v>
      </c>
      <c r="AC251" s="5">
        <f t="shared" si="65"/>
        <v>581201.05899471638</v>
      </c>
      <c r="AD251" s="5">
        <f>AC251*Assumptions!$E$43</f>
        <v>520.50942869378321</v>
      </c>
      <c r="AE251" s="2">
        <f>AD251*Assumptions!$D$44*-1</f>
        <v>-78.076414304067484</v>
      </c>
      <c r="AF251" s="2">
        <f>AC251*Assumptions!$E$46*-1</f>
        <v>-19.369817756367496</v>
      </c>
      <c r="AG251" s="22">
        <f t="shared" si="66"/>
        <v>581103.61276265595</v>
      </c>
      <c r="AH251" s="5">
        <f>Model_30y[[#This Row],[Mortgage Payment]]+Model_30y[[#This Row],[Total Upkeep]]+Model_30y[[#This Row],[Monthly Investment]]</f>
        <v>-5643.6892550957555</v>
      </c>
      <c r="AI251" s="5">
        <f>Model_Renter!D251*-1</f>
        <v>5743.8631801741631</v>
      </c>
      <c r="AJ251" s="5">
        <f t="shared" si="67"/>
        <v>100.17392507840759</v>
      </c>
    </row>
    <row r="252" spans="1:36" x14ac:dyDescent="0.25">
      <c r="A252" s="17">
        <f t="shared" si="62"/>
        <v>250</v>
      </c>
      <c r="B252" s="17">
        <f t="shared" si="58"/>
        <v>21</v>
      </c>
      <c r="C252" s="23">
        <f>IFERROR(IPMT(Assumptions!$D$16/12,Model_30y!A252, 360,Assumptions!$D$8), 0)</f>
        <v>-1015.6510814602462</v>
      </c>
      <c r="D252" s="2">
        <f>IFERROR(PPMT(Assumptions!$D$16/12, Model_30y!A252, 360, Assumptions!$D$8), 0)</f>
        <v>-1182.8065514726916</v>
      </c>
      <c r="E252" s="2">
        <f t="shared" si="52"/>
        <v>-2198.4576329329379</v>
      </c>
      <c r="F252" s="2">
        <f>IF(I251&gt;1, Assumptions!$E$18, 0)*-1</f>
        <v>-2198.4576329329379</v>
      </c>
      <c r="G252" s="24">
        <f t="shared" si="53"/>
        <v>1</v>
      </c>
      <c r="H252" s="20">
        <f t="shared" si="59"/>
        <v>159816.54200500017</v>
      </c>
      <c r="I252" s="2">
        <f>MAX(Assumptions!$D$8-SUM(Model_30y!H252), 0)</f>
        <v>180183.45799499983</v>
      </c>
      <c r="J252" s="2">
        <f>J251*(1+(Assumptions!$E$51))</f>
        <v>1174444.9387989843</v>
      </c>
      <c r="K252" s="22">
        <f t="shared" si="54"/>
        <v>994261.48080398445</v>
      </c>
      <c r="L252" s="5">
        <f t="shared" si="60"/>
        <v>244816.54200500014</v>
      </c>
      <c r="M252" s="63">
        <f>L252/Assumptions!$D$6</f>
        <v>0.57603892236470622</v>
      </c>
      <c r="N252" s="24">
        <f t="shared" si="68"/>
        <v>0</v>
      </c>
      <c r="O252" s="5">
        <f>N252*Assumptions!$E$25*-1</f>
        <v>0</v>
      </c>
      <c r="P252" s="20">
        <f>Assumptions!$E$35*J252*-1</f>
        <v>-2419.1642818713858</v>
      </c>
      <c r="Q252" s="5">
        <f>J252*Assumptions!$E$36*-1</f>
        <v>-974.2468399347033</v>
      </c>
      <c r="R252" s="5">
        <f>(R240+(Model_30y!R240*Assumptions!$D$51))</f>
        <v>-862.10064602984119</v>
      </c>
      <c r="S252" s="5">
        <f>S240+(S240*Assumptions!$D$51)</f>
        <v>0</v>
      </c>
      <c r="T252" s="5">
        <f t="shared" si="63"/>
        <v>0</v>
      </c>
      <c r="U252" s="22">
        <f t="shared" si="55"/>
        <v>-4255.5117678359302</v>
      </c>
      <c r="V252" s="5">
        <f>MAX(Assumptions!$E$18:$E$19)-U252</f>
        <v>7097.1447796346274</v>
      </c>
      <c r="W252" s="5">
        <f t="shared" si="56"/>
        <v>-2198.4576329329379</v>
      </c>
      <c r="X252" s="5">
        <f t="shared" si="61"/>
        <v>-4255.5117678359302</v>
      </c>
      <c r="Y252" s="5">
        <f>C252*Assumptions!$D$44*-1</f>
        <v>152.34766221903692</v>
      </c>
      <c r="Z252" s="5">
        <f t="shared" si="57"/>
        <v>795.52304108479666</v>
      </c>
      <c r="AA252" s="5">
        <f t="shared" si="64"/>
        <v>581103.61276265595</v>
      </c>
      <c r="AB252" s="3">
        <f>Assumptions!$E$45</f>
        <v>6.9899151946608562E-3</v>
      </c>
      <c r="AC252" s="5">
        <f t="shared" si="65"/>
        <v>585961.00077626272</v>
      </c>
      <c r="AD252" s="5">
        <f>AC252*Assumptions!$E$43</f>
        <v>524.77231593217493</v>
      </c>
      <c r="AE252" s="2">
        <f>AD252*Assumptions!$D$44*-1</f>
        <v>-78.715847389826237</v>
      </c>
      <c r="AF252" s="2">
        <f>AC252*Assumptions!$E$46*-1</f>
        <v>-19.528453401317876</v>
      </c>
      <c r="AG252" s="22">
        <f t="shared" si="66"/>
        <v>585862.75647547154</v>
      </c>
      <c r="AH252" s="5">
        <f>Model_30y[[#This Row],[Mortgage Payment]]+Model_30y[[#This Row],[Total Upkeep]]+Model_30y[[#This Row],[Monthly Investment]]</f>
        <v>-5658.4463596840724</v>
      </c>
      <c r="AI252" s="5">
        <f>Model_Renter!D252*-1</f>
        <v>5743.8631801741631</v>
      </c>
      <c r="AJ252" s="5">
        <f t="shared" si="67"/>
        <v>85.416820490090686</v>
      </c>
    </row>
    <row r="253" spans="1:36" x14ac:dyDescent="0.25">
      <c r="A253" s="17">
        <f t="shared" si="62"/>
        <v>251</v>
      </c>
      <c r="B253" s="17">
        <f t="shared" si="58"/>
        <v>21</v>
      </c>
      <c r="C253" s="23">
        <f>IFERROR(IPMT(Assumptions!$D$16/12,Model_30y!A253, 360,Assumptions!$D$8), 0)</f>
        <v>-1009.0273647719995</v>
      </c>
      <c r="D253" s="2">
        <f>IFERROR(PPMT(Assumptions!$D$16/12, Model_30y!A253, 360, Assumptions!$D$8), 0)</f>
        <v>-1189.4302681609386</v>
      </c>
      <c r="E253" s="2">
        <f t="shared" si="52"/>
        <v>-2198.4576329329379</v>
      </c>
      <c r="F253" s="2">
        <f>IF(I252&gt;1, Assumptions!$E$18, 0)*-1</f>
        <v>-2198.4576329329379</v>
      </c>
      <c r="G253" s="24">
        <f t="shared" si="53"/>
        <v>1</v>
      </c>
      <c r="H253" s="20">
        <f t="shared" si="59"/>
        <v>161005.97227316111</v>
      </c>
      <c r="I253" s="2">
        <f>MAX(Assumptions!$D$8-SUM(Model_30y!H253), 0)</f>
        <v>178994.02772683889</v>
      </c>
      <c r="J253" s="2">
        <f>J252*(1+(Assumptions!$E$51))</f>
        <v>1179229.7728567307</v>
      </c>
      <c r="K253" s="22">
        <f t="shared" si="54"/>
        <v>1000235.7451298919</v>
      </c>
      <c r="L253" s="5">
        <f t="shared" si="60"/>
        <v>246005.97227316108</v>
      </c>
      <c r="M253" s="63">
        <f>L253/Assumptions!$D$6</f>
        <v>0.57883758181920253</v>
      </c>
      <c r="N253" s="24">
        <f t="shared" si="68"/>
        <v>0</v>
      </c>
      <c r="O253" s="5">
        <f>N253*Assumptions!$E$25*-1</f>
        <v>0</v>
      </c>
      <c r="P253" s="20">
        <f>Assumptions!$E$35*J253*-1</f>
        <v>-2429.020256608711</v>
      </c>
      <c r="Q253" s="5">
        <f>J253*Assumptions!$E$36*-1</f>
        <v>-978.2160421564256</v>
      </c>
      <c r="R253" s="5">
        <f>(R241+(Model_30y!R241*Assumptions!$D$51))</f>
        <v>-862.10064602984119</v>
      </c>
      <c r="S253" s="5">
        <f>S241+(S241*Assumptions!$D$51)</f>
        <v>0</v>
      </c>
      <c r="T253" s="5">
        <f t="shared" si="63"/>
        <v>0</v>
      </c>
      <c r="U253" s="22">
        <f t="shared" si="55"/>
        <v>-4269.3369447949781</v>
      </c>
      <c r="V253" s="5">
        <f>MAX(Assumptions!$E$18:$E$19)-U253</f>
        <v>7110.9699565936753</v>
      </c>
      <c r="W253" s="5">
        <f t="shared" si="56"/>
        <v>-2198.4576329329379</v>
      </c>
      <c r="X253" s="5">
        <f t="shared" si="61"/>
        <v>-4269.3369447949781</v>
      </c>
      <c r="Y253" s="5">
        <f>C253*Assumptions!$D$44*-1</f>
        <v>151.35410471579991</v>
      </c>
      <c r="Z253" s="5">
        <f t="shared" si="57"/>
        <v>794.52948358155959</v>
      </c>
      <c r="AA253" s="5">
        <f t="shared" si="64"/>
        <v>585862.75647547154</v>
      </c>
      <c r="AB253" s="3">
        <f>Assumptions!$E$45</f>
        <v>6.9899151946608562E-3</v>
      </c>
      <c r="AC253" s="5">
        <f t="shared" si="65"/>
        <v>590752.41694252682</v>
      </c>
      <c r="AD253" s="5">
        <f>AC253*Assumptions!$E$43</f>
        <v>529.06339085838033</v>
      </c>
      <c r="AE253" s="2">
        <f>AD253*Assumptions!$D$44*-1</f>
        <v>-79.359508628757041</v>
      </c>
      <c r="AF253" s="2">
        <f>AC253*Assumptions!$E$46*-1</f>
        <v>-19.688138000131197</v>
      </c>
      <c r="AG253" s="22">
        <f t="shared" si="66"/>
        <v>590653.36929589789</v>
      </c>
      <c r="AH253" s="5">
        <f>Model_30y[[#This Row],[Mortgage Payment]]+Model_30y[[#This Row],[Total Upkeep]]+Model_30y[[#This Row],[Monthly Investment]]</f>
        <v>-5673.2650941463571</v>
      </c>
      <c r="AI253" s="5">
        <f>Model_Renter!D253*-1</f>
        <v>5743.8631801741631</v>
      </c>
      <c r="AJ253" s="5">
        <f t="shared" si="67"/>
        <v>70.598086027805948</v>
      </c>
    </row>
    <row r="254" spans="1:36" x14ac:dyDescent="0.25">
      <c r="A254" s="17">
        <f t="shared" si="62"/>
        <v>252</v>
      </c>
      <c r="B254" s="17">
        <f t="shared" si="58"/>
        <v>21</v>
      </c>
      <c r="C254" s="23">
        <f>IFERROR(IPMT(Assumptions!$D$16/12,Model_30y!A254, 360,Assumptions!$D$8), 0)</f>
        <v>-1002.3665552702981</v>
      </c>
      <c r="D254" s="2">
        <f>IFERROR(PPMT(Assumptions!$D$16/12, Model_30y!A254, 360, Assumptions!$D$8), 0)</f>
        <v>-1196.0910776626399</v>
      </c>
      <c r="E254" s="2">
        <f t="shared" si="52"/>
        <v>-2198.4576329329379</v>
      </c>
      <c r="F254" s="2">
        <f>IF(I253&gt;1, Assumptions!$E$18, 0)*-1</f>
        <v>-2198.4576329329379</v>
      </c>
      <c r="G254" s="24">
        <f t="shared" si="53"/>
        <v>1</v>
      </c>
      <c r="H254" s="20">
        <f t="shared" si="59"/>
        <v>162202.06335082374</v>
      </c>
      <c r="I254" s="2">
        <f>MAX(Assumptions!$D$8-SUM(Model_30y!H254), 0)</f>
        <v>177797.93664917626</v>
      </c>
      <c r="J254" s="2">
        <f>J253*(1+(Assumptions!$E$51))</f>
        <v>1184034.1009207126</v>
      </c>
      <c r="K254" s="22">
        <f t="shared" si="54"/>
        <v>1006236.1642715363</v>
      </c>
      <c r="L254" s="5">
        <f t="shared" si="60"/>
        <v>247202.06335082371</v>
      </c>
      <c r="M254" s="63">
        <f>L254/Assumptions!$D$6</f>
        <v>0.58165191376664405</v>
      </c>
      <c r="N254" s="24">
        <f t="shared" si="68"/>
        <v>0</v>
      </c>
      <c r="O254" s="5">
        <f>N254*Assumptions!$E$25*-1</f>
        <v>0</v>
      </c>
      <c r="P254" s="20">
        <f>Assumptions!$E$35*J254*-1</f>
        <v>-2438.9163858071238</v>
      </c>
      <c r="Q254" s="5">
        <f>J254*Assumptions!$E$36*-1</f>
        <v>-982.20141539932138</v>
      </c>
      <c r="R254" s="5">
        <f>(R242+(Model_30y!R242*Assumptions!$D$51))</f>
        <v>-862.10064602984119</v>
      </c>
      <c r="S254" s="5">
        <f>S242+(S242*Assumptions!$D$51)</f>
        <v>0</v>
      </c>
      <c r="T254" s="5">
        <f t="shared" si="63"/>
        <v>0</v>
      </c>
      <c r="U254" s="22">
        <f t="shared" si="55"/>
        <v>-4283.218447236286</v>
      </c>
      <c r="V254" s="5">
        <f>MAX(Assumptions!$E$18:$E$19)-U254</f>
        <v>7124.8514590349823</v>
      </c>
      <c r="W254" s="5">
        <f t="shared" si="56"/>
        <v>-2198.4576329329379</v>
      </c>
      <c r="X254" s="5">
        <f t="shared" si="61"/>
        <v>-4283.218447236286</v>
      </c>
      <c r="Y254" s="5">
        <f>C254*Assumptions!$D$44*-1</f>
        <v>150.35498329054471</v>
      </c>
      <c r="Z254" s="5">
        <f t="shared" si="57"/>
        <v>793.53036215630357</v>
      </c>
      <c r="AA254" s="5">
        <f t="shared" si="64"/>
        <v>590653.36929589789</v>
      </c>
      <c r="AB254" s="3">
        <f>Assumptions!$E$45</f>
        <v>6.9899151946608562E-3</v>
      </c>
      <c r="AC254" s="5">
        <f t="shared" si="65"/>
        <v>595575.51661887323</v>
      </c>
      <c r="AD254" s="5">
        <f>AC254*Assumptions!$E$43</f>
        <v>533.38284075995227</v>
      </c>
      <c r="AE254" s="2">
        <f>AD254*Assumptions!$D$44*-1</f>
        <v>-80.007426113992835</v>
      </c>
      <c r="AF254" s="2">
        <f>AC254*Assumptions!$E$46*-1</f>
        <v>-19.84887852237528</v>
      </c>
      <c r="AG254" s="22">
        <f t="shared" si="66"/>
        <v>595475.66031423688</v>
      </c>
      <c r="AH254" s="5">
        <f>Model_30y[[#This Row],[Mortgage Payment]]+Model_30y[[#This Row],[Total Upkeep]]+Model_30y[[#This Row],[Monthly Investment]]</f>
        <v>-5688.14571801292</v>
      </c>
      <c r="AI254" s="5">
        <f>Model_Renter!D254*-1</f>
        <v>5743.8631801741631</v>
      </c>
      <c r="AJ254" s="5">
        <f t="shared" si="67"/>
        <v>55.71746216124302</v>
      </c>
    </row>
    <row r="255" spans="1:36" x14ac:dyDescent="0.25">
      <c r="A255" s="17">
        <f t="shared" si="62"/>
        <v>253</v>
      </c>
      <c r="B255" s="17">
        <f t="shared" si="58"/>
        <v>22</v>
      </c>
      <c r="C255" s="23">
        <f>IFERROR(IPMT(Assumptions!$D$16/12,Model_30y!A255, 360,Assumptions!$D$8), 0)</f>
        <v>-995.66844523538737</v>
      </c>
      <c r="D255" s="2">
        <f>IFERROR(PPMT(Assumptions!$D$16/12, Model_30y!A255, 360, Assumptions!$D$8), 0)</f>
        <v>-1202.7891876975507</v>
      </c>
      <c r="E255" s="2">
        <f t="shared" si="52"/>
        <v>-2198.4576329329379</v>
      </c>
      <c r="F255" s="2">
        <f>IF(I254&gt;1, Assumptions!$E$18, 0)*-1</f>
        <v>-2198.4576329329379</v>
      </c>
      <c r="G255" s="24">
        <f t="shared" si="53"/>
        <v>1</v>
      </c>
      <c r="H255" s="20">
        <f t="shared" si="59"/>
        <v>163404.85253852129</v>
      </c>
      <c r="I255" s="2">
        <f>MAX(Assumptions!$D$8-SUM(Model_30y!H255), 0)</f>
        <v>176595.14746147871</v>
      </c>
      <c r="J255" s="2">
        <f>J254*(1+(Assumptions!$E$51))</f>
        <v>1188858.0024119243</v>
      </c>
      <c r="K255" s="22">
        <f t="shared" si="54"/>
        <v>1012262.8549504456</v>
      </c>
      <c r="L255" s="5">
        <f t="shared" si="60"/>
        <v>248404.85253852126</v>
      </c>
      <c r="M255" s="63">
        <f>L255/Assumptions!$D$6</f>
        <v>0.58448200597299116</v>
      </c>
      <c r="N255" s="24">
        <f t="shared" si="68"/>
        <v>0</v>
      </c>
      <c r="O255" s="5">
        <f>N255*Assumptions!$E$25*-1</f>
        <v>0</v>
      </c>
      <c r="P255" s="20">
        <f>Assumptions!$E$35*J255*-1</f>
        <v>-2448.8528330608701</v>
      </c>
      <c r="Q255" s="5">
        <f>J255*Assumptions!$E$36*-1</f>
        <v>-986.20302554613284</v>
      </c>
      <c r="R255" s="5">
        <f>(R243+(Model_30y!R243*Assumptions!$D$51))</f>
        <v>-905.20567833133327</v>
      </c>
      <c r="S255" s="5">
        <f>S243+(S243*Assumptions!$D$51)</f>
        <v>0</v>
      </c>
      <c r="T255" s="5">
        <f t="shared" si="63"/>
        <v>0</v>
      </c>
      <c r="U255" s="22">
        <f t="shared" si="55"/>
        <v>-4340.2615369383366</v>
      </c>
      <c r="V255" s="5">
        <f>MAX(Assumptions!$E$18:$E$19)-U255</f>
        <v>7181.8945487370329</v>
      </c>
      <c r="W255" s="5">
        <f t="shared" si="56"/>
        <v>-2198.4576329329379</v>
      </c>
      <c r="X255" s="5">
        <f t="shared" si="61"/>
        <v>-4340.2615369383366</v>
      </c>
      <c r="Y255" s="5">
        <f>C255*Assumptions!$D$44*-1</f>
        <v>149.35026678530809</v>
      </c>
      <c r="Z255" s="5">
        <f t="shared" si="57"/>
        <v>792.52564565106695</v>
      </c>
      <c r="AA255" s="5">
        <f t="shared" si="64"/>
        <v>595475.66031423688</v>
      </c>
      <c r="AB255" s="3">
        <f>Assumptions!$E$45</f>
        <v>6.9899151946608562E-3</v>
      </c>
      <c r="AC255" s="5">
        <f t="shared" si="65"/>
        <v>600430.51032596908</v>
      </c>
      <c r="AD255" s="5">
        <f>AC255*Assumptions!$E$43</f>
        <v>537.73085417404241</v>
      </c>
      <c r="AE255" s="2">
        <f>AD255*Assumptions!$D$44*-1</f>
        <v>-80.659628126106355</v>
      </c>
      <c r="AF255" s="2">
        <f>AC255*Assumptions!$E$46*-1</f>
        <v>-20.010681984119511</v>
      </c>
      <c r="AG255" s="22">
        <f t="shared" si="66"/>
        <v>600329.84001585888</v>
      </c>
      <c r="AH255" s="5">
        <f>Model_30y[[#This Row],[Mortgage Payment]]+Model_30y[[#This Row],[Total Upkeep]]+Model_30y[[#This Row],[Monthly Investment]]</f>
        <v>-5746.1935242202071</v>
      </c>
      <c r="AI255" s="5">
        <f>Model_Renter!D255*-1</f>
        <v>5958.6836631126771</v>
      </c>
      <c r="AJ255" s="5">
        <f t="shared" si="67"/>
        <v>212.49013889246999</v>
      </c>
    </row>
    <row r="256" spans="1:36" x14ac:dyDescent="0.25">
      <c r="A256" s="17">
        <f t="shared" si="62"/>
        <v>254</v>
      </c>
      <c r="B256" s="17">
        <f t="shared" si="58"/>
        <v>22</v>
      </c>
      <c r="C256" s="23">
        <f>IFERROR(IPMT(Assumptions!$D$16/12,Model_30y!A256, 360,Assumptions!$D$8), 0)</f>
        <v>-988.93282578428114</v>
      </c>
      <c r="D256" s="2">
        <f>IFERROR(PPMT(Assumptions!$D$16/12, Model_30y!A256, 360, Assumptions!$D$8), 0)</f>
        <v>-1209.5248071486567</v>
      </c>
      <c r="E256" s="2">
        <f t="shared" si="52"/>
        <v>-2198.4576329329379</v>
      </c>
      <c r="F256" s="2">
        <f>IF(I255&gt;1, Assumptions!$E$18, 0)*-1</f>
        <v>-2198.4576329329379</v>
      </c>
      <c r="G256" s="24">
        <f t="shared" si="53"/>
        <v>1</v>
      </c>
      <c r="H256" s="20">
        <f t="shared" si="59"/>
        <v>164614.37734566996</v>
      </c>
      <c r="I256" s="2">
        <f>MAX(Assumptions!$D$8-SUM(Model_30y!H256), 0)</f>
        <v>175385.62265433004</v>
      </c>
      <c r="J256" s="2">
        <f>J255*(1+(Assumptions!$E$51))</f>
        <v>1193701.5570749315</v>
      </c>
      <c r="K256" s="22">
        <f t="shared" si="54"/>
        <v>1018315.9344206015</v>
      </c>
      <c r="L256" s="5">
        <f t="shared" si="60"/>
        <v>249614.3773456699</v>
      </c>
      <c r="M256" s="63">
        <f>L256/Assumptions!$D$6</f>
        <v>0.58732794669569388</v>
      </c>
      <c r="N256" s="24">
        <f t="shared" si="68"/>
        <v>0</v>
      </c>
      <c r="O256" s="5">
        <f>N256*Assumptions!$E$25*-1</f>
        <v>0</v>
      </c>
      <c r="P256" s="20">
        <f>Assumptions!$E$35*J256*-1</f>
        <v>-2458.8297626306985</v>
      </c>
      <c r="Q256" s="5">
        <f>J256*Assumptions!$E$36*-1</f>
        <v>-990.22093874801635</v>
      </c>
      <c r="R256" s="5">
        <f>(R244+(Model_30y!R244*Assumptions!$D$51))</f>
        <v>-905.20567833133327</v>
      </c>
      <c r="S256" s="5">
        <f>S244+(S244*Assumptions!$D$51)</f>
        <v>0</v>
      </c>
      <c r="T256" s="5">
        <f t="shared" si="63"/>
        <v>0</v>
      </c>
      <c r="U256" s="22">
        <f t="shared" si="55"/>
        <v>-4354.2563797100483</v>
      </c>
      <c r="V256" s="5">
        <f>MAX(Assumptions!$E$18:$E$19)-U256</f>
        <v>7195.8893915087447</v>
      </c>
      <c r="W256" s="5">
        <f t="shared" si="56"/>
        <v>-2198.4576329329379</v>
      </c>
      <c r="X256" s="5">
        <f t="shared" si="61"/>
        <v>-4354.2563797100483</v>
      </c>
      <c r="Y256" s="5">
        <f>C256*Assumptions!$D$44*-1</f>
        <v>148.33992386764217</v>
      </c>
      <c r="Z256" s="5">
        <f t="shared" si="57"/>
        <v>791.51530273340097</v>
      </c>
      <c r="AA256" s="5">
        <f t="shared" si="64"/>
        <v>600329.84001585888</v>
      </c>
      <c r="AB256" s="3">
        <f>Assumptions!$E$45</f>
        <v>6.9899151946608562E-3</v>
      </c>
      <c r="AC256" s="5">
        <f t="shared" si="65"/>
        <v>605317.60998912749</v>
      </c>
      <c r="AD256" s="5">
        <f>AC256*Assumptions!$E$43</f>
        <v>542.10762089576872</v>
      </c>
      <c r="AE256" s="2">
        <f>AD256*Assumptions!$D$44*-1</f>
        <v>-81.316143134365305</v>
      </c>
      <c r="AF256" s="2">
        <f>AC256*Assumptions!$E$46*-1</f>
        <v>-20.173555448246223</v>
      </c>
      <c r="AG256" s="22">
        <f t="shared" si="66"/>
        <v>605216.12029054493</v>
      </c>
      <c r="AH256" s="5">
        <f>Model_30y[[#This Row],[Mortgage Payment]]+Model_30y[[#This Row],[Total Upkeep]]+Model_30y[[#This Row],[Monthly Investment]]</f>
        <v>-5761.198709909585</v>
      </c>
      <c r="AI256" s="5">
        <f>Model_Renter!D256*-1</f>
        <v>5958.6836631126771</v>
      </c>
      <c r="AJ256" s="5">
        <f t="shared" si="67"/>
        <v>197.48495320309212</v>
      </c>
    </row>
    <row r="257" spans="1:36" x14ac:dyDescent="0.25">
      <c r="A257" s="17">
        <f t="shared" si="62"/>
        <v>255</v>
      </c>
      <c r="B257" s="17">
        <f t="shared" si="58"/>
        <v>22</v>
      </c>
      <c r="C257" s="23">
        <f>IFERROR(IPMT(Assumptions!$D$16/12,Model_30y!A257, 360,Assumptions!$D$8), 0)</f>
        <v>-982.15948686424861</v>
      </c>
      <c r="D257" s="2">
        <f>IFERROR(PPMT(Assumptions!$D$16/12, Model_30y!A257, 360, Assumptions!$D$8), 0)</f>
        <v>-1216.2981460686894</v>
      </c>
      <c r="E257" s="2">
        <f t="shared" si="52"/>
        <v>-2198.4576329329379</v>
      </c>
      <c r="F257" s="2">
        <f>IF(I256&gt;1, Assumptions!$E$18, 0)*-1</f>
        <v>-2198.4576329329379</v>
      </c>
      <c r="G257" s="24">
        <f t="shared" si="53"/>
        <v>1</v>
      </c>
      <c r="H257" s="20">
        <f t="shared" si="59"/>
        <v>165830.67549173866</v>
      </c>
      <c r="I257" s="2">
        <f>MAX(Assumptions!$D$8-SUM(Model_30y!H257), 0)</f>
        <v>174169.32450826134</v>
      </c>
      <c r="J257" s="2">
        <f>J256*(1+(Assumptions!$E$51))</f>
        <v>1198564.8449791884</v>
      </c>
      <c r="K257" s="22">
        <f t="shared" si="54"/>
        <v>1024395.520470927</v>
      </c>
      <c r="L257" s="5">
        <f t="shared" si="60"/>
        <v>250830.6754917386</v>
      </c>
      <c r="M257" s="63">
        <f>L257/Assumptions!$D$6</f>
        <v>0.59018982468644376</v>
      </c>
      <c r="N257" s="24">
        <f t="shared" si="68"/>
        <v>0</v>
      </c>
      <c r="O257" s="5">
        <f>N257*Assumptions!$E$25*-1</f>
        <v>0</v>
      </c>
      <c r="P257" s="20">
        <f>Assumptions!$E$35*J257*-1</f>
        <v>-2468.8473394465746</v>
      </c>
      <c r="Q257" s="5">
        <f>J257*Assumptions!$E$36*-1</f>
        <v>-994.25522142563614</v>
      </c>
      <c r="R257" s="5">
        <f>(R245+(Model_30y!R245*Assumptions!$D$51))</f>
        <v>-905.20567833133327</v>
      </c>
      <c r="S257" s="5">
        <f>S245+(S245*Assumptions!$D$51)</f>
        <v>0</v>
      </c>
      <c r="T257" s="5">
        <f t="shared" si="63"/>
        <v>0</v>
      </c>
      <c r="U257" s="22">
        <f t="shared" si="55"/>
        <v>-4368.308239203544</v>
      </c>
      <c r="V257" s="5">
        <f>MAX(Assumptions!$E$18:$E$19)-U257</f>
        <v>7209.9412510022412</v>
      </c>
      <c r="W257" s="5">
        <f t="shared" si="56"/>
        <v>-2198.4576329329379</v>
      </c>
      <c r="X257" s="5">
        <f t="shared" si="61"/>
        <v>-4368.308239203544</v>
      </c>
      <c r="Y257" s="5">
        <f>C257*Assumptions!$D$44*-1</f>
        <v>147.32392302963729</v>
      </c>
      <c r="Z257" s="5">
        <f t="shared" si="57"/>
        <v>790.49930189539702</v>
      </c>
      <c r="AA257" s="5">
        <f t="shared" si="64"/>
        <v>605216.12029054493</v>
      </c>
      <c r="AB257" s="3">
        <f>Assumptions!$E$45</f>
        <v>6.9899151946608562E-3</v>
      </c>
      <c r="AC257" s="5">
        <f t="shared" si="65"/>
        <v>610237.02894771285</v>
      </c>
      <c r="AD257" s="5">
        <f>AC257*Assumptions!$E$43</f>
        <v>546.51333198663906</v>
      </c>
      <c r="AE257" s="2">
        <f>AD257*Assumptions!$D$44*-1</f>
        <v>-81.976999797995859</v>
      </c>
      <c r="AF257" s="2">
        <f>AC257*Assumptions!$E$46*-1</f>
        <v>-20.337506024764156</v>
      </c>
      <c r="AG257" s="22">
        <f t="shared" si="66"/>
        <v>610134.71444189013</v>
      </c>
      <c r="AH257" s="5">
        <f>Model_30y[[#This Row],[Mortgage Payment]]+Model_30y[[#This Row],[Total Upkeep]]+Model_30y[[#This Row],[Monthly Investment]]</f>
        <v>-5776.266570241085</v>
      </c>
      <c r="AI257" s="5">
        <f>Model_Renter!D257*-1</f>
        <v>5958.6836631126771</v>
      </c>
      <c r="AJ257" s="5">
        <f t="shared" si="67"/>
        <v>182.4170928715921</v>
      </c>
    </row>
    <row r="258" spans="1:36" x14ac:dyDescent="0.25">
      <c r="A258" s="17">
        <f t="shared" si="62"/>
        <v>256</v>
      </c>
      <c r="B258" s="17">
        <f t="shared" si="58"/>
        <v>22</v>
      </c>
      <c r="C258" s="23">
        <f>IFERROR(IPMT(Assumptions!$D$16/12,Model_30y!A258, 360,Assumptions!$D$8), 0)</f>
        <v>-975.34821724626386</v>
      </c>
      <c r="D258" s="2">
        <f>IFERROR(PPMT(Assumptions!$D$16/12, Model_30y!A258, 360, Assumptions!$D$8), 0)</f>
        <v>-1223.1094156866739</v>
      </c>
      <c r="E258" s="2">
        <f t="shared" ref="E258:E321" si="69">SUM(C258:D258)</f>
        <v>-2198.4576329329375</v>
      </c>
      <c r="F258" s="2">
        <f>IF(I257&gt;1, Assumptions!$E$18, 0)*-1</f>
        <v>-2198.4576329329379</v>
      </c>
      <c r="G258" s="24">
        <f t="shared" ref="G258:G321" si="70">IF(E258+F258&lt;1, 1, 0)</f>
        <v>1</v>
      </c>
      <c r="H258" s="20">
        <f t="shared" si="59"/>
        <v>167053.78490742532</v>
      </c>
      <c r="I258" s="2">
        <f>MAX(Assumptions!$D$8-SUM(Model_30y!H258), 0)</f>
        <v>172946.21509257468</v>
      </c>
      <c r="J258" s="2">
        <f>J257*(1+(Assumptions!$E$51))</f>
        <v>1203447.946520363</v>
      </c>
      <c r="K258" s="22">
        <f t="shared" ref="K258:K321" si="71">(J258-I258)</f>
        <v>1030501.7314277883</v>
      </c>
      <c r="L258" s="5">
        <f t="shared" si="60"/>
        <v>252053.78490742526</v>
      </c>
      <c r="M258" s="63">
        <f>L258/Assumptions!$D$6</f>
        <v>0.59306772919394179</v>
      </c>
      <c r="N258" s="24">
        <f t="shared" si="68"/>
        <v>0</v>
      </c>
      <c r="O258" s="5">
        <f>N258*Assumptions!$E$25*-1</f>
        <v>0</v>
      </c>
      <c r="P258" s="20">
        <f>Assumptions!$E$35*J258*-1</f>
        <v>-2478.9057291104109</v>
      </c>
      <c r="Q258" s="5">
        <f>J258*Assumptions!$E$36*-1</f>
        <v>-998.30594027026291</v>
      </c>
      <c r="R258" s="5">
        <f>(R246+(Model_30y!R246*Assumptions!$D$51))</f>
        <v>-905.20567833133327</v>
      </c>
      <c r="S258" s="5">
        <f>S246+(S246*Assumptions!$D$51)</f>
        <v>0</v>
      </c>
      <c r="T258" s="5">
        <f t="shared" si="63"/>
        <v>0</v>
      </c>
      <c r="U258" s="22">
        <f t="shared" ref="U258:U321" si="72">SUM(P258:T258)</f>
        <v>-4382.4173477120075</v>
      </c>
      <c r="V258" s="5">
        <f>MAX(Assumptions!$E$18:$E$19)-U258</f>
        <v>7224.0503595107039</v>
      </c>
      <c r="W258" s="5">
        <f t="shared" ref="W258:W321" si="73">F258</f>
        <v>-2198.4576329329379</v>
      </c>
      <c r="X258" s="5">
        <f t="shared" si="61"/>
        <v>-4382.4173477120075</v>
      </c>
      <c r="Y258" s="5">
        <f>C258*Assumptions!$D$44*-1</f>
        <v>146.30223258693957</v>
      </c>
      <c r="Z258" s="5">
        <f t="shared" ref="Z258:Z321" si="74">SUM(V258:Y258)</f>
        <v>789.4776114526984</v>
      </c>
      <c r="AA258" s="5">
        <f t="shared" si="64"/>
        <v>610134.71444189013</v>
      </c>
      <c r="AB258" s="3">
        <f>Assumptions!$E$45</f>
        <v>6.9899151946608562E-3</v>
      </c>
      <c r="AC258" s="5">
        <f t="shared" si="65"/>
        <v>615188.98196461028</v>
      </c>
      <c r="AD258" s="5">
        <f>AC258*Assumptions!$E$43</f>
        <v>550.94817978303161</v>
      </c>
      <c r="AE258" s="2">
        <f>AD258*Assumptions!$D$44*-1</f>
        <v>-82.642226967454732</v>
      </c>
      <c r="AF258" s="2">
        <f>AC258*Assumptions!$E$46*-1</f>
        <v>-20.502540871124047</v>
      </c>
      <c r="AG258" s="22">
        <f t="shared" si="66"/>
        <v>615085.83719677175</v>
      </c>
      <c r="AH258" s="5">
        <f>Model_30y[[#This Row],[Mortgage Payment]]+Model_30y[[#This Row],[Total Upkeep]]+Model_30y[[#This Row],[Monthly Investment]]</f>
        <v>-5791.3973691922465</v>
      </c>
      <c r="AI258" s="5">
        <f>Model_Renter!D258*-1</f>
        <v>5958.6836631126771</v>
      </c>
      <c r="AJ258" s="5">
        <f t="shared" si="67"/>
        <v>167.28629392043058</v>
      </c>
    </row>
    <row r="259" spans="1:36" x14ac:dyDescent="0.25">
      <c r="A259" s="17">
        <f t="shared" si="62"/>
        <v>257</v>
      </c>
      <c r="B259" s="17">
        <f t="shared" ref="B259:B322" si="75">ROUNDUP(A259/12,0)</f>
        <v>22</v>
      </c>
      <c r="C259" s="23">
        <f>IFERROR(IPMT(Assumptions!$D$16/12,Model_30y!A259, 360,Assumptions!$D$8), 0)</f>
        <v>-968.49880451841852</v>
      </c>
      <c r="D259" s="2">
        <f>IFERROR(PPMT(Assumptions!$D$16/12, Model_30y!A259, 360, Assumptions!$D$8), 0)</f>
        <v>-1229.9588284145193</v>
      </c>
      <c r="E259" s="2">
        <f t="shared" si="69"/>
        <v>-2198.4576329329379</v>
      </c>
      <c r="F259" s="2">
        <f>IF(I258&gt;1, Assumptions!$E$18, 0)*-1</f>
        <v>-2198.4576329329379</v>
      </c>
      <c r="G259" s="24">
        <f t="shared" si="70"/>
        <v>1</v>
      </c>
      <c r="H259" s="20">
        <f t="shared" ref="H259:H322" si="76">H258+D259*-1</f>
        <v>168283.74373583985</v>
      </c>
      <c r="I259" s="2">
        <f>MAX(Assumptions!$D$8-SUM(Model_30y!H259), 0)</f>
        <v>171716.25626416015</v>
      </c>
      <c r="J259" s="2">
        <f>J258*(1+(Assumptions!$E$51))</f>
        <v>1208350.9424216643</v>
      </c>
      <c r="K259" s="22">
        <f t="shared" si="71"/>
        <v>1036634.6861575041</v>
      </c>
      <c r="L259" s="5">
        <f t="shared" ref="L259:L322" si="77">L258+D259*-1</f>
        <v>253283.74373583979</v>
      </c>
      <c r="M259" s="63">
        <f>L259/Assumptions!$D$6</f>
        <v>0.59596174996668183</v>
      </c>
      <c r="N259" s="24">
        <f t="shared" si="68"/>
        <v>0</v>
      </c>
      <c r="O259" s="5">
        <f>N259*Assumptions!$E$25*-1</f>
        <v>0</v>
      </c>
      <c r="P259" s="20">
        <f>Assumptions!$E$35*J259*-1</f>
        <v>-2489.0050978988015</v>
      </c>
      <c r="Q259" s="5">
        <f>J259*Assumptions!$E$36*-1</f>
        <v>-1002.3731622448754</v>
      </c>
      <c r="R259" s="5">
        <f>(R247+(Model_30y!R247*Assumptions!$D$51))</f>
        <v>-905.20567833133327</v>
      </c>
      <c r="S259" s="5">
        <f>S247+(S247*Assumptions!$D$51)</f>
        <v>0</v>
      </c>
      <c r="T259" s="5">
        <f t="shared" si="63"/>
        <v>0</v>
      </c>
      <c r="U259" s="22">
        <f t="shared" si="72"/>
        <v>-4396.5839384750107</v>
      </c>
      <c r="V259" s="5">
        <f>MAX(Assumptions!$E$18:$E$19)-U259</f>
        <v>7238.216950273707</v>
      </c>
      <c r="W259" s="5">
        <f t="shared" si="73"/>
        <v>-2198.4576329329379</v>
      </c>
      <c r="X259" s="5">
        <f t="shared" ref="X259:X322" si="78">U259</f>
        <v>-4396.5839384750107</v>
      </c>
      <c r="Y259" s="5">
        <f>C259*Assumptions!$D$44*-1</f>
        <v>145.27482067776276</v>
      </c>
      <c r="Z259" s="5">
        <f t="shared" si="74"/>
        <v>788.45019954352165</v>
      </c>
      <c r="AA259" s="5">
        <f t="shared" si="64"/>
        <v>615085.83719677175</v>
      </c>
      <c r="AB259" s="3">
        <f>Assumptions!$E$45</f>
        <v>6.9899151946608562E-3</v>
      </c>
      <c r="AC259" s="5">
        <f t="shared" si="65"/>
        <v>620173.68523575761</v>
      </c>
      <c r="AD259" s="5">
        <f>AC259*Assumptions!$E$43</f>
        <v>555.41235790473138</v>
      </c>
      <c r="AE259" s="2">
        <f>AD259*Assumptions!$D$44*-1</f>
        <v>-83.311853685709707</v>
      </c>
      <c r="AF259" s="2">
        <f>AC259*Assumptions!$E$46*-1</f>
        <v>-20.66866719253629</v>
      </c>
      <c r="AG259" s="22">
        <f t="shared" si="66"/>
        <v>620069.70471487939</v>
      </c>
      <c r="AH259" s="5">
        <f>Model_30y[[#This Row],[Mortgage Payment]]+Model_30y[[#This Row],[Total Upkeep]]+Model_30y[[#This Row],[Monthly Investment]]</f>
        <v>-5806.591371864426</v>
      </c>
      <c r="AI259" s="5">
        <f>Model_Renter!D259*-1</f>
        <v>5958.6836631126771</v>
      </c>
      <c r="AJ259" s="5">
        <f t="shared" si="67"/>
        <v>152.09229124825106</v>
      </c>
    </row>
    <row r="260" spans="1:36" x14ac:dyDescent="0.25">
      <c r="A260" s="17">
        <f t="shared" ref="A260:A323" si="79">A259+1</f>
        <v>258</v>
      </c>
      <c r="B260" s="17">
        <f t="shared" si="75"/>
        <v>22</v>
      </c>
      <c r="C260" s="23">
        <f>IFERROR(IPMT(Assumptions!$D$16/12,Model_30y!A260, 360,Assumptions!$D$8), 0)</f>
        <v>-961.61103507929704</v>
      </c>
      <c r="D260" s="2">
        <f>IFERROR(PPMT(Assumptions!$D$16/12, Model_30y!A260, 360, Assumptions!$D$8), 0)</f>
        <v>-1236.8465978536406</v>
      </c>
      <c r="E260" s="2">
        <f t="shared" si="69"/>
        <v>-2198.4576329329375</v>
      </c>
      <c r="F260" s="2">
        <f>IF(I259&gt;1, Assumptions!$E$18, 0)*-1</f>
        <v>-2198.4576329329379</v>
      </c>
      <c r="G260" s="24">
        <f t="shared" si="70"/>
        <v>1</v>
      </c>
      <c r="H260" s="20">
        <f t="shared" si="76"/>
        <v>169520.59033369349</v>
      </c>
      <c r="I260" s="2">
        <f>MAX(Assumptions!$D$8-SUM(Model_30y!H260), 0)</f>
        <v>170479.40966630651</v>
      </c>
      <c r="J260" s="2">
        <f>J259*(1+(Assumptions!$E$51))</f>
        <v>1213273.9137351783</v>
      </c>
      <c r="K260" s="22">
        <f t="shared" si="71"/>
        <v>1042794.5040688717</v>
      </c>
      <c r="L260" s="5">
        <f t="shared" si="77"/>
        <v>254520.59033369343</v>
      </c>
      <c r="M260" s="63">
        <f>L260/Assumptions!$D$6</f>
        <v>0.59887197725574925</v>
      </c>
      <c r="N260" s="24">
        <f t="shared" si="68"/>
        <v>0</v>
      </c>
      <c r="O260" s="5">
        <f>N260*Assumptions!$E$25*-1</f>
        <v>0</v>
      </c>
      <c r="P260" s="20">
        <f>Assumptions!$E$35*J260*-1</f>
        <v>-2499.145612765773</v>
      </c>
      <c r="Q260" s="5">
        <f>J260*Assumptions!$E$36*-1</f>
        <v>-1006.456954585268</v>
      </c>
      <c r="R260" s="5">
        <f>(R248+(Model_30y!R248*Assumptions!$D$51))</f>
        <v>-905.20567833133327</v>
      </c>
      <c r="S260" s="5">
        <f>S248+(S248*Assumptions!$D$51)</f>
        <v>0</v>
      </c>
      <c r="T260" s="5">
        <f t="shared" ref="T260:T323" si="80">O260</f>
        <v>0</v>
      </c>
      <c r="U260" s="22">
        <f t="shared" si="72"/>
        <v>-4410.808245682374</v>
      </c>
      <c r="V260" s="5">
        <f>MAX(Assumptions!$E$18:$E$19)-U260</f>
        <v>7252.4412574810704</v>
      </c>
      <c r="W260" s="5">
        <f t="shared" si="73"/>
        <v>-2198.4576329329379</v>
      </c>
      <c r="X260" s="5">
        <f t="shared" si="78"/>
        <v>-4410.808245682374</v>
      </c>
      <c r="Y260" s="5">
        <f>C260*Assumptions!$D$44*-1</f>
        <v>144.24165526189455</v>
      </c>
      <c r="Z260" s="5">
        <f t="shared" si="74"/>
        <v>787.41703412765332</v>
      </c>
      <c r="AA260" s="5">
        <f t="shared" ref="AA260:AA323" si="81">AG259</f>
        <v>620069.70471487939</v>
      </c>
      <c r="AB260" s="3">
        <f>Assumptions!$E$45</f>
        <v>6.9899151946608562E-3</v>
      </c>
      <c r="AC260" s="5">
        <f t="shared" ref="AC260:AC323" si="82">(AA260+Z260)+(AA260*AB260)</f>
        <v>625191.35639974242</v>
      </c>
      <c r="AD260" s="5">
        <f>AC260*Assumptions!$E$43</f>
        <v>559.90606126352509</v>
      </c>
      <c r="AE260" s="2">
        <f>AD260*Assumptions!$D$44*-1</f>
        <v>-83.985909189528755</v>
      </c>
      <c r="AF260" s="2">
        <f>AC260*Assumptions!$E$46*-1</f>
        <v>-20.8358922422908</v>
      </c>
      <c r="AG260" s="22">
        <f t="shared" ref="AG260:AG323" si="83">AC260+SUM(AE260:AF260)</f>
        <v>625086.53459831059</v>
      </c>
      <c r="AH260" s="5">
        <f>Model_30y[[#This Row],[Mortgage Payment]]+Model_30y[[#This Row],[Total Upkeep]]+Model_30y[[#This Row],[Monthly Investment]]</f>
        <v>-5821.8488444876584</v>
      </c>
      <c r="AI260" s="5">
        <f>Model_Renter!D260*-1</f>
        <v>5958.6836631126771</v>
      </c>
      <c r="AJ260" s="5">
        <f t="shared" ref="AJ260:AJ323" si="84">SUM(AH260:AI260)</f>
        <v>136.83481862501867</v>
      </c>
    </row>
    <row r="261" spans="1:36" x14ac:dyDescent="0.25">
      <c r="A261" s="17">
        <f t="shared" si="79"/>
        <v>259</v>
      </c>
      <c r="B261" s="17">
        <f t="shared" si="75"/>
        <v>22</v>
      </c>
      <c r="C261" s="23">
        <f>IFERROR(IPMT(Assumptions!$D$16/12,Model_30y!A261, 360,Assumptions!$D$8), 0)</f>
        <v>-954.68469413131675</v>
      </c>
      <c r="D261" s="2">
        <f>IFERROR(PPMT(Assumptions!$D$16/12, Model_30y!A261, 360, Assumptions!$D$8), 0)</f>
        <v>-1243.772938801621</v>
      </c>
      <c r="E261" s="2">
        <f t="shared" si="69"/>
        <v>-2198.4576329329375</v>
      </c>
      <c r="F261" s="2">
        <f>IF(I260&gt;1, Assumptions!$E$18, 0)*-1</f>
        <v>-2198.4576329329379</v>
      </c>
      <c r="G261" s="24">
        <f t="shared" si="70"/>
        <v>1</v>
      </c>
      <c r="H261" s="20">
        <f t="shared" si="76"/>
        <v>170764.3632724951</v>
      </c>
      <c r="I261" s="2">
        <f>MAX(Assumptions!$D$8-SUM(Model_30y!H261), 0)</f>
        <v>169235.6367275049</v>
      </c>
      <c r="J261" s="2">
        <f>J260*(1+(Assumptions!$E$51))</f>
        <v>1218216.941843207</v>
      </c>
      <c r="K261" s="22">
        <f t="shared" si="71"/>
        <v>1048981.3051157021</v>
      </c>
      <c r="L261" s="5">
        <f t="shared" si="77"/>
        <v>255764.36327249504</v>
      </c>
      <c r="M261" s="63">
        <f>L261/Assumptions!$D$6</f>
        <v>0.60179850181763539</v>
      </c>
      <c r="N261" s="24">
        <f t="shared" si="68"/>
        <v>0</v>
      </c>
      <c r="O261" s="5">
        <f>N261*Assumptions!$E$25*-1</f>
        <v>0</v>
      </c>
      <c r="P261" s="20">
        <f>Assumptions!$E$35*J261*-1</f>
        <v>-2509.3274413455424</v>
      </c>
      <c r="Q261" s="5">
        <f>J261*Assumptions!$E$36*-1</f>
        <v>-1010.5573848011622</v>
      </c>
      <c r="R261" s="5">
        <f>(R249+(Model_30y!R249*Assumptions!$D$51))</f>
        <v>-905.20567833133327</v>
      </c>
      <c r="S261" s="5">
        <f>S249+(S249*Assumptions!$D$51)</f>
        <v>0</v>
      </c>
      <c r="T261" s="5">
        <f t="shared" si="80"/>
        <v>0</v>
      </c>
      <c r="U261" s="22">
        <f t="shared" si="72"/>
        <v>-4425.0905044780375</v>
      </c>
      <c r="V261" s="5">
        <f>MAX(Assumptions!$E$18:$E$19)-U261</f>
        <v>7266.7235162767338</v>
      </c>
      <c r="W261" s="5">
        <f t="shared" si="73"/>
        <v>-2198.4576329329379</v>
      </c>
      <c r="X261" s="5">
        <f t="shared" si="78"/>
        <v>-4425.0905044780375</v>
      </c>
      <c r="Y261" s="5">
        <f>C261*Assumptions!$D$44*-1</f>
        <v>143.2027041196975</v>
      </c>
      <c r="Z261" s="5">
        <f t="shared" si="74"/>
        <v>786.37808298545633</v>
      </c>
      <c r="AA261" s="5">
        <f t="shared" si="81"/>
        <v>625086.53459831059</v>
      </c>
      <c r="AB261" s="3">
        <f>Assumptions!$E$45</f>
        <v>6.9899151946608562E-3</v>
      </c>
      <c r="AC261" s="5">
        <f t="shared" si="82"/>
        <v>630242.21454746264</v>
      </c>
      <c r="AD261" s="5">
        <f>AC261*Assumptions!$E$43</f>
        <v>564.42948607185303</v>
      </c>
      <c r="AE261" s="2">
        <f>AD261*Assumptions!$D$44*-1</f>
        <v>-84.664422910777958</v>
      </c>
      <c r="AF261" s="2">
        <f>AC261*Assumptions!$E$46*-1</f>
        <v>-21.004223322078964</v>
      </c>
      <c r="AG261" s="22">
        <f t="shared" si="83"/>
        <v>630136.54590122984</v>
      </c>
      <c r="AH261" s="5">
        <f>Model_30y[[#This Row],[Mortgage Payment]]+Model_30y[[#This Row],[Total Upkeep]]+Model_30y[[#This Row],[Monthly Investment]]</f>
        <v>-5837.1700544255182</v>
      </c>
      <c r="AI261" s="5">
        <f>Model_Renter!D261*-1</f>
        <v>5958.6836631126771</v>
      </c>
      <c r="AJ261" s="5">
        <f t="shared" si="84"/>
        <v>121.51360868715892</v>
      </c>
    </row>
    <row r="262" spans="1:36" x14ac:dyDescent="0.25">
      <c r="A262" s="17">
        <f t="shared" si="79"/>
        <v>260</v>
      </c>
      <c r="B262" s="17">
        <f t="shared" si="75"/>
        <v>22</v>
      </c>
      <c r="C262" s="23">
        <f>IFERROR(IPMT(Assumptions!$D$16/12,Model_30y!A262, 360,Assumptions!$D$8), 0)</f>
        <v>-947.71956567402754</v>
      </c>
      <c r="D262" s="2">
        <f>IFERROR(PPMT(Assumptions!$D$16/12, Model_30y!A262, 360, Assumptions!$D$8), 0)</f>
        <v>-1250.7380672589104</v>
      </c>
      <c r="E262" s="2">
        <f t="shared" si="69"/>
        <v>-2198.4576329329379</v>
      </c>
      <c r="F262" s="2">
        <f>IF(I261&gt;1, Assumptions!$E$18, 0)*-1</f>
        <v>-2198.4576329329379</v>
      </c>
      <c r="G262" s="24">
        <f t="shared" si="70"/>
        <v>1</v>
      </c>
      <c r="H262" s="20">
        <f t="shared" si="76"/>
        <v>172015.10133975401</v>
      </c>
      <c r="I262" s="2">
        <f>MAX(Assumptions!$D$8-SUM(Model_30y!H262), 0)</f>
        <v>167984.89866024599</v>
      </c>
      <c r="J262" s="2">
        <f>J261*(1+(Assumptions!$E$51))</f>
        <v>1223180.1084596138</v>
      </c>
      <c r="K262" s="22">
        <f t="shared" si="71"/>
        <v>1055195.2097993677</v>
      </c>
      <c r="L262" s="5">
        <f t="shared" si="77"/>
        <v>257015.10133975395</v>
      </c>
      <c r="M262" s="63">
        <f>L262/Assumptions!$D$6</f>
        <v>0.60474141491706812</v>
      </c>
      <c r="N262" s="24">
        <f t="shared" si="68"/>
        <v>0</v>
      </c>
      <c r="O262" s="5">
        <f>N262*Assumptions!$E$25*-1</f>
        <v>0</v>
      </c>
      <c r="P262" s="20">
        <f>Assumptions!$E$35*J262*-1</f>
        <v>-2519.5507519552898</v>
      </c>
      <c r="Q262" s="5">
        <f>J262*Assumptions!$E$36*-1</f>
        <v>-1014.6745206773221</v>
      </c>
      <c r="R262" s="5">
        <f>(R250+(Model_30y!R250*Assumptions!$D$51))</f>
        <v>-905.20567833133327</v>
      </c>
      <c r="S262" s="5">
        <f>S250+(S250*Assumptions!$D$51)</f>
        <v>0</v>
      </c>
      <c r="T262" s="5">
        <f t="shared" si="80"/>
        <v>0</v>
      </c>
      <c r="U262" s="22">
        <f t="shared" si="72"/>
        <v>-4439.4309509639452</v>
      </c>
      <c r="V262" s="5">
        <f>MAX(Assumptions!$E$18:$E$19)-U262</f>
        <v>7281.0639627626424</v>
      </c>
      <c r="W262" s="5">
        <f t="shared" si="73"/>
        <v>-2198.4576329329379</v>
      </c>
      <c r="X262" s="5">
        <f t="shared" si="78"/>
        <v>-4439.4309509639452</v>
      </c>
      <c r="Y262" s="5">
        <f>C262*Assumptions!$D$44*-1</f>
        <v>142.15793485110413</v>
      </c>
      <c r="Z262" s="5">
        <f t="shared" si="74"/>
        <v>785.33331371686381</v>
      </c>
      <c r="AA262" s="5">
        <f t="shared" si="81"/>
        <v>630136.54590122984</v>
      </c>
      <c r="AB262" s="3">
        <f>Assumptions!$E$45</f>
        <v>6.9899151946608562E-3</v>
      </c>
      <c r="AC262" s="5">
        <f t="shared" si="82"/>
        <v>635326.48023185274</v>
      </c>
      <c r="AD262" s="5">
        <f>AC262*Assumptions!$E$43</f>
        <v>568.98282985151968</v>
      </c>
      <c r="AE262" s="2">
        <f>AD262*Assumptions!$D$44*-1</f>
        <v>-85.347424477727955</v>
      </c>
      <c r="AF262" s="2">
        <f>AC262*Assumptions!$E$46*-1</f>
        <v>-21.173667782317782</v>
      </c>
      <c r="AG262" s="22">
        <f t="shared" si="83"/>
        <v>635219.95913959271</v>
      </c>
      <c r="AH262" s="5">
        <f>Model_30y[[#This Row],[Mortgage Payment]]+Model_30y[[#This Row],[Total Upkeep]]+Model_30y[[#This Row],[Monthly Investment]]</f>
        <v>-5852.5552701800198</v>
      </c>
      <c r="AI262" s="5">
        <f>Model_Renter!D262*-1</f>
        <v>5958.6836631126771</v>
      </c>
      <c r="AJ262" s="5">
        <f t="shared" si="84"/>
        <v>106.12839293265733</v>
      </c>
    </row>
    <row r="263" spans="1:36" x14ac:dyDescent="0.25">
      <c r="A263" s="17">
        <f t="shared" si="79"/>
        <v>261</v>
      </c>
      <c r="B263" s="17">
        <f t="shared" si="75"/>
        <v>22</v>
      </c>
      <c r="C263" s="23">
        <f>IFERROR(IPMT(Assumptions!$D$16/12,Model_30y!A263, 360,Assumptions!$D$8), 0)</f>
        <v>-940.71543249737783</v>
      </c>
      <c r="D263" s="2">
        <f>IFERROR(PPMT(Assumptions!$D$16/12, Model_30y!A263, 360, Assumptions!$D$8), 0)</f>
        <v>-1257.7422004355601</v>
      </c>
      <c r="E263" s="2">
        <f t="shared" si="69"/>
        <v>-2198.4576329329379</v>
      </c>
      <c r="F263" s="2">
        <f>IF(I262&gt;1, Assumptions!$E$18, 0)*-1</f>
        <v>-2198.4576329329379</v>
      </c>
      <c r="G263" s="24">
        <f t="shared" si="70"/>
        <v>1</v>
      </c>
      <c r="H263" s="20">
        <f t="shared" si="76"/>
        <v>173272.84354018955</v>
      </c>
      <c r="I263" s="2">
        <f>MAX(Assumptions!$D$8-SUM(Model_30y!H263), 0)</f>
        <v>166727.15645981045</v>
      </c>
      <c r="J263" s="2">
        <f>J262*(1+(Assumptions!$E$51))</f>
        <v>1228163.4956311747</v>
      </c>
      <c r="K263" s="22">
        <f t="shared" si="71"/>
        <v>1061436.3391713642</v>
      </c>
      <c r="L263" s="5">
        <f t="shared" si="77"/>
        <v>258272.8435401895</v>
      </c>
      <c r="M263" s="63">
        <f>L263/Assumptions!$D$6</f>
        <v>0.60770080832985762</v>
      </c>
      <c r="N263" s="24">
        <f t="shared" si="68"/>
        <v>0</v>
      </c>
      <c r="O263" s="5">
        <f>N263*Assumptions!$E$25*-1</f>
        <v>0</v>
      </c>
      <c r="P263" s="20">
        <f>Assumptions!$E$35*J263*-1</f>
        <v>-2529.81571359794</v>
      </c>
      <c r="Q263" s="5">
        <f>J263*Assumptions!$E$36*-1</f>
        <v>-1018.8084302746756</v>
      </c>
      <c r="R263" s="5">
        <f>(R251+(Model_30y!R251*Assumptions!$D$51))</f>
        <v>-905.20567833133327</v>
      </c>
      <c r="S263" s="5">
        <f>S251+(S251*Assumptions!$D$51)</f>
        <v>0</v>
      </c>
      <c r="T263" s="5">
        <f t="shared" si="80"/>
        <v>0</v>
      </c>
      <c r="U263" s="22">
        <f t="shared" si="72"/>
        <v>-4453.8298222039484</v>
      </c>
      <c r="V263" s="5">
        <f>MAX(Assumptions!$E$18:$E$19)-U263</f>
        <v>7295.4628340026447</v>
      </c>
      <c r="W263" s="5">
        <f t="shared" si="73"/>
        <v>-2198.4576329329379</v>
      </c>
      <c r="X263" s="5">
        <f t="shared" si="78"/>
        <v>-4453.8298222039484</v>
      </c>
      <c r="Y263" s="5">
        <f>C263*Assumptions!$D$44*-1</f>
        <v>141.10731487460666</v>
      </c>
      <c r="Z263" s="5">
        <f t="shared" si="74"/>
        <v>784.28269374036552</v>
      </c>
      <c r="AA263" s="5">
        <f t="shared" si="81"/>
        <v>635219.95913959271</v>
      </c>
      <c r="AB263" s="3">
        <f>Assumptions!$E$45</f>
        <v>6.9899151946608562E-3</v>
      </c>
      <c r="AC263" s="5">
        <f t="shared" si="82"/>
        <v>640444.37547767477</v>
      </c>
      <c r="AD263" s="5">
        <f>AC263*Assumptions!$E$43</f>
        <v>573.56629144246233</v>
      </c>
      <c r="AE263" s="2">
        <f>AD263*Assumptions!$D$44*-1</f>
        <v>-86.034943716369341</v>
      </c>
      <c r="AF263" s="2">
        <f>AC263*Assumptions!$E$46*-1</f>
        <v>-21.344233022476185</v>
      </c>
      <c r="AG263" s="22">
        <f t="shared" si="83"/>
        <v>640336.99630093598</v>
      </c>
      <c r="AH263" s="5">
        <f>Model_30y[[#This Row],[Mortgage Payment]]+Model_30y[[#This Row],[Total Upkeep]]+Model_30y[[#This Row],[Monthly Investment]]</f>
        <v>-5868.0047613965207</v>
      </c>
      <c r="AI263" s="5">
        <f>Model_Renter!D263*-1</f>
        <v>5958.6836631126771</v>
      </c>
      <c r="AJ263" s="5">
        <f t="shared" si="84"/>
        <v>90.678901716156361</v>
      </c>
    </row>
    <row r="264" spans="1:36" x14ac:dyDescent="0.25">
      <c r="A264" s="17">
        <f t="shared" si="79"/>
        <v>262</v>
      </c>
      <c r="B264" s="17">
        <f t="shared" si="75"/>
        <v>22</v>
      </c>
      <c r="C264" s="23">
        <f>IFERROR(IPMT(Assumptions!$D$16/12,Model_30y!A264, 360,Assumptions!$D$8), 0)</f>
        <v>-933.67207617493887</v>
      </c>
      <c r="D264" s="2">
        <f>IFERROR(PPMT(Assumptions!$D$16/12, Model_30y!A264, 360, Assumptions!$D$8), 0)</f>
        <v>-1264.7855567579991</v>
      </c>
      <c r="E264" s="2">
        <f t="shared" si="69"/>
        <v>-2198.4576329329379</v>
      </c>
      <c r="F264" s="2">
        <f>IF(I263&gt;1, Assumptions!$E$18, 0)*-1</f>
        <v>-2198.4576329329379</v>
      </c>
      <c r="G264" s="24">
        <f t="shared" si="70"/>
        <v>1</v>
      </c>
      <c r="H264" s="20">
        <f t="shared" si="76"/>
        <v>174537.62909694755</v>
      </c>
      <c r="I264" s="2">
        <f>MAX(Assumptions!$D$8-SUM(Model_30y!H264), 0)</f>
        <v>165462.37090305245</v>
      </c>
      <c r="J264" s="2">
        <f>J263*(1+(Assumptions!$E$51))</f>
        <v>1233167.1857389342</v>
      </c>
      <c r="K264" s="22">
        <f t="shared" si="71"/>
        <v>1067704.8148358818</v>
      </c>
      <c r="L264" s="5">
        <f t="shared" si="77"/>
        <v>259537.62909694749</v>
      </c>
      <c r="M264" s="63">
        <f>L264/Assumptions!$D$6</f>
        <v>0.61067677434575884</v>
      </c>
      <c r="N264" s="24">
        <f t="shared" si="68"/>
        <v>0</v>
      </c>
      <c r="O264" s="5">
        <f>N264*Assumptions!$E$25*-1</f>
        <v>0</v>
      </c>
      <c r="P264" s="20">
        <f>Assumptions!$E$35*J264*-1</f>
        <v>-2540.1224959649567</v>
      </c>
      <c r="Q264" s="5">
        <f>J264*Assumptions!$E$36*-1</f>
        <v>-1022.959181931439</v>
      </c>
      <c r="R264" s="5">
        <f>(R252+(Model_30y!R252*Assumptions!$D$51))</f>
        <v>-905.20567833133327</v>
      </c>
      <c r="S264" s="5">
        <f>S252+(S252*Assumptions!$D$51)</f>
        <v>0</v>
      </c>
      <c r="T264" s="5">
        <f t="shared" si="80"/>
        <v>0</v>
      </c>
      <c r="U264" s="22">
        <f t="shared" si="72"/>
        <v>-4468.2873562277291</v>
      </c>
      <c r="V264" s="5">
        <f>MAX(Assumptions!$E$18:$E$19)-U264</f>
        <v>7309.9203680264254</v>
      </c>
      <c r="W264" s="5">
        <f t="shared" si="73"/>
        <v>-2198.4576329329379</v>
      </c>
      <c r="X264" s="5">
        <f t="shared" si="78"/>
        <v>-4468.2873562277291</v>
      </c>
      <c r="Y264" s="5">
        <f>C264*Assumptions!$D$44*-1</f>
        <v>140.05081142624081</v>
      </c>
      <c r="Z264" s="5">
        <f t="shared" si="74"/>
        <v>783.22619029199961</v>
      </c>
      <c r="AA264" s="5">
        <f t="shared" si="81"/>
        <v>640336.99630093598</v>
      </c>
      <c r="AB264" s="3">
        <f>Assumptions!$E$45</f>
        <v>6.9899151946608562E-3</v>
      </c>
      <c r="AC264" s="5">
        <f t="shared" si="82"/>
        <v>645596.12379137543</v>
      </c>
      <c r="AD264" s="5">
        <f>AC264*Assumptions!$E$43</f>
        <v>578.18007101157843</v>
      </c>
      <c r="AE264" s="2">
        <f>AD264*Assumptions!$D$44*-1</f>
        <v>-86.727010651736762</v>
      </c>
      <c r="AF264" s="2">
        <f>AC264*Assumptions!$E$46*-1</f>
        <v>-21.51592649140354</v>
      </c>
      <c r="AG264" s="22">
        <f t="shared" si="83"/>
        <v>645487.88085423224</v>
      </c>
      <c r="AH264" s="5">
        <f>Model_30y[[#This Row],[Mortgage Payment]]+Model_30y[[#This Row],[Total Upkeep]]+Model_30y[[#This Row],[Monthly Investment]]</f>
        <v>-5883.5187988686666</v>
      </c>
      <c r="AI264" s="5">
        <f>Model_Renter!D264*-1</f>
        <v>5958.6836631126771</v>
      </c>
      <c r="AJ264" s="5">
        <f t="shared" si="84"/>
        <v>75.16486424401046</v>
      </c>
    </row>
    <row r="265" spans="1:36" x14ac:dyDescent="0.25">
      <c r="A265" s="17">
        <f t="shared" si="79"/>
        <v>263</v>
      </c>
      <c r="B265" s="17">
        <f t="shared" si="75"/>
        <v>22</v>
      </c>
      <c r="C265" s="23">
        <f>IFERROR(IPMT(Assumptions!$D$16/12,Model_30y!A265, 360,Assumptions!$D$8), 0)</f>
        <v>-926.58927705709391</v>
      </c>
      <c r="D265" s="2">
        <f>IFERROR(PPMT(Assumptions!$D$16/12, Model_30y!A265, 360, Assumptions!$D$8), 0)</f>
        <v>-1271.8683558758441</v>
      </c>
      <c r="E265" s="2">
        <f t="shared" si="69"/>
        <v>-2198.4576329329379</v>
      </c>
      <c r="F265" s="2">
        <f>IF(I264&gt;1, Assumptions!$E$18, 0)*-1</f>
        <v>-2198.4576329329379</v>
      </c>
      <c r="G265" s="24">
        <f t="shared" si="70"/>
        <v>1</v>
      </c>
      <c r="H265" s="20">
        <f t="shared" si="76"/>
        <v>175809.49745282339</v>
      </c>
      <c r="I265" s="2">
        <f>MAX(Assumptions!$D$8-SUM(Model_30y!H265), 0)</f>
        <v>164190.50254717661</v>
      </c>
      <c r="J265" s="2">
        <f>J264*(1+(Assumptions!$E$51))</f>
        <v>1238191.2614995679</v>
      </c>
      <c r="K265" s="22">
        <f t="shared" si="71"/>
        <v>1074000.7589523913</v>
      </c>
      <c r="L265" s="5">
        <f t="shared" si="77"/>
        <v>260809.49745282333</v>
      </c>
      <c r="M265" s="63">
        <f>L265/Assumptions!$D$6</f>
        <v>0.61366940577134899</v>
      </c>
      <c r="N265" s="24">
        <f t="shared" si="68"/>
        <v>0</v>
      </c>
      <c r="O265" s="5">
        <f>N265*Assumptions!$E$25*-1</f>
        <v>0</v>
      </c>
      <c r="P265" s="20">
        <f>Assumptions!$E$35*J265*-1</f>
        <v>-2550.4712694391474</v>
      </c>
      <c r="Q265" s="5">
        <f>J265*Assumptions!$E$36*-1</f>
        <v>-1027.1268442642474</v>
      </c>
      <c r="R265" s="5">
        <f>(R253+(Model_30y!R253*Assumptions!$D$51))</f>
        <v>-905.20567833133327</v>
      </c>
      <c r="S265" s="5">
        <f>S253+(S253*Assumptions!$D$51)</f>
        <v>0</v>
      </c>
      <c r="T265" s="5">
        <f t="shared" si="80"/>
        <v>0</v>
      </c>
      <c r="U265" s="22">
        <f t="shared" si="72"/>
        <v>-4482.8037920347288</v>
      </c>
      <c r="V265" s="5">
        <f>MAX(Assumptions!$E$18:$E$19)-U265</f>
        <v>7324.4368038334251</v>
      </c>
      <c r="W265" s="5">
        <f t="shared" si="73"/>
        <v>-2198.4576329329379</v>
      </c>
      <c r="X265" s="5">
        <f t="shared" si="78"/>
        <v>-4482.8037920347288</v>
      </c>
      <c r="Y265" s="5">
        <f>C265*Assumptions!$D$44*-1</f>
        <v>138.98839155856408</v>
      </c>
      <c r="Z265" s="5">
        <f t="shared" si="74"/>
        <v>782.16377042432293</v>
      </c>
      <c r="AA265" s="5">
        <f t="shared" si="81"/>
        <v>645487.88085423224</v>
      </c>
      <c r="AB265" s="3">
        <f>Assumptions!$E$45</f>
        <v>6.9899151946608562E-3</v>
      </c>
      <c r="AC265" s="5">
        <f t="shared" si="82"/>
        <v>650781.95017100894</v>
      </c>
      <c r="AD265" s="5">
        <f>AC265*Assumptions!$E$43</f>
        <v>582.82437006161297</v>
      </c>
      <c r="AE265" s="2">
        <f>AD265*Assumptions!$D$44*-1</f>
        <v>-87.423655509241939</v>
      </c>
      <c r="AF265" s="2">
        <f>AC265*Assumptions!$E$46*-1</f>
        <v>-21.688755687660354</v>
      </c>
      <c r="AG265" s="22">
        <f t="shared" si="83"/>
        <v>650672.83775981201</v>
      </c>
      <c r="AH265" s="5">
        <f>Model_30y[[#This Row],[Mortgage Payment]]+Model_30y[[#This Row],[Total Upkeep]]+Model_30y[[#This Row],[Monthly Investment]]</f>
        <v>-5899.0976545433432</v>
      </c>
      <c r="AI265" s="5">
        <f>Model_Renter!D265*-1</f>
        <v>5958.6836631126771</v>
      </c>
      <c r="AJ265" s="5">
        <f t="shared" si="84"/>
        <v>59.586008569333899</v>
      </c>
    </row>
    <row r="266" spans="1:36" x14ac:dyDescent="0.25">
      <c r="A266" s="17">
        <f t="shared" si="79"/>
        <v>264</v>
      </c>
      <c r="B266" s="17">
        <f t="shared" si="75"/>
        <v>22</v>
      </c>
      <c r="C266" s="23">
        <f>IFERROR(IPMT(Assumptions!$D$16/12,Model_30y!A266, 360,Assumptions!$D$8), 0)</f>
        <v>-919.46681426418922</v>
      </c>
      <c r="D266" s="2">
        <f>IFERROR(PPMT(Assumptions!$D$16/12, Model_30y!A266, 360, Assumptions!$D$8), 0)</f>
        <v>-1278.9908186687487</v>
      </c>
      <c r="E266" s="2">
        <f t="shared" si="69"/>
        <v>-2198.4576329329379</v>
      </c>
      <c r="F266" s="2">
        <f>IF(I265&gt;1, Assumptions!$E$18, 0)*-1</f>
        <v>-2198.4576329329379</v>
      </c>
      <c r="G266" s="24">
        <f t="shared" si="70"/>
        <v>1</v>
      </c>
      <c r="H266" s="20">
        <f t="shared" si="76"/>
        <v>177088.48827149213</v>
      </c>
      <c r="I266" s="2">
        <f>MAX(Assumptions!$D$8-SUM(Model_30y!H266), 0)</f>
        <v>162911.51172850787</v>
      </c>
      <c r="J266" s="2">
        <f>J265*(1+(Assumptions!$E$51))</f>
        <v>1243235.8059667489</v>
      </c>
      <c r="K266" s="22">
        <f t="shared" si="71"/>
        <v>1080324.2942382409</v>
      </c>
      <c r="L266" s="5">
        <f t="shared" si="77"/>
        <v>262088.48827149207</v>
      </c>
      <c r="M266" s="63">
        <f>L266/Assumptions!$D$6</f>
        <v>0.61667879593292252</v>
      </c>
      <c r="N266" s="24">
        <f t="shared" si="68"/>
        <v>0</v>
      </c>
      <c r="O266" s="5">
        <f>N266*Assumptions!$E$25*-1</f>
        <v>0</v>
      </c>
      <c r="P266" s="20">
        <f>Assumptions!$E$35*J266*-1</f>
        <v>-2560.8622050974814</v>
      </c>
      <c r="Q266" s="5">
        <f>J266*Assumptions!$E$36*-1</f>
        <v>-1031.3114861692879</v>
      </c>
      <c r="R266" s="5">
        <f>(R254+(Model_30y!R254*Assumptions!$D$51))</f>
        <v>-905.20567833133327</v>
      </c>
      <c r="S266" s="5">
        <f>S254+(S254*Assumptions!$D$51)</f>
        <v>0</v>
      </c>
      <c r="T266" s="5">
        <f t="shared" si="80"/>
        <v>0</v>
      </c>
      <c r="U266" s="22">
        <f t="shared" si="72"/>
        <v>-4497.3793695981021</v>
      </c>
      <c r="V266" s="5">
        <f>MAX(Assumptions!$E$18:$E$19)-U266</f>
        <v>7339.0123813967984</v>
      </c>
      <c r="W266" s="5">
        <f t="shared" si="73"/>
        <v>-2198.4576329329379</v>
      </c>
      <c r="X266" s="5">
        <f t="shared" si="78"/>
        <v>-4497.3793695981021</v>
      </c>
      <c r="Y266" s="5">
        <f>C266*Assumptions!$D$44*-1</f>
        <v>137.92002213962837</v>
      </c>
      <c r="Z266" s="5">
        <f t="shared" si="74"/>
        <v>781.0954010053872</v>
      </c>
      <c r="AA266" s="5">
        <f t="shared" si="81"/>
        <v>650672.83775981201</v>
      </c>
      <c r="AB266" s="3">
        <f>Assumptions!$E$45</f>
        <v>6.9899151946608562E-3</v>
      </c>
      <c r="AC266" s="5">
        <f t="shared" si="82"/>
        <v>656002.08111622778</v>
      </c>
      <c r="AD266" s="5">
        <f>AC266*Assumptions!$E$43</f>
        <v>587.49939144010511</v>
      </c>
      <c r="AE266" s="2">
        <f>AD266*Assumptions!$D$44*-1</f>
        <v>-88.124908716015767</v>
      </c>
      <c r="AF266" s="2">
        <f>AC266*Assumptions!$E$46*-1</f>
        <v>-21.862728159851223</v>
      </c>
      <c r="AG266" s="22">
        <f t="shared" si="83"/>
        <v>655892.09347935196</v>
      </c>
      <c r="AH266" s="5">
        <f>Model_30y[[#This Row],[Mortgage Payment]]+Model_30y[[#This Row],[Total Upkeep]]+Model_30y[[#This Row],[Monthly Investment]]</f>
        <v>-5914.7416015256522</v>
      </c>
      <c r="AI266" s="5">
        <f>Model_Renter!D266*-1</f>
        <v>5958.6836631126771</v>
      </c>
      <c r="AJ266" s="5">
        <f t="shared" si="84"/>
        <v>43.942061587024909</v>
      </c>
    </row>
    <row r="267" spans="1:36" x14ac:dyDescent="0.25">
      <c r="A267" s="17">
        <f t="shared" si="79"/>
        <v>265</v>
      </c>
      <c r="B267" s="17">
        <f t="shared" si="75"/>
        <v>23</v>
      </c>
      <c r="C267" s="23">
        <f>IFERROR(IPMT(Assumptions!$D$16/12,Model_30y!A267, 360,Assumptions!$D$8), 0)</f>
        <v>-912.30446567964441</v>
      </c>
      <c r="D267" s="2">
        <f>IFERROR(PPMT(Assumptions!$D$16/12, Model_30y!A267, 360, Assumptions!$D$8), 0)</f>
        <v>-1286.1531672532935</v>
      </c>
      <c r="E267" s="2">
        <f t="shared" si="69"/>
        <v>-2198.4576329329379</v>
      </c>
      <c r="F267" s="2">
        <f>IF(I266&gt;1, Assumptions!$E$18, 0)*-1</f>
        <v>-2198.4576329329379</v>
      </c>
      <c r="G267" s="24">
        <f t="shared" si="70"/>
        <v>1</v>
      </c>
      <c r="H267" s="20">
        <f t="shared" si="76"/>
        <v>178374.64143874543</v>
      </c>
      <c r="I267" s="2">
        <f>MAX(Assumptions!$D$8-SUM(Model_30y!H267), 0)</f>
        <v>161625.35856125457</v>
      </c>
      <c r="J267" s="2">
        <f>J266*(1+(Assumptions!$E$51))</f>
        <v>1248300.9025325212</v>
      </c>
      <c r="K267" s="22">
        <f t="shared" si="71"/>
        <v>1086675.5439712666</v>
      </c>
      <c r="L267" s="5">
        <f t="shared" si="77"/>
        <v>263374.64143874537</v>
      </c>
      <c r="M267" s="63">
        <f>L267/Assumptions!$D$6</f>
        <v>0.61970503867940085</v>
      </c>
      <c r="N267" s="24">
        <f t="shared" si="68"/>
        <v>0</v>
      </c>
      <c r="O267" s="5">
        <f>N267*Assumptions!$E$25*-1</f>
        <v>0</v>
      </c>
      <c r="P267" s="20">
        <f>Assumptions!$E$35*J267*-1</f>
        <v>-2571.2954747139152</v>
      </c>
      <c r="Q267" s="5">
        <f>J267*Assumptions!$E$36*-1</f>
        <v>-1035.5131768234401</v>
      </c>
      <c r="R267" s="5">
        <f>(R255+(Model_30y!R255*Assumptions!$D$51))</f>
        <v>-950.46596224789994</v>
      </c>
      <c r="S267" s="5">
        <f>S255+(S255*Assumptions!$D$51)</f>
        <v>0</v>
      </c>
      <c r="T267" s="5">
        <f t="shared" si="80"/>
        <v>0</v>
      </c>
      <c r="U267" s="22">
        <f t="shared" si="72"/>
        <v>-4557.2746137852555</v>
      </c>
      <c r="V267" s="5">
        <f>MAX(Assumptions!$E$18:$E$19)-U267</f>
        <v>7398.9076255839518</v>
      </c>
      <c r="W267" s="5">
        <f t="shared" si="73"/>
        <v>-2198.4576329329379</v>
      </c>
      <c r="X267" s="5">
        <f t="shared" si="78"/>
        <v>-4557.2746137852555</v>
      </c>
      <c r="Y267" s="5">
        <f>C267*Assumptions!$D$44*-1</f>
        <v>136.84566985194667</v>
      </c>
      <c r="Z267" s="5">
        <f t="shared" si="74"/>
        <v>780.02104871770553</v>
      </c>
      <c r="AA267" s="5">
        <f t="shared" si="81"/>
        <v>655892.09347935196</v>
      </c>
      <c r="AB267" s="3">
        <f>Assumptions!$E$45</f>
        <v>6.9899151946608562E-3</v>
      </c>
      <c r="AC267" s="5">
        <f t="shared" si="82"/>
        <v>661256.74463833892</v>
      </c>
      <c r="AD267" s="5">
        <f>AC267*Assumptions!$E$43</f>
        <v>592.20533934839511</v>
      </c>
      <c r="AE267" s="2">
        <f>AD267*Assumptions!$D$44*-1</f>
        <v>-88.83080090225927</v>
      </c>
      <c r="AF267" s="2">
        <f>AC267*Assumptions!$E$46*-1</f>
        <v>-22.03785150696001</v>
      </c>
      <c r="AG267" s="22">
        <f t="shared" si="83"/>
        <v>661145.87598592974</v>
      </c>
      <c r="AH267" s="5">
        <f>Model_30y[[#This Row],[Mortgage Payment]]+Model_30y[[#This Row],[Total Upkeep]]+Model_30y[[#This Row],[Monthly Investment]]</f>
        <v>-5975.7111980004875</v>
      </c>
      <c r="AI267" s="5">
        <f>Model_Renter!D267*-1</f>
        <v>6181.5384321130914</v>
      </c>
      <c r="AJ267" s="5">
        <f t="shared" si="84"/>
        <v>205.82723411260395</v>
      </c>
    </row>
    <row r="268" spans="1:36" x14ac:dyDescent="0.25">
      <c r="A268" s="17">
        <f t="shared" si="79"/>
        <v>266</v>
      </c>
      <c r="B268" s="17">
        <f t="shared" si="75"/>
        <v>23</v>
      </c>
      <c r="C268" s="23">
        <f>IFERROR(IPMT(Assumptions!$D$16/12,Model_30y!A268, 360,Assumptions!$D$8), 0)</f>
        <v>-905.1020079430258</v>
      </c>
      <c r="D268" s="2">
        <f>IFERROR(PPMT(Assumptions!$D$16/12, Model_30y!A268, 360, Assumptions!$D$8), 0)</f>
        <v>-1293.3556249899123</v>
      </c>
      <c r="E268" s="2">
        <f t="shared" si="69"/>
        <v>-2198.4576329329379</v>
      </c>
      <c r="F268" s="2">
        <f>IF(I267&gt;1, Assumptions!$E$18, 0)*-1</f>
        <v>-2198.4576329329379</v>
      </c>
      <c r="G268" s="24">
        <f t="shared" si="70"/>
        <v>1</v>
      </c>
      <c r="H268" s="20">
        <f t="shared" si="76"/>
        <v>179667.99706373535</v>
      </c>
      <c r="I268" s="2">
        <f>MAX(Assumptions!$D$8-SUM(Model_30y!H268), 0)</f>
        <v>160332.00293626465</v>
      </c>
      <c r="J268" s="2">
        <f>J267*(1+(Assumptions!$E$51))</f>
        <v>1253386.6349286786</v>
      </c>
      <c r="K268" s="22">
        <f t="shared" si="71"/>
        <v>1093054.6319924139</v>
      </c>
      <c r="L268" s="5">
        <f t="shared" si="77"/>
        <v>264667.99706373527</v>
      </c>
      <c r="M268" s="63">
        <f>L268/Assumptions!$D$6</f>
        <v>0.62274822838525945</v>
      </c>
      <c r="N268" s="24">
        <f t="shared" si="68"/>
        <v>0</v>
      </c>
      <c r="O268" s="5">
        <f>N268*Assumptions!$E$25*-1</f>
        <v>0</v>
      </c>
      <c r="P268" s="20">
        <f>Assumptions!$E$35*J268*-1</f>
        <v>-2581.7712507622346</v>
      </c>
      <c r="Q268" s="5">
        <f>J268*Assumptions!$E$36*-1</f>
        <v>-1039.7319856854176</v>
      </c>
      <c r="R268" s="5">
        <f>(R256+(Model_30y!R256*Assumptions!$D$51))</f>
        <v>-950.46596224789994</v>
      </c>
      <c r="S268" s="5">
        <f>S256+(S256*Assumptions!$D$51)</f>
        <v>0</v>
      </c>
      <c r="T268" s="5">
        <f t="shared" si="80"/>
        <v>0</v>
      </c>
      <c r="U268" s="22">
        <f t="shared" si="72"/>
        <v>-4571.9691986955522</v>
      </c>
      <c r="V268" s="5">
        <f>MAX(Assumptions!$E$18:$E$19)-U268</f>
        <v>7413.6022104942494</v>
      </c>
      <c r="W268" s="5">
        <f t="shared" si="73"/>
        <v>-2198.4576329329379</v>
      </c>
      <c r="X268" s="5">
        <f t="shared" si="78"/>
        <v>-4571.9691986955522</v>
      </c>
      <c r="Y268" s="5">
        <f>C268*Assumptions!$D$44*-1</f>
        <v>135.76530119145386</v>
      </c>
      <c r="Z268" s="5">
        <f t="shared" si="74"/>
        <v>778.94068005721363</v>
      </c>
      <c r="AA268" s="5">
        <f t="shared" si="81"/>
        <v>661145.87598592974</v>
      </c>
      <c r="AB268" s="3">
        <f>Assumptions!$E$45</f>
        <v>6.9899151946608562E-3</v>
      </c>
      <c r="AC268" s="5">
        <f t="shared" si="82"/>
        <v>666546.17027042829</v>
      </c>
      <c r="AD268" s="5">
        <f>AC268*Assumptions!$E$43</f>
        <v>596.94241935069113</v>
      </c>
      <c r="AE268" s="2">
        <f>AD268*Assumptions!$D$44*-1</f>
        <v>-89.541362902603666</v>
      </c>
      <c r="AF268" s="2">
        <f>AC268*Assumptions!$E$46*-1</f>
        <v>-22.214133378687226</v>
      </c>
      <c r="AG268" s="22">
        <f t="shared" si="83"/>
        <v>666434.41477414698</v>
      </c>
      <c r="AH268" s="5">
        <f>Model_30y[[#This Row],[Mortgage Payment]]+Model_30y[[#This Row],[Total Upkeep]]+Model_30y[[#This Row],[Monthly Investment]]</f>
        <v>-5991.4861515712773</v>
      </c>
      <c r="AI268" s="5">
        <f>Model_Renter!D268*-1</f>
        <v>6181.5384321130914</v>
      </c>
      <c r="AJ268" s="5">
        <f t="shared" si="84"/>
        <v>190.05228054181407</v>
      </c>
    </row>
    <row r="269" spans="1:36" x14ac:dyDescent="0.25">
      <c r="A269" s="17">
        <f t="shared" si="79"/>
        <v>267</v>
      </c>
      <c r="B269" s="17">
        <f t="shared" si="75"/>
        <v>23</v>
      </c>
      <c r="C269" s="23">
        <f>IFERROR(IPMT(Assumptions!$D$16/12,Model_30y!A269, 360,Assumptions!$D$8), 0)</f>
        <v>-897.85921644308212</v>
      </c>
      <c r="D269" s="2">
        <f>IFERROR(PPMT(Assumptions!$D$16/12, Model_30y!A269, 360, Assumptions!$D$8), 0)</f>
        <v>-1300.5984164898557</v>
      </c>
      <c r="E269" s="2">
        <f t="shared" si="69"/>
        <v>-2198.4576329329379</v>
      </c>
      <c r="F269" s="2">
        <f>IF(I268&gt;1, Assumptions!$E$18, 0)*-1</f>
        <v>-2198.4576329329379</v>
      </c>
      <c r="G269" s="24">
        <f t="shared" si="70"/>
        <v>1</v>
      </c>
      <c r="H269" s="20">
        <f t="shared" si="76"/>
        <v>180968.59548022522</v>
      </c>
      <c r="I269" s="2">
        <f>MAX(Assumptions!$D$8-SUM(Model_30y!H269), 0)</f>
        <v>159031.40451977478</v>
      </c>
      <c r="J269" s="2">
        <f>J268*(1+(Assumptions!$E$51))</f>
        <v>1258493.0872281485</v>
      </c>
      <c r="K269" s="22">
        <f t="shared" si="71"/>
        <v>1099461.6827083738</v>
      </c>
      <c r="L269" s="5">
        <f t="shared" si="77"/>
        <v>265968.59548022511</v>
      </c>
      <c r="M269" s="63">
        <f>L269/Assumptions!$D$6</f>
        <v>0.62580845995347079</v>
      </c>
      <c r="N269" s="24">
        <f t="shared" si="68"/>
        <v>0</v>
      </c>
      <c r="O269" s="5">
        <f>N269*Assumptions!$E$25*-1</f>
        <v>0</v>
      </c>
      <c r="P269" s="20">
        <f>Assumptions!$E$35*J269*-1</f>
        <v>-2592.2897064189042</v>
      </c>
      <c r="Q269" s="5">
        <f>J269*Assumptions!$E$36*-1</f>
        <v>-1043.9679824969185</v>
      </c>
      <c r="R269" s="5">
        <f>(R257+(Model_30y!R257*Assumptions!$D$51))</f>
        <v>-950.46596224789994</v>
      </c>
      <c r="S269" s="5">
        <f>S257+(S257*Assumptions!$D$51)</f>
        <v>0</v>
      </c>
      <c r="T269" s="5">
        <f t="shared" si="80"/>
        <v>0</v>
      </c>
      <c r="U269" s="22">
        <f t="shared" si="72"/>
        <v>-4586.7236511637229</v>
      </c>
      <c r="V269" s="5">
        <f>MAX(Assumptions!$E$18:$E$19)-U269</f>
        <v>7428.3566629624202</v>
      </c>
      <c r="W269" s="5">
        <f t="shared" si="73"/>
        <v>-2198.4576329329379</v>
      </c>
      <c r="X269" s="5">
        <f t="shared" si="78"/>
        <v>-4586.7236511637229</v>
      </c>
      <c r="Y269" s="5">
        <f>C269*Assumptions!$D$44*-1</f>
        <v>134.67888246646231</v>
      </c>
      <c r="Z269" s="5">
        <f t="shared" si="74"/>
        <v>777.85426133222199</v>
      </c>
      <c r="AA269" s="5">
        <f t="shared" si="81"/>
        <v>666434.41477414698</v>
      </c>
      <c r="AB269" s="3">
        <f>Assumptions!$E$45</f>
        <v>6.9899151946608562E-3</v>
      </c>
      <c r="AC269" s="5">
        <f t="shared" si="82"/>
        <v>671870.58907755394</v>
      </c>
      <c r="AD269" s="5">
        <f>AC269*Assumptions!$E$43</f>
        <v>601.71083838319771</v>
      </c>
      <c r="AE269" s="2">
        <f>AD269*Assumptions!$D$44*-1</f>
        <v>-90.256625757479654</v>
      </c>
      <c r="AF269" s="2">
        <f>AC269*Assumptions!$E$46*-1</f>
        <v>-22.391581475789778</v>
      </c>
      <c r="AG269" s="22">
        <f t="shared" si="83"/>
        <v>671757.94087032066</v>
      </c>
      <c r="AH269" s="5">
        <f>Model_30y[[#This Row],[Mortgage Payment]]+Model_30y[[#This Row],[Total Upkeep]]+Model_30y[[#This Row],[Monthly Investment]]</f>
        <v>-6007.3270227644389</v>
      </c>
      <c r="AI269" s="5">
        <f>Model_Renter!D269*-1</f>
        <v>6181.5384321130914</v>
      </c>
      <c r="AJ269" s="5">
        <f t="shared" si="84"/>
        <v>174.21140934865252</v>
      </c>
    </row>
    <row r="270" spans="1:36" x14ac:dyDescent="0.25">
      <c r="A270" s="17">
        <f t="shared" si="79"/>
        <v>268</v>
      </c>
      <c r="B270" s="17">
        <f t="shared" si="75"/>
        <v>23</v>
      </c>
      <c r="C270" s="23">
        <f>IFERROR(IPMT(Assumptions!$D$16/12,Model_30y!A270, 360,Assumptions!$D$8), 0)</f>
        <v>-890.57586531073889</v>
      </c>
      <c r="D270" s="2">
        <f>IFERROR(PPMT(Assumptions!$D$16/12, Model_30y!A270, 360, Assumptions!$D$8), 0)</f>
        <v>-1307.881767622199</v>
      </c>
      <c r="E270" s="2">
        <f t="shared" si="69"/>
        <v>-2198.4576329329379</v>
      </c>
      <c r="F270" s="2">
        <f>IF(I269&gt;1, Assumptions!$E$18, 0)*-1</f>
        <v>-2198.4576329329379</v>
      </c>
      <c r="G270" s="24">
        <f t="shared" si="70"/>
        <v>1</v>
      </c>
      <c r="H270" s="20">
        <f t="shared" si="76"/>
        <v>182276.47724784742</v>
      </c>
      <c r="I270" s="2">
        <f>MAX(Assumptions!$D$8-SUM(Model_30y!H270), 0)</f>
        <v>157723.52275215258</v>
      </c>
      <c r="J270" s="2">
        <f>J269*(1+(Assumptions!$E$51))</f>
        <v>1263620.3438463816</v>
      </c>
      <c r="K270" s="22">
        <f t="shared" si="71"/>
        <v>1105896.8210942291</v>
      </c>
      <c r="L270" s="5">
        <f t="shared" si="77"/>
        <v>267276.4772478473</v>
      </c>
      <c r="M270" s="63">
        <f>L270/Assumptions!$D$6</f>
        <v>0.62888582881846422</v>
      </c>
      <c r="N270" s="24">
        <f t="shared" si="68"/>
        <v>0</v>
      </c>
      <c r="O270" s="5">
        <f>N270*Assumptions!$E$25*-1</f>
        <v>0</v>
      </c>
      <c r="P270" s="20">
        <f>Assumptions!$E$35*J270*-1</f>
        <v>-2602.8510155659324</v>
      </c>
      <c r="Q270" s="5">
        <f>J270*Assumptions!$E$36*-1</f>
        <v>-1048.2212372837766</v>
      </c>
      <c r="R270" s="5">
        <f>(R258+(Model_30y!R258*Assumptions!$D$51))</f>
        <v>-950.46596224789994</v>
      </c>
      <c r="S270" s="5">
        <f>S258+(S258*Assumptions!$D$51)</f>
        <v>0</v>
      </c>
      <c r="T270" s="5">
        <f t="shared" si="80"/>
        <v>0</v>
      </c>
      <c r="U270" s="22">
        <f t="shared" si="72"/>
        <v>-4601.5382150976093</v>
      </c>
      <c r="V270" s="5">
        <f>MAX(Assumptions!$E$18:$E$19)-U270</f>
        <v>7443.1712268963056</v>
      </c>
      <c r="W270" s="5">
        <f t="shared" si="73"/>
        <v>-2198.4576329329379</v>
      </c>
      <c r="X270" s="5">
        <f t="shared" si="78"/>
        <v>-4601.5382150976093</v>
      </c>
      <c r="Y270" s="5">
        <f>C270*Assumptions!$D$44*-1</f>
        <v>133.58637979661083</v>
      </c>
      <c r="Z270" s="5">
        <f t="shared" si="74"/>
        <v>776.76175866236963</v>
      </c>
      <c r="AA270" s="5">
        <f t="shared" si="81"/>
        <v>671757.94087032066</v>
      </c>
      <c r="AB270" s="3">
        <f>Assumptions!$E$45</f>
        <v>6.9899151946608562E-3</v>
      </c>
      <c r="AC270" s="5">
        <f t="shared" si="82"/>
        <v>677230.2336670066</v>
      </c>
      <c r="AD270" s="5">
        <f>AC270*Assumptions!$E$43</f>
        <v>606.5108047633056</v>
      </c>
      <c r="AE270" s="2">
        <f>AD270*Assumptions!$D$44*-1</f>
        <v>-90.976620714495837</v>
      </c>
      <c r="AF270" s="2">
        <f>AC270*Assumptions!$E$46*-1</f>
        <v>-22.570203550422892</v>
      </c>
      <c r="AG270" s="22">
        <f t="shared" si="83"/>
        <v>677116.68684274168</v>
      </c>
      <c r="AH270" s="5">
        <f>Model_30y[[#This Row],[Mortgage Payment]]+Model_30y[[#This Row],[Total Upkeep]]+Model_30y[[#This Row],[Monthly Investment]]</f>
        <v>-6023.2340893681776</v>
      </c>
      <c r="AI270" s="5">
        <f>Model_Renter!D270*-1</f>
        <v>6181.5384321130914</v>
      </c>
      <c r="AJ270" s="5">
        <f t="shared" si="84"/>
        <v>158.30434274491381</v>
      </c>
    </row>
    <row r="271" spans="1:36" x14ac:dyDescent="0.25">
      <c r="A271" s="17">
        <f t="shared" si="79"/>
        <v>269</v>
      </c>
      <c r="B271" s="17">
        <f t="shared" si="75"/>
        <v>23</v>
      </c>
      <c r="C271" s="23">
        <f>IFERROR(IPMT(Assumptions!$D$16/12,Model_30y!A271, 360,Assumptions!$D$8), 0)</f>
        <v>-883.25172741205472</v>
      </c>
      <c r="D271" s="2">
        <f>IFERROR(PPMT(Assumptions!$D$16/12, Model_30y!A271, 360, Assumptions!$D$8), 0)</f>
        <v>-1315.2059055208831</v>
      </c>
      <c r="E271" s="2">
        <f t="shared" si="69"/>
        <v>-2198.4576329329379</v>
      </c>
      <c r="F271" s="2">
        <f>IF(I270&gt;1, Assumptions!$E$18, 0)*-1</f>
        <v>-2198.4576329329379</v>
      </c>
      <c r="G271" s="24">
        <f t="shared" si="70"/>
        <v>1</v>
      </c>
      <c r="H271" s="20">
        <f t="shared" si="76"/>
        <v>183591.6831533683</v>
      </c>
      <c r="I271" s="2">
        <f>MAX(Assumptions!$D$8-SUM(Model_30y!H271), 0)</f>
        <v>156408.3168466317</v>
      </c>
      <c r="J271" s="2">
        <f>J270*(1+(Assumptions!$E$51))</f>
        <v>1268768.4895427481</v>
      </c>
      <c r="K271" s="22">
        <f t="shared" si="71"/>
        <v>1112360.1726961164</v>
      </c>
      <c r="L271" s="5">
        <f t="shared" si="77"/>
        <v>268591.68315336818</v>
      </c>
      <c r="M271" s="63">
        <f>L271/Assumptions!$D$6</f>
        <v>0.63198043094910161</v>
      </c>
      <c r="N271" s="24">
        <f t="shared" si="68"/>
        <v>0</v>
      </c>
      <c r="O271" s="5">
        <f>N271*Assumptions!$E$25*-1</f>
        <v>0</v>
      </c>
      <c r="P271" s="20">
        <f>Assumptions!$E$35*J271*-1</f>
        <v>-2613.4553527937428</v>
      </c>
      <c r="Q271" s="5">
        <f>J271*Assumptions!$E$36*-1</f>
        <v>-1052.4918203571196</v>
      </c>
      <c r="R271" s="5">
        <f>(R259+(Model_30y!R259*Assumptions!$D$51))</f>
        <v>-950.46596224789994</v>
      </c>
      <c r="S271" s="5">
        <f>S259+(S259*Assumptions!$D$51)</f>
        <v>0</v>
      </c>
      <c r="T271" s="5">
        <f t="shared" si="80"/>
        <v>0</v>
      </c>
      <c r="U271" s="22">
        <f t="shared" si="72"/>
        <v>-4616.4131353987623</v>
      </c>
      <c r="V271" s="5">
        <f>MAX(Assumptions!$E$18:$E$19)-U271</f>
        <v>7458.0461471974595</v>
      </c>
      <c r="W271" s="5">
        <f t="shared" si="73"/>
        <v>-2198.4576329329379</v>
      </c>
      <c r="X271" s="5">
        <f t="shared" si="78"/>
        <v>-4616.4131353987623</v>
      </c>
      <c r="Y271" s="5">
        <f>C271*Assumptions!$D$44*-1</f>
        <v>132.4877591118082</v>
      </c>
      <c r="Z271" s="5">
        <f t="shared" si="74"/>
        <v>775.66313797756789</v>
      </c>
      <c r="AA271" s="5">
        <f t="shared" si="81"/>
        <v>677116.68684274168</v>
      </c>
      <c r="AB271" s="3">
        <f>Assumptions!$E$45</f>
        <v>6.9899151946608562E-3</v>
      </c>
      <c r="AC271" s="5">
        <f t="shared" si="82"/>
        <v>682625.3381986398</v>
      </c>
      <c r="AD271" s="5">
        <f>AC271*Assumptions!$E$43</f>
        <v>611.3425281988425</v>
      </c>
      <c r="AE271" s="2">
        <f>AD271*Assumptions!$D$44*-1</f>
        <v>-91.701379229826372</v>
      </c>
      <c r="AF271" s="2">
        <f>AC271*Assumptions!$E$46*-1</f>
        <v>-22.750007406484407</v>
      </c>
      <c r="AG271" s="22">
        <f t="shared" si="83"/>
        <v>682510.88681200345</v>
      </c>
      <c r="AH271" s="5">
        <f>Model_30y[[#This Row],[Mortgage Payment]]+Model_30y[[#This Row],[Total Upkeep]]+Model_30y[[#This Row],[Monthly Investment]]</f>
        <v>-6039.2076303541326</v>
      </c>
      <c r="AI271" s="5">
        <f>Model_Renter!D271*-1</f>
        <v>6181.5384321130914</v>
      </c>
      <c r="AJ271" s="5">
        <f t="shared" si="84"/>
        <v>142.33080175895884</v>
      </c>
    </row>
    <row r="272" spans="1:36" x14ac:dyDescent="0.25">
      <c r="A272" s="17">
        <f t="shared" si="79"/>
        <v>270</v>
      </c>
      <c r="B272" s="17">
        <f t="shared" si="75"/>
        <v>23</v>
      </c>
      <c r="C272" s="23">
        <f>IFERROR(IPMT(Assumptions!$D$16/12,Model_30y!A272, 360,Assumptions!$D$8), 0)</f>
        <v>-875.88657434113804</v>
      </c>
      <c r="D272" s="2">
        <f>IFERROR(PPMT(Assumptions!$D$16/12, Model_30y!A272, 360, Assumptions!$D$8), 0)</f>
        <v>-1322.5710585918</v>
      </c>
      <c r="E272" s="2">
        <f t="shared" si="69"/>
        <v>-2198.4576329329379</v>
      </c>
      <c r="F272" s="2">
        <f>IF(I271&gt;1, Assumptions!$E$18, 0)*-1</f>
        <v>-2198.4576329329379</v>
      </c>
      <c r="G272" s="24">
        <f t="shared" si="70"/>
        <v>1</v>
      </c>
      <c r="H272" s="20">
        <f t="shared" si="76"/>
        <v>184914.2542119601</v>
      </c>
      <c r="I272" s="2">
        <f>MAX(Assumptions!$D$8-SUM(Model_30y!H272), 0)</f>
        <v>155085.7457880399</v>
      </c>
      <c r="J272" s="2">
        <f>J271*(1+(Assumptions!$E$51))</f>
        <v>1273937.6094219377</v>
      </c>
      <c r="K272" s="22">
        <f t="shared" si="71"/>
        <v>1118851.8636338979</v>
      </c>
      <c r="L272" s="5">
        <f t="shared" si="77"/>
        <v>269914.25421196001</v>
      </c>
      <c r="M272" s="63">
        <f>L272/Assumptions!$D$6</f>
        <v>0.63509236285167059</v>
      </c>
      <c r="N272" s="24">
        <f t="shared" si="68"/>
        <v>0</v>
      </c>
      <c r="O272" s="5">
        <f>N272*Assumptions!$E$25*-1</f>
        <v>0</v>
      </c>
      <c r="P272" s="20">
        <f>Assumptions!$E$35*J272*-1</f>
        <v>-2624.1028934040628</v>
      </c>
      <c r="Q272" s="5">
        <f>J272*Assumptions!$E$36*-1</f>
        <v>-1056.7798023145319</v>
      </c>
      <c r="R272" s="5">
        <f>(R260+(Model_30y!R260*Assumptions!$D$51))</f>
        <v>-950.46596224789994</v>
      </c>
      <c r="S272" s="5">
        <f>S260+(S260*Assumptions!$D$51)</f>
        <v>0</v>
      </c>
      <c r="T272" s="5">
        <f t="shared" si="80"/>
        <v>0</v>
      </c>
      <c r="U272" s="22">
        <f t="shared" si="72"/>
        <v>-4631.348657966495</v>
      </c>
      <c r="V272" s="5">
        <f>MAX(Assumptions!$E$18:$E$19)-U272</f>
        <v>7472.9816697651913</v>
      </c>
      <c r="W272" s="5">
        <f t="shared" si="73"/>
        <v>-2198.4576329329379</v>
      </c>
      <c r="X272" s="5">
        <f t="shared" si="78"/>
        <v>-4631.348657966495</v>
      </c>
      <c r="Y272" s="5">
        <f>C272*Assumptions!$D$44*-1</f>
        <v>131.38298615117071</v>
      </c>
      <c r="Z272" s="5">
        <f t="shared" si="74"/>
        <v>774.55836501692954</v>
      </c>
      <c r="AA272" s="5">
        <f t="shared" si="81"/>
        <v>682510.88681200345</v>
      </c>
      <c r="AB272" s="3">
        <f>Assumptions!$E$45</f>
        <v>6.9899151946608562E-3</v>
      </c>
      <c r="AC272" s="5">
        <f t="shared" si="82"/>
        <v>688056.13839526905</v>
      </c>
      <c r="AD272" s="5">
        <f>AC272*Assumptions!$E$43</f>
        <v>616.20621979738667</v>
      </c>
      <c r="AE272" s="2">
        <f>AD272*Assumptions!$D$44*-1</f>
        <v>-92.430932969607994</v>
      </c>
      <c r="AF272" s="2">
        <f>AC272*Assumptions!$E$46*-1</f>
        <v>-22.931000899961354</v>
      </c>
      <c r="AG272" s="22">
        <f t="shared" si="83"/>
        <v>687940.77646139951</v>
      </c>
      <c r="AH272" s="5">
        <f>Model_30y[[#This Row],[Mortgage Payment]]+Model_30y[[#This Row],[Total Upkeep]]+Model_30y[[#This Row],[Monthly Investment]]</f>
        <v>-6055.2479258825033</v>
      </c>
      <c r="AI272" s="5">
        <f>Model_Renter!D272*-1</f>
        <v>6181.5384321130914</v>
      </c>
      <c r="AJ272" s="5">
        <f t="shared" si="84"/>
        <v>126.29050623058811</v>
      </c>
    </row>
    <row r="273" spans="1:36" x14ac:dyDescent="0.25">
      <c r="A273" s="17">
        <f t="shared" si="79"/>
        <v>271</v>
      </c>
      <c r="B273" s="17">
        <f t="shared" si="75"/>
        <v>23</v>
      </c>
      <c r="C273" s="23">
        <f>IFERROR(IPMT(Assumptions!$D$16/12,Model_30y!A273, 360,Assumptions!$D$8), 0)</f>
        <v>-868.48017641302363</v>
      </c>
      <c r="D273" s="2">
        <f>IFERROR(PPMT(Assumptions!$D$16/12, Model_30y!A273, 360, Assumptions!$D$8), 0)</f>
        <v>-1329.9774565199143</v>
      </c>
      <c r="E273" s="2">
        <f t="shared" si="69"/>
        <v>-2198.4576329329379</v>
      </c>
      <c r="F273" s="2">
        <f>IF(I272&gt;1, Assumptions!$E$18, 0)*-1</f>
        <v>-2198.4576329329379</v>
      </c>
      <c r="G273" s="24">
        <f t="shared" si="70"/>
        <v>1</v>
      </c>
      <c r="H273" s="20">
        <f t="shared" si="76"/>
        <v>186244.23166848</v>
      </c>
      <c r="I273" s="2">
        <f>MAX(Assumptions!$D$8-SUM(Model_30y!H273), 0)</f>
        <v>153755.76833152</v>
      </c>
      <c r="J273" s="2">
        <f>J272*(1+(Assumptions!$E$51))</f>
        <v>1279127.7889353677</v>
      </c>
      <c r="K273" s="22">
        <f t="shared" si="71"/>
        <v>1125372.0206038477</v>
      </c>
      <c r="L273" s="5">
        <f t="shared" si="77"/>
        <v>271244.23166847992</v>
      </c>
      <c r="M273" s="63">
        <f>L273/Assumptions!$D$6</f>
        <v>0.63822172157289392</v>
      </c>
      <c r="N273" s="24">
        <f t="shared" si="68"/>
        <v>0</v>
      </c>
      <c r="O273" s="5">
        <f>N273*Assumptions!$E$25*-1</f>
        <v>0</v>
      </c>
      <c r="P273" s="20">
        <f>Assumptions!$E$35*J273*-1</f>
        <v>-2634.7938134128203</v>
      </c>
      <c r="Q273" s="5">
        <f>J273*Assumptions!$E$36*-1</f>
        <v>-1061.0852540412207</v>
      </c>
      <c r="R273" s="5">
        <f>(R261+(Model_30y!R261*Assumptions!$D$51))</f>
        <v>-950.46596224789994</v>
      </c>
      <c r="S273" s="5">
        <f>S261+(S261*Assumptions!$D$51)</f>
        <v>0</v>
      </c>
      <c r="T273" s="5">
        <f t="shared" si="80"/>
        <v>0</v>
      </c>
      <c r="U273" s="22">
        <f t="shared" si="72"/>
        <v>-4646.3450297019408</v>
      </c>
      <c r="V273" s="5">
        <f>MAX(Assumptions!$E$18:$E$19)-U273</f>
        <v>7487.9780415006371</v>
      </c>
      <c r="W273" s="5">
        <f t="shared" si="73"/>
        <v>-2198.4576329329379</v>
      </c>
      <c r="X273" s="5">
        <f t="shared" si="78"/>
        <v>-4646.3450297019408</v>
      </c>
      <c r="Y273" s="5">
        <f>C273*Assumptions!$D$44*-1</f>
        <v>130.27202646195354</v>
      </c>
      <c r="Z273" s="5">
        <f t="shared" si="74"/>
        <v>773.44740532771243</v>
      </c>
      <c r="AA273" s="5">
        <f t="shared" si="81"/>
        <v>687940.77646139951</v>
      </c>
      <c r="AB273" s="3">
        <f>Assumptions!$E$45</f>
        <v>6.9899151946608562E-3</v>
      </c>
      <c r="AC273" s="5">
        <f t="shared" si="82"/>
        <v>693522.87155314151</v>
      </c>
      <c r="AD273" s="5">
        <f>AC273*Assumptions!$E$43</f>
        <v>621.10209207564321</v>
      </c>
      <c r="AE273" s="2">
        <f>AD273*Assumptions!$D$44*-1</f>
        <v>-93.165313811346479</v>
      </c>
      <c r="AF273" s="2">
        <f>AC273*Assumptions!$E$46*-1</f>
        <v>-23.113191939278856</v>
      </c>
      <c r="AG273" s="22">
        <f t="shared" si="83"/>
        <v>693406.59304739092</v>
      </c>
      <c r="AH273" s="5">
        <f>Model_30y[[#This Row],[Mortgage Payment]]+Model_30y[[#This Row],[Total Upkeep]]+Model_30y[[#This Row],[Monthly Investment]]</f>
        <v>-6071.3552573071656</v>
      </c>
      <c r="AI273" s="5">
        <f>Model_Renter!D273*-1</f>
        <v>6181.5384321130914</v>
      </c>
      <c r="AJ273" s="5">
        <f t="shared" si="84"/>
        <v>110.18317480592577</v>
      </c>
    </row>
    <row r="274" spans="1:36" x14ac:dyDescent="0.25">
      <c r="A274" s="17">
        <f t="shared" si="79"/>
        <v>272</v>
      </c>
      <c r="B274" s="17">
        <f t="shared" si="75"/>
        <v>23</v>
      </c>
      <c r="C274" s="23">
        <f>IFERROR(IPMT(Assumptions!$D$16/12,Model_30y!A274, 360,Assumptions!$D$8), 0)</f>
        <v>-861.03230265651234</v>
      </c>
      <c r="D274" s="2">
        <f>IFERROR(PPMT(Assumptions!$D$16/12, Model_30y!A274, 360, Assumptions!$D$8), 0)</f>
        <v>-1337.4253302764257</v>
      </c>
      <c r="E274" s="2">
        <f t="shared" si="69"/>
        <v>-2198.4576329329379</v>
      </c>
      <c r="F274" s="2">
        <f>IF(I273&gt;1, Assumptions!$E$18, 0)*-1</f>
        <v>-2198.4576329329379</v>
      </c>
      <c r="G274" s="24">
        <f t="shared" si="70"/>
        <v>1</v>
      </c>
      <c r="H274" s="20">
        <f t="shared" si="76"/>
        <v>187581.65699875643</v>
      </c>
      <c r="I274" s="2">
        <f>MAX(Assumptions!$D$8-SUM(Model_30y!H274), 0)</f>
        <v>152418.34300124357</v>
      </c>
      <c r="J274" s="2">
        <f>J273*(1+(Assumptions!$E$51))</f>
        <v>1284339.1138825947</v>
      </c>
      <c r="K274" s="22">
        <f t="shared" si="71"/>
        <v>1131920.7708813511</v>
      </c>
      <c r="L274" s="5">
        <f t="shared" si="77"/>
        <v>272581.65699875634</v>
      </c>
      <c r="M274" s="63">
        <f>L274/Assumptions!$D$6</f>
        <v>0.64136860470295609</v>
      </c>
      <c r="N274" s="24">
        <f t="shared" ref="N274:N337" si="85">IF(M274&lt;0.2, 1, 0)</f>
        <v>0</v>
      </c>
      <c r="O274" s="5">
        <f>N274*Assumptions!$E$25*-1</f>
        <v>0</v>
      </c>
      <c r="P274" s="20">
        <f>Assumptions!$E$35*J274*-1</f>
        <v>-2645.5282895530549</v>
      </c>
      <c r="Q274" s="5">
        <f>J274*Assumptions!$E$36*-1</f>
        <v>-1065.4082467111884</v>
      </c>
      <c r="R274" s="5">
        <f>(R262+(Model_30y!R262*Assumptions!$D$51))</f>
        <v>-950.46596224789994</v>
      </c>
      <c r="S274" s="5">
        <f>S262+(S262*Assumptions!$D$51)</f>
        <v>0</v>
      </c>
      <c r="T274" s="5">
        <f t="shared" si="80"/>
        <v>0</v>
      </c>
      <c r="U274" s="22">
        <f t="shared" si="72"/>
        <v>-4661.4024985121432</v>
      </c>
      <c r="V274" s="5">
        <f>MAX(Assumptions!$E$18:$E$19)-U274</f>
        <v>7503.0355103108395</v>
      </c>
      <c r="W274" s="5">
        <f t="shared" si="73"/>
        <v>-2198.4576329329379</v>
      </c>
      <c r="X274" s="5">
        <f t="shared" si="78"/>
        <v>-4661.4024985121432</v>
      </c>
      <c r="Y274" s="5">
        <f>C274*Assumptions!$D$44*-1</f>
        <v>129.15484539847685</v>
      </c>
      <c r="Z274" s="5">
        <f t="shared" si="74"/>
        <v>772.33022426423565</v>
      </c>
      <c r="AA274" s="5">
        <f t="shared" si="81"/>
        <v>693406.59304739092</v>
      </c>
      <c r="AB274" s="3">
        <f>Assumptions!$E$45</f>
        <v>6.9899151946608562E-3</v>
      </c>
      <c r="AC274" s="5">
        <f t="shared" si="82"/>
        <v>699025.77655247506</v>
      </c>
      <c r="AD274" s="5">
        <f>AC274*Assumptions!$E$43</f>
        <v>626.03035896888241</v>
      </c>
      <c r="AE274" s="2">
        <f>AD274*Assumptions!$D$44*-1</f>
        <v>-93.904553845332359</v>
      </c>
      <c r="AF274" s="2">
        <f>AC274*Assumptions!$E$46*-1</f>
        <v>-23.296588485651398</v>
      </c>
      <c r="AG274" s="22">
        <f t="shared" si="83"/>
        <v>698908.57541014405</v>
      </c>
      <c r="AH274" s="5">
        <f>Model_30y[[#This Row],[Mortgage Payment]]+Model_30y[[#This Row],[Total Upkeep]]+Model_30y[[#This Row],[Monthly Investment]]</f>
        <v>-6087.5299071808449</v>
      </c>
      <c r="AI274" s="5">
        <f>Model_Renter!D274*-1</f>
        <v>6181.5384321130914</v>
      </c>
      <c r="AJ274" s="5">
        <f t="shared" si="84"/>
        <v>94.008524932246473</v>
      </c>
    </row>
    <row r="275" spans="1:36" x14ac:dyDescent="0.25">
      <c r="A275" s="17">
        <f t="shared" si="79"/>
        <v>273</v>
      </c>
      <c r="B275" s="17">
        <f t="shared" si="75"/>
        <v>23</v>
      </c>
      <c r="C275" s="23">
        <f>IFERROR(IPMT(Assumptions!$D$16/12,Model_30y!A275, 360,Assumptions!$D$8), 0)</f>
        <v>-853.54272080696433</v>
      </c>
      <c r="D275" s="2">
        <f>IFERROR(PPMT(Assumptions!$D$16/12, Model_30y!A275, 360, Assumptions!$D$8), 0)</f>
        <v>-1344.9149121259736</v>
      </c>
      <c r="E275" s="2">
        <f t="shared" si="69"/>
        <v>-2198.4576329329379</v>
      </c>
      <c r="F275" s="2">
        <f>IF(I274&gt;1, Assumptions!$E$18, 0)*-1</f>
        <v>-2198.4576329329379</v>
      </c>
      <c r="G275" s="24">
        <f t="shared" si="70"/>
        <v>1</v>
      </c>
      <c r="H275" s="20">
        <f t="shared" si="76"/>
        <v>188926.5719108824</v>
      </c>
      <c r="I275" s="2">
        <f>MAX(Assumptions!$D$8-SUM(Model_30y!H275), 0)</f>
        <v>151073.4280891176</v>
      </c>
      <c r="J275" s="2">
        <f>J274*(1+(Assumptions!$E$51))</f>
        <v>1289571.6704127337</v>
      </c>
      <c r="K275" s="22">
        <f t="shared" si="71"/>
        <v>1138498.2423236161</v>
      </c>
      <c r="L275" s="5">
        <f t="shared" si="77"/>
        <v>273926.57191088231</v>
      </c>
      <c r="M275" s="63">
        <f>L275/Assumptions!$D$6</f>
        <v>0.64453311037854666</v>
      </c>
      <c r="N275" s="24">
        <f t="shared" si="85"/>
        <v>0</v>
      </c>
      <c r="O275" s="5">
        <f>N275*Assumptions!$E$25*-1</f>
        <v>0</v>
      </c>
      <c r="P275" s="20">
        <f>Assumptions!$E$35*J275*-1</f>
        <v>-2656.3064992778377</v>
      </c>
      <c r="Q275" s="5">
        <f>J275*Assumptions!$E$36*-1</f>
        <v>-1069.7488517884096</v>
      </c>
      <c r="R275" s="5">
        <f>(R263+(Model_30y!R263*Assumptions!$D$51))</f>
        <v>-950.46596224789994</v>
      </c>
      <c r="S275" s="5">
        <f>S263+(S263*Assumptions!$D$51)</f>
        <v>0</v>
      </c>
      <c r="T275" s="5">
        <f t="shared" si="80"/>
        <v>0</v>
      </c>
      <c r="U275" s="22">
        <f t="shared" si="72"/>
        <v>-4676.5213133141478</v>
      </c>
      <c r="V275" s="5">
        <f>MAX(Assumptions!$E$18:$E$19)-U275</f>
        <v>7518.1543251128442</v>
      </c>
      <c r="W275" s="5">
        <f t="shared" si="73"/>
        <v>-2198.4576329329379</v>
      </c>
      <c r="X275" s="5">
        <f t="shared" si="78"/>
        <v>-4676.5213133141478</v>
      </c>
      <c r="Y275" s="5">
        <f>C275*Assumptions!$D$44*-1</f>
        <v>128.03140812104465</v>
      </c>
      <c r="Z275" s="5">
        <f t="shared" si="74"/>
        <v>771.20678698680354</v>
      </c>
      <c r="AA275" s="5">
        <f t="shared" si="81"/>
        <v>698908.57541014405</v>
      </c>
      <c r="AB275" s="3">
        <f>Assumptions!$E$45</f>
        <v>6.9899151946608562E-3</v>
      </c>
      <c r="AC275" s="5">
        <f t="shared" si="82"/>
        <v>704565.093868069</v>
      </c>
      <c r="AD275" s="5">
        <f>AC275*Assumptions!$E$43</f>
        <v>630.99123584044298</v>
      </c>
      <c r="AE275" s="2">
        <f>AD275*Assumptions!$D$44*-1</f>
        <v>-94.648685376066439</v>
      </c>
      <c r="AF275" s="2">
        <f>AC275*Assumptions!$E$46*-1</f>
        <v>-23.481198553436428</v>
      </c>
      <c r="AG275" s="22">
        <f t="shared" si="83"/>
        <v>704446.9639841395</v>
      </c>
      <c r="AH275" s="5">
        <f>Model_30y[[#This Row],[Mortgage Payment]]+Model_30y[[#This Row],[Total Upkeep]]+Model_30y[[#This Row],[Monthly Investment]]</f>
        <v>-6103.772159260282</v>
      </c>
      <c r="AI275" s="5">
        <f>Model_Renter!D275*-1</f>
        <v>6181.5384321130914</v>
      </c>
      <c r="AJ275" s="5">
        <f t="shared" si="84"/>
        <v>77.766272852809379</v>
      </c>
    </row>
    <row r="276" spans="1:36" x14ac:dyDescent="0.25">
      <c r="A276" s="17">
        <f t="shared" si="79"/>
        <v>274</v>
      </c>
      <c r="B276" s="17">
        <f t="shared" si="75"/>
        <v>23</v>
      </c>
      <c r="C276" s="23">
        <f>IFERROR(IPMT(Assumptions!$D$16/12,Model_30y!A276, 360,Assumptions!$D$8), 0)</f>
        <v>-846.01119729905872</v>
      </c>
      <c r="D276" s="2">
        <f>IFERROR(PPMT(Assumptions!$D$16/12, Model_30y!A276, 360, Assumptions!$D$8), 0)</f>
        <v>-1352.4464356338792</v>
      </c>
      <c r="E276" s="2">
        <f t="shared" si="69"/>
        <v>-2198.4576329329379</v>
      </c>
      <c r="F276" s="2">
        <f>IF(I275&gt;1, Assumptions!$E$18, 0)*-1</f>
        <v>-2198.4576329329379</v>
      </c>
      <c r="G276" s="24">
        <f t="shared" si="70"/>
        <v>1</v>
      </c>
      <c r="H276" s="20">
        <f t="shared" si="76"/>
        <v>190279.01834651627</v>
      </c>
      <c r="I276" s="2">
        <f>MAX(Assumptions!$D$8-SUM(Model_30y!H276), 0)</f>
        <v>149720.98165348373</v>
      </c>
      <c r="J276" s="2">
        <f>J275*(1+(Assumptions!$E$51))</f>
        <v>1294825.5450258814</v>
      </c>
      <c r="K276" s="22">
        <f t="shared" si="71"/>
        <v>1145104.5633723976</v>
      </c>
      <c r="L276" s="5">
        <f t="shared" si="77"/>
        <v>275279.01834651618</v>
      </c>
      <c r="M276" s="63">
        <f>L276/Assumptions!$D$6</f>
        <v>0.64771533728592046</v>
      </c>
      <c r="N276" s="24">
        <f t="shared" si="85"/>
        <v>0</v>
      </c>
      <c r="O276" s="5">
        <f>N276*Assumptions!$E$25*-1</f>
        <v>0</v>
      </c>
      <c r="P276" s="20">
        <f>Assumptions!$E$35*J276*-1</f>
        <v>-2667.1286207632052</v>
      </c>
      <c r="Q276" s="5">
        <f>J276*Assumptions!$E$36*-1</f>
        <v>-1074.1071410280115</v>
      </c>
      <c r="R276" s="5">
        <f>(R264+(Model_30y!R264*Assumptions!$D$51))</f>
        <v>-950.46596224789994</v>
      </c>
      <c r="S276" s="5">
        <f>S264+(S264*Assumptions!$D$51)</f>
        <v>0</v>
      </c>
      <c r="T276" s="5">
        <f t="shared" si="80"/>
        <v>0</v>
      </c>
      <c r="U276" s="22">
        <f t="shared" si="72"/>
        <v>-4691.7017240391169</v>
      </c>
      <c r="V276" s="5">
        <f>MAX(Assumptions!$E$18:$E$19)-U276</f>
        <v>7533.3347358378142</v>
      </c>
      <c r="W276" s="5">
        <f t="shared" si="73"/>
        <v>-2198.4576329329379</v>
      </c>
      <c r="X276" s="5">
        <f t="shared" si="78"/>
        <v>-4691.7017240391169</v>
      </c>
      <c r="Y276" s="5">
        <f>C276*Assumptions!$D$44*-1</f>
        <v>126.90167959485881</v>
      </c>
      <c r="Z276" s="5">
        <f t="shared" si="74"/>
        <v>770.07705846061856</v>
      </c>
      <c r="AA276" s="5">
        <f t="shared" si="81"/>
        <v>704446.9639841395</v>
      </c>
      <c r="AB276" s="3">
        <f>Assumptions!$E$45</f>
        <v>6.9899151946608562E-3</v>
      </c>
      <c r="AC276" s="5">
        <f t="shared" si="82"/>
        <v>710141.0655799855</v>
      </c>
      <c r="AD276" s="5">
        <f>AC276*Assumptions!$E$43</f>
        <v>635.98493949129738</v>
      </c>
      <c r="AE276" s="2">
        <f>AD276*Assumptions!$D$44*-1</f>
        <v>-95.397740923694599</v>
      </c>
      <c r="AF276" s="2">
        <f>AC276*Assumptions!$E$46*-1</f>
        <v>-23.667030210490349</v>
      </c>
      <c r="AG276" s="22">
        <f t="shared" si="83"/>
        <v>710022.00080885133</v>
      </c>
      <c r="AH276" s="5">
        <f>Model_30y[[#This Row],[Mortgage Payment]]+Model_30y[[#This Row],[Total Upkeep]]+Model_30y[[#This Row],[Monthly Investment]]</f>
        <v>-6120.0822985114364</v>
      </c>
      <c r="AI276" s="5">
        <f>Model_Renter!D276*-1</f>
        <v>6181.5384321130914</v>
      </c>
      <c r="AJ276" s="5">
        <f t="shared" si="84"/>
        <v>61.456133601654983</v>
      </c>
    </row>
    <row r="277" spans="1:36" x14ac:dyDescent="0.25">
      <c r="A277" s="17">
        <f t="shared" si="79"/>
        <v>275</v>
      </c>
      <c r="B277" s="17">
        <f t="shared" si="75"/>
        <v>23</v>
      </c>
      <c r="C277" s="23">
        <f>IFERROR(IPMT(Assumptions!$D$16/12,Model_30y!A277, 360,Assumptions!$D$8), 0)</f>
        <v>-838.43749725950909</v>
      </c>
      <c r="D277" s="2">
        <f>IFERROR(PPMT(Assumptions!$D$16/12, Model_30y!A277, 360, Assumptions!$D$8), 0)</f>
        <v>-1360.020135673429</v>
      </c>
      <c r="E277" s="2">
        <f t="shared" si="69"/>
        <v>-2198.4576329329379</v>
      </c>
      <c r="F277" s="2">
        <f>IF(I276&gt;1, Assumptions!$E$18, 0)*-1</f>
        <v>-2198.4576329329379</v>
      </c>
      <c r="G277" s="24">
        <f t="shared" si="70"/>
        <v>1</v>
      </c>
      <c r="H277" s="20">
        <f t="shared" si="76"/>
        <v>191639.0384821897</v>
      </c>
      <c r="I277" s="2">
        <f>MAX(Assumptions!$D$8-SUM(Model_30y!H277), 0)</f>
        <v>148360.9615178103</v>
      </c>
      <c r="J277" s="2">
        <f>J276*(1+(Assumptions!$E$51))</f>
        <v>1300100.8245745467</v>
      </c>
      <c r="K277" s="22">
        <f t="shared" si="71"/>
        <v>1151739.8630567363</v>
      </c>
      <c r="L277" s="5">
        <f t="shared" si="77"/>
        <v>276639.03848218959</v>
      </c>
      <c r="M277" s="63">
        <f>L277/Assumptions!$D$6</f>
        <v>0.65091538466397547</v>
      </c>
      <c r="N277" s="24">
        <f t="shared" si="85"/>
        <v>0</v>
      </c>
      <c r="O277" s="5">
        <f>N277*Assumptions!$E$25*-1</f>
        <v>0</v>
      </c>
      <c r="P277" s="20">
        <f>Assumptions!$E$35*J277*-1</f>
        <v>-2677.9948329111057</v>
      </c>
      <c r="Q277" s="5">
        <f>J277*Assumptions!$E$36*-1</f>
        <v>-1078.4831864774601</v>
      </c>
      <c r="R277" s="5">
        <f>(R265+(Model_30y!R265*Assumptions!$D$51))</f>
        <v>-950.46596224789994</v>
      </c>
      <c r="S277" s="5">
        <f>S265+(S265*Assumptions!$D$51)</f>
        <v>0</v>
      </c>
      <c r="T277" s="5">
        <f t="shared" si="80"/>
        <v>0</v>
      </c>
      <c r="U277" s="22">
        <f t="shared" si="72"/>
        <v>-4706.9439816364657</v>
      </c>
      <c r="V277" s="5">
        <f>MAX(Assumptions!$E$18:$E$19)-U277</f>
        <v>7548.5769934351629</v>
      </c>
      <c r="W277" s="5">
        <f t="shared" si="73"/>
        <v>-2198.4576329329379</v>
      </c>
      <c r="X277" s="5">
        <f t="shared" si="78"/>
        <v>-4706.9439816364657</v>
      </c>
      <c r="Y277" s="5">
        <f>C277*Assumptions!$D$44*-1</f>
        <v>125.76562458892636</v>
      </c>
      <c r="Z277" s="5">
        <f t="shared" si="74"/>
        <v>768.9410034546861</v>
      </c>
      <c r="AA277" s="5">
        <f t="shared" si="81"/>
        <v>710022.00080885133</v>
      </c>
      <c r="AB277" s="3">
        <f>Assumptions!$E$45</f>
        <v>6.9899151946608562E-3</v>
      </c>
      <c r="AC277" s="5">
        <f t="shared" si="82"/>
        <v>715753.93538430333</v>
      </c>
      <c r="AD277" s="5">
        <f>AC277*Assumptions!$E$43</f>
        <v>641.01168816968311</v>
      </c>
      <c r="AE277" s="2">
        <f>AD277*Assumptions!$D$44*-1</f>
        <v>-96.151753225452467</v>
      </c>
      <c r="AF277" s="2">
        <f>AC277*Assumptions!$E$46*-1</f>
        <v>-23.854091578526919</v>
      </c>
      <c r="AG277" s="22">
        <f t="shared" si="83"/>
        <v>715633.92953949934</v>
      </c>
      <c r="AH277" s="5">
        <f>Model_30y[[#This Row],[Mortgage Payment]]+Model_30y[[#This Row],[Total Upkeep]]+Model_30y[[#This Row],[Monthly Investment]]</f>
        <v>-6136.4606111147177</v>
      </c>
      <c r="AI277" s="5">
        <f>Model_Renter!D277*-1</f>
        <v>6181.5384321130914</v>
      </c>
      <c r="AJ277" s="5">
        <f t="shared" si="84"/>
        <v>45.077820998373682</v>
      </c>
    </row>
    <row r="278" spans="1:36" x14ac:dyDescent="0.25">
      <c r="A278" s="17">
        <f t="shared" si="79"/>
        <v>276</v>
      </c>
      <c r="B278" s="17">
        <f t="shared" si="75"/>
        <v>23</v>
      </c>
      <c r="C278" s="23">
        <f>IFERROR(IPMT(Assumptions!$D$16/12,Model_30y!A278, 360,Assumptions!$D$8), 0)</f>
        <v>-830.82138449973786</v>
      </c>
      <c r="D278" s="2">
        <f>IFERROR(PPMT(Assumptions!$D$16/12, Model_30y!A278, 360, Assumptions!$D$8), 0)</f>
        <v>-1367.6362484332001</v>
      </c>
      <c r="E278" s="2">
        <f t="shared" si="69"/>
        <v>-2198.4576329329379</v>
      </c>
      <c r="F278" s="2">
        <f>IF(I277&gt;1, Assumptions!$E$18, 0)*-1</f>
        <v>-2198.4576329329379</v>
      </c>
      <c r="G278" s="24">
        <f t="shared" si="70"/>
        <v>1</v>
      </c>
      <c r="H278" s="20">
        <f t="shared" si="76"/>
        <v>193006.67473062291</v>
      </c>
      <c r="I278" s="2">
        <f>MAX(Assumptions!$D$8-SUM(Model_30y!H278), 0)</f>
        <v>146993.32526937709</v>
      </c>
      <c r="J278" s="2">
        <f>J277*(1+(Assumptions!$E$51))</f>
        <v>1305397.5962650867</v>
      </c>
      <c r="K278" s="22">
        <f t="shared" si="71"/>
        <v>1158404.2709957096</v>
      </c>
      <c r="L278" s="5">
        <f t="shared" si="77"/>
        <v>278006.67473062279</v>
      </c>
      <c r="M278" s="63">
        <f>L278/Assumptions!$D$6</f>
        <v>0.6541333523073477</v>
      </c>
      <c r="N278" s="24">
        <f t="shared" si="85"/>
        <v>0</v>
      </c>
      <c r="O278" s="5">
        <f>N278*Assumptions!$E$25*-1</f>
        <v>0</v>
      </c>
      <c r="P278" s="20">
        <f>Assumptions!$E$35*J278*-1</f>
        <v>-2688.9053153523564</v>
      </c>
      <c r="Q278" s="5">
        <f>J278*Assumptions!$E$36*-1</f>
        <v>-1082.8770604777528</v>
      </c>
      <c r="R278" s="5">
        <f>(R266+(Model_30y!R266*Assumptions!$D$51))</f>
        <v>-950.46596224789994</v>
      </c>
      <c r="S278" s="5">
        <f>S266+(S266*Assumptions!$D$51)</f>
        <v>0</v>
      </c>
      <c r="T278" s="5">
        <f t="shared" si="80"/>
        <v>0</v>
      </c>
      <c r="U278" s="22">
        <f t="shared" si="72"/>
        <v>-4722.2483380780095</v>
      </c>
      <c r="V278" s="5">
        <f>MAX(Assumptions!$E$18:$E$19)-U278</f>
        <v>7563.8813498767067</v>
      </c>
      <c r="W278" s="5">
        <f t="shared" si="73"/>
        <v>-2198.4576329329379</v>
      </c>
      <c r="X278" s="5">
        <f t="shared" si="78"/>
        <v>-4722.2483380780095</v>
      </c>
      <c r="Y278" s="5">
        <f>C278*Assumptions!$D$44*-1</f>
        <v>124.62320767496067</v>
      </c>
      <c r="Z278" s="5">
        <f t="shared" si="74"/>
        <v>767.79858654072041</v>
      </c>
      <c r="AA278" s="5">
        <f t="shared" si="81"/>
        <v>715633.92953949934</v>
      </c>
      <c r="AB278" s="3">
        <f>Assumptions!$E$45</f>
        <v>6.9899151946608562E-3</v>
      </c>
      <c r="AC278" s="5">
        <f t="shared" si="82"/>
        <v>721403.94860394311</v>
      </c>
      <c r="AD278" s="5">
        <f>AC278*Assumptions!$E$43</f>
        <v>646.07170158079725</v>
      </c>
      <c r="AE278" s="2">
        <f>AD278*Assumptions!$D$44*-1</f>
        <v>-96.910755237119588</v>
      </c>
      <c r="AF278" s="2">
        <f>AC278*Assumptions!$E$46*-1</f>
        <v>-24.042390833478009</v>
      </c>
      <c r="AG278" s="22">
        <f t="shared" si="83"/>
        <v>721282.99545787252</v>
      </c>
      <c r="AH278" s="5">
        <f>Model_30y[[#This Row],[Mortgage Payment]]+Model_30y[[#This Row],[Total Upkeep]]+Model_30y[[#This Row],[Monthly Investment]]</f>
        <v>-6152.907384470227</v>
      </c>
      <c r="AI278" s="5">
        <f>Model_Renter!D278*-1</f>
        <v>6181.5384321130914</v>
      </c>
      <c r="AJ278" s="5">
        <f t="shared" si="84"/>
        <v>28.63104764286436</v>
      </c>
    </row>
    <row r="279" spans="1:36" x14ac:dyDescent="0.25">
      <c r="A279" s="17">
        <f t="shared" si="79"/>
        <v>277</v>
      </c>
      <c r="B279" s="17">
        <f t="shared" si="75"/>
        <v>24</v>
      </c>
      <c r="C279" s="23">
        <f>IFERROR(IPMT(Assumptions!$D$16/12,Model_30y!A279, 360,Assumptions!$D$8), 0)</f>
        <v>-823.16262150851185</v>
      </c>
      <c r="D279" s="2">
        <f>IFERROR(PPMT(Assumptions!$D$16/12, Model_30y!A279, 360, Assumptions!$D$8), 0)</f>
        <v>-1375.2950114244259</v>
      </c>
      <c r="E279" s="2">
        <f t="shared" si="69"/>
        <v>-2198.4576329329375</v>
      </c>
      <c r="F279" s="2">
        <f>IF(I278&gt;1, Assumptions!$E$18, 0)*-1</f>
        <v>-2198.4576329329379</v>
      </c>
      <c r="G279" s="24">
        <f t="shared" si="70"/>
        <v>1</v>
      </c>
      <c r="H279" s="20">
        <f t="shared" si="76"/>
        <v>194381.96974204734</v>
      </c>
      <c r="I279" s="2">
        <f>MAX(Assumptions!$D$8-SUM(Model_30y!H279), 0)</f>
        <v>145618.03025795266</v>
      </c>
      <c r="J279" s="2">
        <f>J278*(1+(Assumptions!$E$51))</f>
        <v>1310715.9476591477</v>
      </c>
      <c r="K279" s="22">
        <f t="shared" si="71"/>
        <v>1165097.917401195</v>
      </c>
      <c r="L279" s="5">
        <f t="shared" si="77"/>
        <v>279381.96974204719</v>
      </c>
      <c r="M279" s="63">
        <f>L279/Assumptions!$D$6</f>
        <v>0.65736934056952279</v>
      </c>
      <c r="N279" s="24">
        <f t="shared" si="85"/>
        <v>0</v>
      </c>
      <c r="O279" s="5">
        <f>N279*Assumptions!$E$25*-1</f>
        <v>0</v>
      </c>
      <c r="P279" s="20">
        <f>Assumptions!$E$35*J279*-1</f>
        <v>-2699.8602484496118</v>
      </c>
      <c r="Q279" s="5">
        <f>J279*Assumptions!$E$36*-1</f>
        <v>-1087.2888356646124</v>
      </c>
      <c r="R279" s="5">
        <f>(R267+(Model_30y!R267*Assumptions!$D$51))</f>
        <v>-997.98926036029491</v>
      </c>
      <c r="S279" s="5">
        <f>S267+(S267*Assumptions!$D$51)</f>
        <v>0</v>
      </c>
      <c r="T279" s="5">
        <f t="shared" si="80"/>
        <v>0</v>
      </c>
      <c r="U279" s="22">
        <f t="shared" si="72"/>
        <v>-4785.1383444745188</v>
      </c>
      <c r="V279" s="5">
        <f>MAX(Assumptions!$E$18:$E$19)-U279</f>
        <v>7626.7713562732151</v>
      </c>
      <c r="W279" s="5">
        <f t="shared" si="73"/>
        <v>-2198.4576329329379</v>
      </c>
      <c r="X279" s="5">
        <f t="shared" si="78"/>
        <v>-4785.1383444745188</v>
      </c>
      <c r="Y279" s="5">
        <f>C279*Assumptions!$D$44*-1</f>
        <v>123.47439322627677</v>
      </c>
      <c r="Z279" s="5">
        <f t="shared" si="74"/>
        <v>766.64977209203562</v>
      </c>
      <c r="AA279" s="5">
        <f t="shared" si="81"/>
        <v>721282.99545787252</v>
      </c>
      <c r="AB279" s="3">
        <f>Assumptions!$E$45</f>
        <v>6.9899151946608562E-3</v>
      </c>
      <c r="AC279" s="5">
        <f t="shared" si="82"/>
        <v>727091.35219956597</v>
      </c>
      <c r="AD279" s="5">
        <f>AC279*Assumptions!$E$43</f>
        <v>651.16520089655728</v>
      </c>
      <c r="AE279" s="2">
        <f>AD279*Assumptions!$D$44*-1</f>
        <v>-97.674780134483584</v>
      </c>
      <c r="AF279" s="2">
        <f>AC279*Assumptions!$E$46*-1</f>
        <v>-24.23193620585684</v>
      </c>
      <c r="AG279" s="22">
        <f t="shared" si="83"/>
        <v>726969.44548322563</v>
      </c>
      <c r="AH279" s="5">
        <f>Model_30y[[#This Row],[Mortgage Payment]]+Model_30y[[#This Row],[Total Upkeep]]+Model_30y[[#This Row],[Monthly Investment]]</f>
        <v>-6216.9462053154202</v>
      </c>
      <c r="AI279" s="5">
        <f>Model_Renter!D279*-1</f>
        <v>6412.7279694741219</v>
      </c>
      <c r="AJ279" s="5">
        <f t="shared" si="84"/>
        <v>195.78176415870166</v>
      </c>
    </row>
    <row r="280" spans="1:36" x14ac:dyDescent="0.25">
      <c r="A280" s="17">
        <f t="shared" si="79"/>
        <v>278</v>
      </c>
      <c r="B280" s="17">
        <f t="shared" si="75"/>
        <v>24</v>
      </c>
      <c r="C280" s="23">
        <f>IFERROR(IPMT(Assumptions!$D$16/12,Model_30y!A280, 360,Assumptions!$D$8), 0)</f>
        <v>-815.46096944453518</v>
      </c>
      <c r="D280" s="2">
        <f>IFERROR(PPMT(Assumptions!$D$16/12, Model_30y!A280, 360, Assumptions!$D$8), 0)</f>
        <v>-1382.9966634884026</v>
      </c>
      <c r="E280" s="2">
        <f t="shared" si="69"/>
        <v>-2198.4576329329379</v>
      </c>
      <c r="F280" s="2">
        <f>IF(I279&gt;1, Assumptions!$E$18, 0)*-1</f>
        <v>-2198.4576329329379</v>
      </c>
      <c r="G280" s="24">
        <f t="shared" si="70"/>
        <v>1</v>
      </c>
      <c r="H280" s="20">
        <f t="shared" si="76"/>
        <v>195764.96640553573</v>
      </c>
      <c r="I280" s="2">
        <f>MAX(Assumptions!$D$8-SUM(Model_30y!H280), 0)</f>
        <v>144235.03359446427</v>
      </c>
      <c r="J280" s="2">
        <f>J279*(1+(Assumptions!$E$51))</f>
        <v>1316055.966675113</v>
      </c>
      <c r="K280" s="22">
        <f t="shared" si="71"/>
        <v>1171820.9330806488</v>
      </c>
      <c r="L280" s="5">
        <f t="shared" si="77"/>
        <v>280764.96640553558</v>
      </c>
      <c r="M280" s="63">
        <f>L280/Assumptions!$D$6</f>
        <v>0.66062345036596604</v>
      </c>
      <c r="N280" s="24">
        <f t="shared" si="85"/>
        <v>0</v>
      </c>
      <c r="O280" s="5">
        <f>N280*Assumptions!$E$25*-1</f>
        <v>0</v>
      </c>
      <c r="P280" s="20">
        <f>Assumptions!$E$35*J280*-1</f>
        <v>-2710.859813300347</v>
      </c>
      <c r="Q280" s="5">
        <f>J280*Assumptions!$E$36*-1</f>
        <v>-1091.7185849696889</v>
      </c>
      <c r="R280" s="5">
        <f>(R268+(Model_30y!R268*Assumptions!$D$51))</f>
        <v>-997.98926036029491</v>
      </c>
      <c r="S280" s="5">
        <f>S268+(S268*Assumptions!$D$51)</f>
        <v>0</v>
      </c>
      <c r="T280" s="5">
        <f t="shared" si="80"/>
        <v>0</v>
      </c>
      <c r="U280" s="22">
        <f t="shared" si="72"/>
        <v>-4800.5676586303307</v>
      </c>
      <c r="V280" s="5">
        <f>MAX(Assumptions!$E$18:$E$19)-U280</f>
        <v>7642.200670429027</v>
      </c>
      <c r="W280" s="5">
        <f t="shared" si="73"/>
        <v>-2198.4576329329379</v>
      </c>
      <c r="X280" s="5">
        <f t="shared" si="78"/>
        <v>-4800.5676586303307</v>
      </c>
      <c r="Y280" s="5">
        <f>C280*Assumptions!$D$44*-1</f>
        <v>122.31914541668027</v>
      </c>
      <c r="Z280" s="5">
        <f t="shared" si="74"/>
        <v>765.4945242824391</v>
      </c>
      <c r="AA280" s="5">
        <f t="shared" si="81"/>
        <v>726969.44548322563</v>
      </c>
      <c r="AB280" s="3">
        <f>Assumptions!$E$45</f>
        <v>6.9899151946608562E-3</v>
      </c>
      <c r="AC280" s="5">
        <f t="shared" si="82"/>
        <v>732816.39478054538</v>
      </c>
      <c r="AD280" s="5">
        <f>AC280*Assumptions!$E$43</f>
        <v>656.29240876542713</v>
      </c>
      <c r="AE280" s="2">
        <f>AD280*Assumptions!$D$44*-1</f>
        <v>-98.443861314814072</v>
      </c>
      <c r="AF280" s="2">
        <f>AC280*Assumptions!$E$46*-1</f>
        <v>-24.422735981123633</v>
      </c>
      <c r="AG280" s="22">
        <f t="shared" si="83"/>
        <v>732693.52818324941</v>
      </c>
      <c r="AH280" s="5">
        <f>Model_30y[[#This Row],[Mortgage Payment]]+Model_30y[[#This Row],[Total Upkeep]]+Model_30y[[#This Row],[Monthly Investment]]</f>
        <v>-6233.5307672808294</v>
      </c>
      <c r="AI280" s="5">
        <f>Model_Renter!D280*-1</f>
        <v>6412.7279694741219</v>
      </c>
      <c r="AJ280" s="5">
        <f t="shared" si="84"/>
        <v>179.19720219329247</v>
      </c>
    </row>
    <row r="281" spans="1:36" x14ac:dyDescent="0.25">
      <c r="A281" s="17">
        <f t="shared" si="79"/>
        <v>279</v>
      </c>
      <c r="B281" s="17">
        <f t="shared" si="75"/>
        <v>24</v>
      </c>
      <c r="C281" s="23">
        <f>IFERROR(IPMT(Assumptions!$D$16/12,Model_30y!A281, 360,Assumptions!$D$8), 0)</f>
        <v>-807.7161881290001</v>
      </c>
      <c r="D281" s="2">
        <f>IFERROR(PPMT(Assumptions!$D$16/12, Model_30y!A281, 360, Assumptions!$D$8), 0)</f>
        <v>-1390.7414448039378</v>
      </c>
      <c r="E281" s="2">
        <f t="shared" si="69"/>
        <v>-2198.4576329329379</v>
      </c>
      <c r="F281" s="2">
        <f>IF(I280&gt;1, Assumptions!$E$18, 0)*-1</f>
        <v>-2198.4576329329379</v>
      </c>
      <c r="G281" s="24">
        <f t="shared" si="70"/>
        <v>1</v>
      </c>
      <c r="H281" s="20">
        <f t="shared" si="76"/>
        <v>197155.70785033968</v>
      </c>
      <c r="I281" s="2">
        <f>MAX(Assumptions!$D$8-SUM(Model_30y!H281), 0)</f>
        <v>142844.29214966032</v>
      </c>
      <c r="J281" s="2">
        <f>J280*(1+(Assumptions!$E$51))</f>
        <v>1321417.7415895564</v>
      </c>
      <c r="K281" s="22">
        <f t="shared" si="71"/>
        <v>1178573.449439896</v>
      </c>
      <c r="L281" s="5">
        <f t="shared" si="77"/>
        <v>282155.70785033953</v>
      </c>
      <c r="M281" s="63">
        <f>L281/Assumptions!$D$6</f>
        <v>0.66389578317726949</v>
      </c>
      <c r="N281" s="24">
        <f t="shared" si="85"/>
        <v>0</v>
      </c>
      <c r="O281" s="5">
        <f>N281*Assumptions!$E$25*-1</f>
        <v>0</v>
      </c>
      <c r="P281" s="20">
        <f>Assumptions!$E$35*J281*-1</f>
        <v>-2721.9041917398508</v>
      </c>
      <c r="Q281" s="5">
        <f>J281*Assumptions!$E$36*-1</f>
        <v>-1096.1663816217649</v>
      </c>
      <c r="R281" s="5">
        <f>(R269+(Model_30y!R269*Assumptions!$D$51))</f>
        <v>-997.98926036029491</v>
      </c>
      <c r="S281" s="5">
        <f>S269+(S269*Assumptions!$D$51)</f>
        <v>0</v>
      </c>
      <c r="T281" s="5">
        <f t="shared" si="80"/>
        <v>0</v>
      </c>
      <c r="U281" s="22">
        <f t="shared" si="72"/>
        <v>-4816.0598337219108</v>
      </c>
      <c r="V281" s="5">
        <f>MAX(Assumptions!$E$18:$E$19)-U281</f>
        <v>7657.6928455206071</v>
      </c>
      <c r="W281" s="5">
        <f t="shared" si="73"/>
        <v>-2198.4576329329379</v>
      </c>
      <c r="X281" s="5">
        <f t="shared" si="78"/>
        <v>-4816.0598337219108</v>
      </c>
      <c r="Y281" s="5">
        <f>C281*Assumptions!$D$44*-1</f>
        <v>121.15742821935001</v>
      </c>
      <c r="Z281" s="5">
        <f t="shared" si="74"/>
        <v>764.33280708510881</v>
      </c>
      <c r="AA281" s="5">
        <f t="shared" si="81"/>
        <v>732693.52818324941</v>
      </c>
      <c r="AB281" s="3">
        <f>Assumptions!$E$45</f>
        <v>6.9899151946608562E-3</v>
      </c>
      <c r="AC281" s="5">
        <f t="shared" si="82"/>
        <v>738579.32661601226</v>
      </c>
      <c r="AD281" s="5">
        <f>AC281*Assumptions!$E$43</f>
        <v>661.45354932230862</v>
      </c>
      <c r="AE281" s="2">
        <f>AD281*Assumptions!$D$44*-1</f>
        <v>-99.218032398346296</v>
      </c>
      <c r="AF281" s="2">
        <f>AC281*Assumptions!$E$46*-1</f>
        <v>-24.614798500053727</v>
      </c>
      <c r="AG281" s="22">
        <f t="shared" si="83"/>
        <v>738455.49378511391</v>
      </c>
      <c r="AH281" s="5">
        <f>Model_30y[[#This Row],[Mortgage Payment]]+Model_30y[[#This Row],[Total Upkeep]]+Model_30y[[#This Row],[Monthly Investment]]</f>
        <v>-6250.1846595697398</v>
      </c>
      <c r="AI281" s="5">
        <f>Model_Renter!D281*-1</f>
        <v>6412.7279694741219</v>
      </c>
      <c r="AJ281" s="5">
        <f t="shared" si="84"/>
        <v>162.54330990438211</v>
      </c>
    </row>
    <row r="282" spans="1:36" x14ac:dyDescent="0.25">
      <c r="A282" s="17">
        <f t="shared" si="79"/>
        <v>280</v>
      </c>
      <c r="B282" s="17">
        <f t="shared" si="75"/>
        <v>24</v>
      </c>
      <c r="C282" s="23">
        <f>IFERROR(IPMT(Assumptions!$D$16/12,Model_30y!A282, 360,Assumptions!$D$8), 0)</f>
        <v>-799.92803603809796</v>
      </c>
      <c r="D282" s="2">
        <f>IFERROR(PPMT(Assumptions!$D$16/12, Model_30y!A282, 360, Assumptions!$D$8), 0)</f>
        <v>-1398.5295968948399</v>
      </c>
      <c r="E282" s="2">
        <f t="shared" si="69"/>
        <v>-2198.4576329329379</v>
      </c>
      <c r="F282" s="2">
        <f>IF(I281&gt;1, Assumptions!$E$18, 0)*-1</f>
        <v>-2198.4576329329379</v>
      </c>
      <c r="G282" s="24">
        <f t="shared" si="70"/>
        <v>1</v>
      </c>
      <c r="H282" s="20">
        <f t="shared" si="76"/>
        <v>198554.23744723451</v>
      </c>
      <c r="I282" s="2">
        <f>MAX(Assumptions!$D$8-SUM(Model_30y!H282), 0)</f>
        <v>141445.76255276549</v>
      </c>
      <c r="J282" s="2">
        <f>J281*(1+(Assumptions!$E$51))</f>
        <v>1326801.3610387014</v>
      </c>
      <c r="K282" s="22">
        <f t="shared" si="71"/>
        <v>1185355.5984859359</v>
      </c>
      <c r="L282" s="5">
        <f t="shared" si="77"/>
        <v>283554.23744723439</v>
      </c>
      <c r="M282" s="63">
        <f>L282/Assumptions!$D$6</f>
        <v>0.66718644105231617</v>
      </c>
      <c r="N282" s="24">
        <f t="shared" si="85"/>
        <v>0</v>
      </c>
      <c r="O282" s="5">
        <f>N282*Assumptions!$E$25*-1</f>
        <v>0</v>
      </c>
      <c r="P282" s="20">
        <f>Assumptions!$E$35*J282*-1</f>
        <v>-2732.9935663442302</v>
      </c>
      <c r="Q282" s="5">
        <f>J282*Assumptions!$E$36*-1</f>
        <v>-1100.6322991479658</v>
      </c>
      <c r="R282" s="5">
        <f>(R270+(Model_30y!R270*Assumptions!$D$51))</f>
        <v>-997.98926036029491</v>
      </c>
      <c r="S282" s="5">
        <f>S270+(S270*Assumptions!$D$51)</f>
        <v>0</v>
      </c>
      <c r="T282" s="5">
        <f t="shared" si="80"/>
        <v>0</v>
      </c>
      <c r="U282" s="22">
        <f t="shared" si="72"/>
        <v>-4831.6151258524906</v>
      </c>
      <c r="V282" s="5">
        <f>MAX(Assumptions!$E$18:$E$19)-U282</f>
        <v>7673.2481376511878</v>
      </c>
      <c r="W282" s="5">
        <f t="shared" si="73"/>
        <v>-2198.4576329329379</v>
      </c>
      <c r="X282" s="5">
        <f t="shared" si="78"/>
        <v>-4831.6151258524906</v>
      </c>
      <c r="Y282" s="5">
        <f>C282*Assumptions!$D$44*-1</f>
        <v>119.98920540571469</v>
      </c>
      <c r="Z282" s="5">
        <f t="shared" si="74"/>
        <v>763.16458427147438</v>
      </c>
      <c r="AA282" s="5">
        <f t="shared" si="81"/>
        <v>738455.49378511391</v>
      </c>
      <c r="AB282" s="3">
        <f>Assumptions!$E$45</f>
        <v>6.9899151946608562E-3</v>
      </c>
      <c r="AC282" s="5">
        <f t="shared" si="82"/>
        <v>744380.39964597474</v>
      </c>
      <c r="AD282" s="5">
        <f>AC282*Assumptions!$E$43</f>
        <v>666.64884819850033</v>
      </c>
      <c r="AE282" s="2">
        <f>AD282*Assumptions!$D$44*-1</f>
        <v>-99.997327229775053</v>
      </c>
      <c r="AF282" s="2">
        <f>AC282*Assumptions!$E$46*-1</f>
        <v>-24.808132159108144</v>
      </c>
      <c r="AG282" s="22">
        <f t="shared" si="83"/>
        <v>744255.59418658586</v>
      </c>
      <c r="AH282" s="5">
        <f>Model_30y[[#This Row],[Mortgage Payment]]+Model_30y[[#This Row],[Total Upkeep]]+Model_30y[[#This Row],[Monthly Investment]]</f>
        <v>-6266.9081745139547</v>
      </c>
      <c r="AI282" s="5">
        <f>Model_Renter!D282*-1</f>
        <v>6412.7279694741219</v>
      </c>
      <c r="AJ282" s="5">
        <f t="shared" si="84"/>
        <v>145.8197949601672</v>
      </c>
    </row>
    <row r="283" spans="1:36" x14ac:dyDescent="0.25">
      <c r="A283" s="17">
        <f t="shared" si="79"/>
        <v>281</v>
      </c>
      <c r="B283" s="17">
        <f t="shared" si="75"/>
        <v>24</v>
      </c>
      <c r="C283" s="23">
        <f>IFERROR(IPMT(Assumptions!$D$16/12,Model_30y!A283, 360,Assumptions!$D$8), 0)</f>
        <v>-792.09627029548687</v>
      </c>
      <c r="D283" s="2">
        <f>IFERROR(PPMT(Assumptions!$D$16/12, Model_30y!A283, 360, Assumptions!$D$8), 0)</f>
        <v>-1406.3613626374511</v>
      </c>
      <c r="E283" s="2">
        <f t="shared" si="69"/>
        <v>-2198.4576329329379</v>
      </c>
      <c r="F283" s="2">
        <f>IF(I282&gt;1, Assumptions!$E$18, 0)*-1</f>
        <v>-2198.4576329329379</v>
      </c>
      <c r="G283" s="24">
        <f t="shared" si="70"/>
        <v>1</v>
      </c>
      <c r="H283" s="20">
        <f t="shared" si="76"/>
        <v>199960.59880987197</v>
      </c>
      <c r="I283" s="2">
        <f>MAX(Assumptions!$D$8-SUM(Model_30y!H283), 0)</f>
        <v>140039.40119012803</v>
      </c>
      <c r="J283" s="2">
        <f>J282*(1+(Assumptions!$E$51))</f>
        <v>1332206.9140198862</v>
      </c>
      <c r="K283" s="22">
        <f t="shared" si="71"/>
        <v>1192167.5128297582</v>
      </c>
      <c r="L283" s="5">
        <f t="shared" si="77"/>
        <v>284960.59880987182</v>
      </c>
      <c r="M283" s="63">
        <f>L283/Assumptions!$D$6</f>
        <v>0.67049552661146317</v>
      </c>
      <c r="N283" s="24">
        <f t="shared" si="85"/>
        <v>0</v>
      </c>
      <c r="O283" s="5">
        <f>N283*Assumptions!$E$25*-1</f>
        <v>0</v>
      </c>
      <c r="P283" s="20">
        <f>Assumptions!$E$35*J283*-1</f>
        <v>-2744.1281204334314</v>
      </c>
      <c r="Q283" s="5">
        <f>J283*Assumptions!$E$36*-1</f>
        <v>-1105.1164113749762</v>
      </c>
      <c r="R283" s="5">
        <f>(R271+(Model_30y!R271*Assumptions!$D$51))</f>
        <v>-997.98926036029491</v>
      </c>
      <c r="S283" s="5">
        <f>S271+(S271*Assumptions!$D$51)</f>
        <v>0</v>
      </c>
      <c r="T283" s="5">
        <f t="shared" si="80"/>
        <v>0</v>
      </c>
      <c r="U283" s="22">
        <f t="shared" si="72"/>
        <v>-4847.2337921687022</v>
      </c>
      <c r="V283" s="5">
        <f>MAX(Assumptions!$E$18:$E$19)-U283</f>
        <v>7688.8668039673994</v>
      </c>
      <c r="W283" s="5">
        <f t="shared" si="73"/>
        <v>-2198.4576329329379</v>
      </c>
      <c r="X283" s="5">
        <f t="shared" si="78"/>
        <v>-4847.2337921687022</v>
      </c>
      <c r="Y283" s="5">
        <f>C283*Assumptions!$D$44*-1</f>
        <v>118.81444054432302</v>
      </c>
      <c r="Z283" s="5">
        <f t="shared" si="74"/>
        <v>761.98981941008276</v>
      </c>
      <c r="AA283" s="5">
        <f t="shared" si="81"/>
        <v>744255.59418658586</v>
      </c>
      <c r="AB283" s="3">
        <f>Assumptions!$E$45</f>
        <v>6.9899151946608562E-3</v>
      </c>
      <c r="AC283" s="5">
        <f t="shared" si="82"/>
        <v>750219.86749251222</v>
      </c>
      <c r="AD283" s="5">
        <f>AC283*Assumptions!$E$43</f>
        <v>671.87853253172273</v>
      </c>
      <c r="AE283" s="2">
        <f>AD283*Assumptions!$D$44*-1</f>
        <v>-100.7817798797584</v>
      </c>
      <c r="AF283" s="2">
        <f>AC283*Assumptions!$E$46*-1</f>
        <v>-25.002745410806689</v>
      </c>
      <c r="AG283" s="22">
        <f t="shared" si="83"/>
        <v>750094.08296722162</v>
      </c>
      <c r="AH283" s="5">
        <f>Model_30y[[#This Row],[Mortgage Payment]]+Model_30y[[#This Row],[Total Upkeep]]+Model_30y[[#This Row],[Monthly Investment]]</f>
        <v>-6283.7016056915581</v>
      </c>
      <c r="AI283" s="5">
        <f>Model_Renter!D283*-1</f>
        <v>6412.7279694741219</v>
      </c>
      <c r="AJ283" s="5">
        <f t="shared" si="84"/>
        <v>129.02636378256375</v>
      </c>
    </row>
    <row r="284" spans="1:36" x14ac:dyDescent="0.25">
      <c r="A284" s="17">
        <f t="shared" si="79"/>
        <v>282</v>
      </c>
      <c r="B284" s="17">
        <f t="shared" si="75"/>
        <v>24</v>
      </c>
      <c r="C284" s="23">
        <f>IFERROR(IPMT(Assumptions!$D$16/12,Model_30y!A284, 360,Assumptions!$D$8), 0)</f>
        <v>-784.22064666471726</v>
      </c>
      <c r="D284" s="2">
        <f>IFERROR(PPMT(Assumptions!$D$16/12, Model_30y!A284, 360, Assumptions!$D$8), 0)</f>
        <v>-1414.2369862682208</v>
      </c>
      <c r="E284" s="2">
        <f t="shared" si="69"/>
        <v>-2198.4576329329379</v>
      </c>
      <c r="F284" s="2">
        <f>IF(I283&gt;1, Assumptions!$E$18, 0)*-1</f>
        <v>-2198.4576329329379</v>
      </c>
      <c r="G284" s="24">
        <f t="shared" si="70"/>
        <v>1</v>
      </c>
      <c r="H284" s="20">
        <f t="shared" si="76"/>
        <v>201374.83579614019</v>
      </c>
      <c r="I284" s="2">
        <f>MAX(Assumptions!$D$8-SUM(Model_30y!H284), 0)</f>
        <v>138625.16420385981</v>
      </c>
      <c r="J284" s="2">
        <f>J283*(1+(Assumptions!$E$51))</f>
        <v>1337634.4898930353</v>
      </c>
      <c r="K284" s="22">
        <f t="shared" si="71"/>
        <v>1199009.3256891754</v>
      </c>
      <c r="L284" s="5">
        <f t="shared" si="77"/>
        <v>286374.83579614002</v>
      </c>
      <c r="M284" s="63">
        <f>L284/Assumptions!$D$6</f>
        <v>0.67382314304974122</v>
      </c>
      <c r="N284" s="24">
        <f t="shared" si="85"/>
        <v>0</v>
      </c>
      <c r="O284" s="5">
        <f>N284*Assumptions!$E$25*-1</f>
        <v>0</v>
      </c>
      <c r="P284" s="20">
        <f>Assumptions!$E$35*J284*-1</f>
        <v>-2755.3080380742672</v>
      </c>
      <c r="Q284" s="5">
        <f>J284*Assumptions!$E$36*-1</f>
        <v>-1109.618792430259</v>
      </c>
      <c r="R284" s="5">
        <f>(R272+(Model_30y!R272*Assumptions!$D$51))</f>
        <v>-997.98926036029491</v>
      </c>
      <c r="S284" s="5">
        <f>S272+(S272*Assumptions!$D$51)</f>
        <v>0</v>
      </c>
      <c r="T284" s="5">
        <f t="shared" si="80"/>
        <v>0</v>
      </c>
      <c r="U284" s="22">
        <f t="shared" si="72"/>
        <v>-4862.9160908648209</v>
      </c>
      <c r="V284" s="5">
        <f>MAX(Assumptions!$E$18:$E$19)-U284</f>
        <v>7704.5491026635173</v>
      </c>
      <c r="W284" s="5">
        <f t="shared" si="73"/>
        <v>-2198.4576329329379</v>
      </c>
      <c r="X284" s="5">
        <f t="shared" si="78"/>
        <v>-4862.9160908648209</v>
      </c>
      <c r="Y284" s="5">
        <f>C284*Assumptions!$D$44*-1</f>
        <v>117.63309699970759</v>
      </c>
      <c r="Z284" s="5">
        <f t="shared" si="74"/>
        <v>760.80847586546645</v>
      </c>
      <c r="AA284" s="5">
        <f t="shared" si="81"/>
        <v>750094.08296722162</v>
      </c>
      <c r="AB284" s="3">
        <f>Assumptions!$E$45</f>
        <v>6.9899151946608562E-3</v>
      </c>
      <c r="AC284" s="5">
        <f t="shared" si="82"/>
        <v>756097.9854710449</v>
      </c>
      <c r="AD284" s="5">
        <f>AC284*Assumptions!$E$43</f>
        <v>677.1428309762108</v>
      </c>
      <c r="AE284" s="2">
        <f>AD284*Assumptions!$D$44*-1</f>
        <v>-101.57142464643162</v>
      </c>
      <c r="AF284" s="2">
        <f>AC284*Assumptions!$E$46*-1</f>
        <v>-25.198646764103501</v>
      </c>
      <c r="AG284" s="22">
        <f t="shared" si="83"/>
        <v>755971.21539963433</v>
      </c>
      <c r="AH284" s="5">
        <f>Model_30y[[#This Row],[Mortgage Payment]]+Model_30y[[#This Row],[Total Upkeep]]+Model_30y[[#This Row],[Monthly Investment]]</f>
        <v>-6300.5652479322916</v>
      </c>
      <c r="AI284" s="5">
        <f>Model_Renter!D284*-1</f>
        <v>6412.7279694741219</v>
      </c>
      <c r="AJ284" s="5">
        <f t="shared" si="84"/>
        <v>112.16272154183025</v>
      </c>
    </row>
    <row r="285" spans="1:36" x14ac:dyDescent="0.25">
      <c r="A285" s="17">
        <f t="shared" si="79"/>
        <v>283</v>
      </c>
      <c r="B285" s="17">
        <f t="shared" si="75"/>
        <v>24</v>
      </c>
      <c r="C285" s="23">
        <f>IFERROR(IPMT(Assumptions!$D$16/12,Model_30y!A285, 360,Assumptions!$D$8), 0)</f>
        <v>-776.30091954161526</v>
      </c>
      <c r="D285" s="2">
        <f>IFERROR(PPMT(Assumptions!$D$16/12, Model_30y!A285, 360, Assumptions!$D$8), 0)</f>
        <v>-1422.1567133913227</v>
      </c>
      <c r="E285" s="2">
        <f t="shared" si="69"/>
        <v>-2198.4576329329379</v>
      </c>
      <c r="F285" s="2">
        <f>IF(I284&gt;1, Assumptions!$E$18, 0)*-1</f>
        <v>-2198.4576329329379</v>
      </c>
      <c r="G285" s="24">
        <f t="shared" si="70"/>
        <v>1</v>
      </c>
      <c r="H285" s="20">
        <f t="shared" si="76"/>
        <v>202796.99250953153</v>
      </c>
      <c r="I285" s="2">
        <f>MAX(Assumptions!$D$8-SUM(Model_30y!H285), 0)</f>
        <v>137203.00749046847</v>
      </c>
      <c r="J285" s="2">
        <f>J284*(1+(Assumptions!$E$51))</f>
        <v>1343084.1783821369</v>
      </c>
      <c r="K285" s="22">
        <f t="shared" si="71"/>
        <v>1205881.1708916684</v>
      </c>
      <c r="L285" s="5">
        <f t="shared" si="77"/>
        <v>287796.99250953132</v>
      </c>
      <c r="M285" s="63">
        <f>L285/Assumptions!$D$6</f>
        <v>0.67716939414007371</v>
      </c>
      <c r="N285" s="24">
        <f t="shared" si="85"/>
        <v>0</v>
      </c>
      <c r="O285" s="5">
        <f>N285*Assumptions!$E$25*-1</f>
        <v>0</v>
      </c>
      <c r="P285" s="20">
        <f>Assumptions!$E$35*J285*-1</f>
        <v>-2766.533504083463</v>
      </c>
      <c r="Q285" s="5">
        <f>J285*Assumptions!$E$36*-1</f>
        <v>-1114.1395167432825</v>
      </c>
      <c r="R285" s="5">
        <f>(R273+(Model_30y!R273*Assumptions!$D$51))</f>
        <v>-997.98926036029491</v>
      </c>
      <c r="S285" s="5">
        <f>S273+(S273*Assumptions!$D$51)</f>
        <v>0</v>
      </c>
      <c r="T285" s="5">
        <f t="shared" si="80"/>
        <v>0</v>
      </c>
      <c r="U285" s="22">
        <f t="shared" si="72"/>
        <v>-4878.6622811870402</v>
      </c>
      <c r="V285" s="5">
        <f>MAX(Assumptions!$E$18:$E$19)-U285</f>
        <v>7720.2952929857365</v>
      </c>
      <c r="W285" s="5">
        <f t="shared" si="73"/>
        <v>-2198.4576329329379</v>
      </c>
      <c r="X285" s="5">
        <f t="shared" si="78"/>
        <v>-4878.6622811870402</v>
      </c>
      <c r="Y285" s="5">
        <f>C285*Assumptions!$D$44*-1</f>
        <v>116.44513793124229</v>
      </c>
      <c r="Z285" s="5">
        <f t="shared" si="74"/>
        <v>759.62051679700107</v>
      </c>
      <c r="AA285" s="5">
        <f t="shared" si="81"/>
        <v>755971.21539963433</v>
      </c>
      <c r="AB285" s="3">
        <f>Assumptions!$E$45</f>
        <v>6.9899151946608562E-3</v>
      </c>
      <c r="AC285" s="5">
        <f t="shared" si="82"/>
        <v>762015.01060167945</v>
      </c>
      <c r="AD285" s="5">
        <f>AC285*Assumptions!$E$43</f>
        <v>682.44197371287487</v>
      </c>
      <c r="AE285" s="2">
        <f>AD285*Assumptions!$D$44*-1</f>
        <v>-102.36629605693123</v>
      </c>
      <c r="AF285" s="2">
        <f>AC285*Assumptions!$E$46*-1</f>
        <v>-25.395844784765192</v>
      </c>
      <c r="AG285" s="22">
        <f t="shared" si="83"/>
        <v>761887.24846083776</v>
      </c>
      <c r="AH285" s="5">
        <f>Model_30y[[#This Row],[Mortgage Payment]]+Model_30y[[#This Row],[Total Upkeep]]+Model_30y[[#This Row],[Monthly Investment]]</f>
        <v>-6317.4993973229766</v>
      </c>
      <c r="AI285" s="5">
        <f>Model_Renter!D285*-1</f>
        <v>6412.7279694741219</v>
      </c>
      <c r="AJ285" s="5">
        <f t="shared" si="84"/>
        <v>95.228572151145272</v>
      </c>
    </row>
    <row r="286" spans="1:36" x14ac:dyDescent="0.25">
      <c r="A286" s="17">
        <f t="shared" si="79"/>
        <v>284</v>
      </c>
      <c r="B286" s="17">
        <f t="shared" si="75"/>
        <v>24</v>
      </c>
      <c r="C286" s="23">
        <f>IFERROR(IPMT(Assumptions!$D$16/12,Model_30y!A286, 360,Assumptions!$D$8), 0)</f>
        <v>-768.33684194662374</v>
      </c>
      <c r="D286" s="2">
        <f>IFERROR(PPMT(Assumptions!$D$16/12, Model_30y!A286, 360, Assumptions!$D$8), 0)</f>
        <v>-1430.1207909863142</v>
      </c>
      <c r="E286" s="2">
        <f t="shared" si="69"/>
        <v>-2198.4576329329379</v>
      </c>
      <c r="F286" s="2">
        <f>IF(I285&gt;1, Assumptions!$E$18, 0)*-1</f>
        <v>-2198.4576329329379</v>
      </c>
      <c r="G286" s="24">
        <f t="shared" si="70"/>
        <v>1</v>
      </c>
      <c r="H286" s="20">
        <f t="shared" si="76"/>
        <v>204227.11330051784</v>
      </c>
      <c r="I286" s="2">
        <f>MAX(Assumptions!$D$8-SUM(Model_30y!H286), 0)</f>
        <v>135772.88669948216</v>
      </c>
      <c r="J286" s="2">
        <f>J285*(1+(Assumptions!$E$51))</f>
        <v>1348556.0695767254</v>
      </c>
      <c r="K286" s="22">
        <f t="shared" si="71"/>
        <v>1212783.1828772433</v>
      </c>
      <c r="L286" s="5">
        <f t="shared" si="77"/>
        <v>289227.11330051761</v>
      </c>
      <c r="M286" s="63">
        <f>L286/Assumptions!$D$6</f>
        <v>0.68053438423651202</v>
      </c>
      <c r="N286" s="24">
        <f t="shared" si="85"/>
        <v>0</v>
      </c>
      <c r="O286" s="5">
        <f>N286*Assumptions!$E$25*-1</f>
        <v>0</v>
      </c>
      <c r="P286" s="20">
        <f>Assumptions!$E$35*J286*-1</f>
        <v>-2777.8047040307097</v>
      </c>
      <c r="Q286" s="5">
        <f>J286*Assumptions!$E$36*-1</f>
        <v>-1118.6786590467486</v>
      </c>
      <c r="R286" s="5">
        <f>(R274+(Model_30y!R274*Assumptions!$D$51))</f>
        <v>-997.98926036029491</v>
      </c>
      <c r="S286" s="5">
        <f>S274+(S274*Assumptions!$D$51)</f>
        <v>0</v>
      </c>
      <c r="T286" s="5">
        <f t="shared" si="80"/>
        <v>0</v>
      </c>
      <c r="U286" s="22">
        <f t="shared" si="72"/>
        <v>-4894.4726234377531</v>
      </c>
      <c r="V286" s="5">
        <f>MAX(Assumptions!$E$18:$E$19)-U286</f>
        <v>7736.1056352364503</v>
      </c>
      <c r="W286" s="5">
        <f t="shared" si="73"/>
        <v>-2198.4576329329379</v>
      </c>
      <c r="X286" s="5">
        <f t="shared" si="78"/>
        <v>-4894.4726234377531</v>
      </c>
      <c r="Y286" s="5">
        <f>C286*Assumptions!$D$44*-1</f>
        <v>115.25052629199355</v>
      </c>
      <c r="Z286" s="5">
        <f t="shared" si="74"/>
        <v>758.42590515775328</v>
      </c>
      <c r="AA286" s="5">
        <f t="shared" si="81"/>
        <v>761887.24846083776</v>
      </c>
      <c r="AB286" s="3">
        <f>Assumptions!$E$45</f>
        <v>6.9899151946608562E-3</v>
      </c>
      <c r="AC286" s="5">
        <f t="shared" si="82"/>
        <v>767971.20162063022</v>
      </c>
      <c r="AD286" s="5">
        <f>AC286*Assumptions!$E$43</f>
        <v>687.77619245952951</v>
      </c>
      <c r="AE286" s="2">
        <f>AD286*Assumptions!$D$44*-1</f>
        <v>-103.16642886892943</v>
      </c>
      <c r="AF286" s="2">
        <f>AC286*Assumptions!$E$46*-1</f>
        <v>-25.594348095751482</v>
      </c>
      <c r="AG286" s="22">
        <f t="shared" si="83"/>
        <v>767842.44084366551</v>
      </c>
      <c r="AH286" s="5">
        <f>Model_30y[[#This Row],[Mortgage Payment]]+Model_30y[[#This Row],[Total Upkeep]]+Model_30y[[#This Row],[Monthly Investment]]</f>
        <v>-6334.5043512129378</v>
      </c>
      <c r="AI286" s="5">
        <f>Model_Renter!D286*-1</f>
        <v>6412.7279694741219</v>
      </c>
      <c r="AJ286" s="5">
        <f t="shared" si="84"/>
        <v>78.223618261184129</v>
      </c>
    </row>
    <row r="287" spans="1:36" x14ac:dyDescent="0.25">
      <c r="A287" s="17">
        <f t="shared" si="79"/>
        <v>285</v>
      </c>
      <c r="B287" s="17">
        <f t="shared" si="75"/>
        <v>24</v>
      </c>
      <c r="C287" s="23">
        <f>IFERROR(IPMT(Assumptions!$D$16/12,Model_30y!A287, 360,Assumptions!$D$8), 0)</f>
        <v>-760.32816551710027</v>
      </c>
      <c r="D287" s="2">
        <f>IFERROR(PPMT(Assumptions!$D$16/12, Model_30y!A287, 360, Assumptions!$D$8), 0)</f>
        <v>-1438.1294674158376</v>
      </c>
      <c r="E287" s="2">
        <f t="shared" si="69"/>
        <v>-2198.4576329329379</v>
      </c>
      <c r="F287" s="2">
        <f>IF(I286&gt;1, Assumptions!$E$18, 0)*-1</f>
        <v>-2198.4576329329379</v>
      </c>
      <c r="G287" s="24">
        <f t="shared" si="70"/>
        <v>1</v>
      </c>
      <c r="H287" s="20">
        <f t="shared" si="76"/>
        <v>205665.24276793367</v>
      </c>
      <c r="I287" s="2">
        <f>MAX(Assumptions!$D$8-SUM(Model_30y!H287), 0)</f>
        <v>134334.75723206633</v>
      </c>
      <c r="J287" s="2">
        <f>J286*(1+(Assumptions!$E$51))</f>
        <v>1354050.2539333713</v>
      </c>
      <c r="K287" s="22">
        <f t="shared" si="71"/>
        <v>1219715.496701305</v>
      </c>
      <c r="L287" s="5">
        <f t="shared" si="77"/>
        <v>290665.24276793347</v>
      </c>
      <c r="M287" s="63">
        <f>L287/Assumptions!$D$6</f>
        <v>0.68391821827749055</v>
      </c>
      <c r="N287" s="24">
        <f t="shared" si="85"/>
        <v>0</v>
      </c>
      <c r="O287" s="5">
        <f>N287*Assumptions!$E$25*-1</f>
        <v>0</v>
      </c>
      <c r="P287" s="20">
        <f>Assumptions!$E$35*J287*-1</f>
        <v>-2789.1218242417317</v>
      </c>
      <c r="Q287" s="5">
        <f>J287*Assumptions!$E$36*-1</f>
        <v>-1123.236294377831</v>
      </c>
      <c r="R287" s="5">
        <f>(R275+(Model_30y!R275*Assumptions!$D$51))</f>
        <v>-997.98926036029491</v>
      </c>
      <c r="S287" s="5">
        <f>S275+(S275*Assumptions!$D$51)</f>
        <v>0</v>
      </c>
      <c r="T287" s="5">
        <f t="shared" si="80"/>
        <v>0</v>
      </c>
      <c r="U287" s="22">
        <f t="shared" si="72"/>
        <v>-4910.3473789798572</v>
      </c>
      <c r="V287" s="5">
        <f>MAX(Assumptions!$E$18:$E$19)-U287</f>
        <v>7751.9803907785536</v>
      </c>
      <c r="W287" s="5">
        <f t="shared" si="73"/>
        <v>-2198.4576329329379</v>
      </c>
      <c r="X287" s="5">
        <f t="shared" si="78"/>
        <v>-4910.3473789798572</v>
      </c>
      <c r="Y287" s="5">
        <f>C287*Assumptions!$D$44*-1</f>
        <v>114.04922482756504</v>
      </c>
      <c r="Z287" s="5">
        <f t="shared" si="74"/>
        <v>757.22460369332384</v>
      </c>
      <c r="AA287" s="5">
        <f t="shared" si="81"/>
        <v>767842.44084366551</v>
      </c>
      <c r="AB287" s="3">
        <f>Assumptions!$E$45</f>
        <v>6.9899151946608562E-3</v>
      </c>
      <c r="AC287" s="5">
        <f t="shared" si="82"/>
        <v>773966.81899171742</v>
      </c>
      <c r="AD287" s="5">
        <f>AC287*Assumptions!$E$43</f>
        <v>693.14572048119032</v>
      </c>
      <c r="AE287" s="2">
        <f>AD287*Assumptions!$D$44*-1</f>
        <v>-103.97185807217855</v>
      </c>
      <c r="AF287" s="2">
        <f>AC287*Assumptions!$E$46*-1</f>
        <v>-25.794165377598393</v>
      </c>
      <c r="AG287" s="22">
        <f t="shared" si="83"/>
        <v>773837.05296826758</v>
      </c>
      <c r="AH287" s="5">
        <f>Model_30y[[#This Row],[Mortgage Payment]]+Model_30y[[#This Row],[Total Upkeep]]+Model_30y[[#This Row],[Monthly Investment]]</f>
        <v>-6351.5804082194709</v>
      </c>
      <c r="AI287" s="5">
        <f>Model_Renter!D287*-1</f>
        <v>6412.7279694741219</v>
      </c>
      <c r="AJ287" s="5">
        <f t="shared" si="84"/>
        <v>61.147561254651009</v>
      </c>
    </row>
    <row r="288" spans="1:36" x14ac:dyDescent="0.25">
      <c r="A288" s="17">
        <f t="shared" si="79"/>
        <v>286</v>
      </c>
      <c r="B288" s="17">
        <f t="shared" si="75"/>
        <v>24</v>
      </c>
      <c r="C288" s="23">
        <f>IFERROR(IPMT(Assumptions!$D$16/12,Model_30y!A288, 360,Assumptions!$D$8), 0)</f>
        <v>-752.27464049957177</v>
      </c>
      <c r="D288" s="2">
        <f>IFERROR(PPMT(Assumptions!$D$16/12, Model_30y!A288, 360, Assumptions!$D$8), 0)</f>
        <v>-1446.1829924333663</v>
      </c>
      <c r="E288" s="2">
        <f t="shared" si="69"/>
        <v>-2198.4576329329379</v>
      </c>
      <c r="F288" s="2">
        <f>IF(I287&gt;1, Assumptions!$E$18, 0)*-1</f>
        <v>-2198.4576329329379</v>
      </c>
      <c r="G288" s="24">
        <f t="shared" si="70"/>
        <v>1</v>
      </c>
      <c r="H288" s="20">
        <f t="shared" si="76"/>
        <v>207111.42576036704</v>
      </c>
      <c r="I288" s="2">
        <f>MAX(Assumptions!$D$8-SUM(Model_30y!H288), 0)</f>
        <v>132888.57423963296</v>
      </c>
      <c r="J288" s="2">
        <f>J287*(1+(Assumptions!$E$51))</f>
        <v>1359566.8222771764</v>
      </c>
      <c r="K288" s="22">
        <f t="shared" si="71"/>
        <v>1226678.2480375434</v>
      </c>
      <c r="L288" s="5">
        <f t="shared" si="77"/>
        <v>292111.42576036684</v>
      </c>
      <c r="M288" s="63">
        <f>L288/Assumptions!$D$6</f>
        <v>0.6873210017890985</v>
      </c>
      <c r="N288" s="24">
        <f t="shared" si="85"/>
        <v>0</v>
      </c>
      <c r="O288" s="5">
        <f>N288*Assumptions!$E$25*-1</f>
        <v>0</v>
      </c>
      <c r="P288" s="20">
        <f>Assumptions!$E$35*J288*-1</f>
        <v>-2800.4850518013677</v>
      </c>
      <c r="Q288" s="5">
        <f>J288*Assumptions!$E$36*-1</f>
        <v>-1127.8124980794128</v>
      </c>
      <c r="R288" s="5">
        <f>(R276+(Model_30y!R276*Assumptions!$D$51))</f>
        <v>-997.98926036029491</v>
      </c>
      <c r="S288" s="5">
        <f>S276+(S276*Assumptions!$D$51)</f>
        <v>0</v>
      </c>
      <c r="T288" s="5">
        <f t="shared" si="80"/>
        <v>0</v>
      </c>
      <c r="U288" s="22">
        <f t="shared" si="72"/>
        <v>-4926.2868102410757</v>
      </c>
      <c r="V288" s="5">
        <f>MAX(Assumptions!$E$18:$E$19)-U288</f>
        <v>7767.919822039772</v>
      </c>
      <c r="W288" s="5">
        <f t="shared" si="73"/>
        <v>-2198.4576329329379</v>
      </c>
      <c r="X288" s="5">
        <f t="shared" si="78"/>
        <v>-4926.2868102410757</v>
      </c>
      <c r="Y288" s="5">
        <f>C288*Assumptions!$D$44*-1</f>
        <v>112.84119607493577</v>
      </c>
      <c r="Z288" s="5">
        <f t="shared" si="74"/>
        <v>756.01657494069457</v>
      </c>
      <c r="AA288" s="5">
        <f t="shared" si="81"/>
        <v>773837.05296826758</v>
      </c>
      <c r="AB288" s="3">
        <f>Assumptions!$E$45</f>
        <v>6.9899151946608562E-3</v>
      </c>
      <c r="AC288" s="5">
        <f t="shared" si="82"/>
        <v>780002.12491794268</v>
      </c>
      <c r="AD288" s="5">
        <f>AC288*Assumptions!$E$43</f>
        <v>698.5507926004417</v>
      </c>
      <c r="AE288" s="2">
        <f>AD288*Assumptions!$D$44*-1</f>
        <v>-104.78261889006625</v>
      </c>
      <c r="AF288" s="2">
        <f>AC288*Assumptions!$E$46*-1</f>
        <v>-25.995305368804036</v>
      </c>
      <c r="AG288" s="22">
        <f t="shared" si="83"/>
        <v>779871.34699368384</v>
      </c>
      <c r="AH288" s="5">
        <f>Model_30y[[#This Row],[Mortgage Payment]]+Model_30y[[#This Row],[Total Upkeep]]+Model_30y[[#This Row],[Monthly Investment]]</f>
        <v>-6368.727868233319</v>
      </c>
      <c r="AI288" s="5">
        <f>Model_Renter!D288*-1</f>
        <v>6412.7279694741219</v>
      </c>
      <c r="AJ288" s="5">
        <f t="shared" si="84"/>
        <v>44.000101240802906</v>
      </c>
    </row>
    <row r="289" spans="1:36" x14ac:dyDescent="0.25">
      <c r="A289" s="17">
        <f t="shared" si="79"/>
        <v>287</v>
      </c>
      <c r="B289" s="17">
        <f t="shared" si="75"/>
        <v>24</v>
      </c>
      <c r="C289" s="23">
        <f>IFERROR(IPMT(Assumptions!$D$16/12,Model_30y!A289, 360,Assumptions!$D$8), 0)</f>
        <v>-744.17601574194487</v>
      </c>
      <c r="D289" s="2">
        <f>IFERROR(PPMT(Assumptions!$D$16/12, Model_30y!A289, 360, Assumptions!$D$8), 0)</f>
        <v>-1454.2816171909931</v>
      </c>
      <c r="E289" s="2">
        <f t="shared" si="69"/>
        <v>-2198.4576329329379</v>
      </c>
      <c r="F289" s="2">
        <f>IF(I288&gt;1, Assumptions!$E$18, 0)*-1</f>
        <v>-2198.4576329329379</v>
      </c>
      <c r="G289" s="24">
        <f t="shared" si="70"/>
        <v>1</v>
      </c>
      <c r="H289" s="20">
        <f t="shared" si="76"/>
        <v>208565.70737755802</v>
      </c>
      <c r="I289" s="2">
        <f>MAX(Assumptions!$D$8-SUM(Model_30y!H289), 0)</f>
        <v>131434.29262244198</v>
      </c>
      <c r="J289" s="2">
        <f>J288*(1+(Assumptions!$E$51))</f>
        <v>1365105.865803275</v>
      </c>
      <c r="K289" s="22">
        <f t="shared" si="71"/>
        <v>1233671.5731808331</v>
      </c>
      <c r="L289" s="5">
        <f t="shared" si="77"/>
        <v>293565.70737755782</v>
      </c>
      <c r="M289" s="63">
        <f>L289/Assumptions!$D$6</f>
        <v>0.69074284088837135</v>
      </c>
      <c r="N289" s="24">
        <f t="shared" si="85"/>
        <v>0</v>
      </c>
      <c r="O289" s="5">
        <f>N289*Assumptions!$E$25*-1</f>
        <v>0</v>
      </c>
      <c r="P289" s="20">
        <f>Assumptions!$E$35*J289*-1</f>
        <v>-2811.894574556663</v>
      </c>
      <c r="Q289" s="5">
        <f>J289*Assumptions!$E$36*-1</f>
        <v>-1132.4073458013338</v>
      </c>
      <c r="R289" s="5">
        <f>(R277+(Model_30y!R277*Assumptions!$D$51))</f>
        <v>-997.98926036029491</v>
      </c>
      <c r="S289" s="5">
        <f>S277+(S277*Assumptions!$D$51)</f>
        <v>0</v>
      </c>
      <c r="T289" s="5">
        <f t="shared" si="80"/>
        <v>0</v>
      </c>
      <c r="U289" s="22">
        <f t="shared" si="72"/>
        <v>-4942.2911807182918</v>
      </c>
      <c r="V289" s="5">
        <f>MAX(Assumptions!$E$18:$E$19)-U289</f>
        <v>7783.9241925169881</v>
      </c>
      <c r="W289" s="5">
        <f t="shared" si="73"/>
        <v>-2198.4576329329379</v>
      </c>
      <c r="X289" s="5">
        <f t="shared" si="78"/>
        <v>-4942.2911807182918</v>
      </c>
      <c r="Y289" s="5">
        <f>C289*Assumptions!$D$44*-1</f>
        <v>111.62640236129172</v>
      </c>
      <c r="Z289" s="5">
        <f t="shared" si="74"/>
        <v>754.80178122705058</v>
      </c>
      <c r="AA289" s="5">
        <f t="shared" si="81"/>
        <v>779871.34699368384</v>
      </c>
      <c r="AB289" s="3">
        <f>Assumptions!$E$45</f>
        <v>6.9899151946608562E-3</v>
      </c>
      <c r="AC289" s="5">
        <f t="shared" si="82"/>
        <v>786077.38335314265</v>
      </c>
      <c r="AD289" s="5">
        <f>AC289*Assumptions!$E$43</f>
        <v>703.99164520787269</v>
      </c>
      <c r="AE289" s="2">
        <f>AD289*Assumptions!$D$44*-1</f>
        <v>-105.59874678118091</v>
      </c>
      <c r="AF289" s="2">
        <f>AC289*Assumptions!$E$46*-1</f>
        <v>-26.197776866216998</v>
      </c>
      <c r="AG289" s="22">
        <f t="shared" si="83"/>
        <v>785945.58682949527</v>
      </c>
      <c r="AH289" s="5">
        <f>Model_30y[[#This Row],[Mortgage Payment]]+Model_30y[[#This Row],[Total Upkeep]]+Model_30y[[#This Row],[Monthly Investment]]</f>
        <v>-6385.9470324241784</v>
      </c>
      <c r="AI289" s="5">
        <f>Model_Renter!D289*-1</f>
        <v>6412.7279694741219</v>
      </c>
      <c r="AJ289" s="5">
        <f t="shared" si="84"/>
        <v>26.780937049943532</v>
      </c>
    </row>
    <row r="290" spans="1:36" x14ac:dyDescent="0.25">
      <c r="A290" s="17">
        <f t="shared" si="79"/>
        <v>288</v>
      </c>
      <c r="B290" s="17">
        <f t="shared" si="75"/>
        <v>24</v>
      </c>
      <c r="C290" s="23">
        <f>IFERROR(IPMT(Assumptions!$D$16/12,Model_30y!A290, 360,Assumptions!$D$8), 0)</f>
        <v>-736.03203868567539</v>
      </c>
      <c r="D290" s="2">
        <f>IFERROR(PPMT(Assumptions!$D$16/12, Model_30y!A290, 360, Assumptions!$D$8), 0)</f>
        <v>-1462.4255942472626</v>
      </c>
      <c r="E290" s="2">
        <f t="shared" si="69"/>
        <v>-2198.4576329329379</v>
      </c>
      <c r="F290" s="2">
        <f>IF(I289&gt;1, Assumptions!$E$18, 0)*-1</f>
        <v>-2198.4576329329379</v>
      </c>
      <c r="G290" s="24">
        <f t="shared" si="70"/>
        <v>1</v>
      </c>
      <c r="H290" s="20">
        <f t="shared" si="76"/>
        <v>210028.13297180529</v>
      </c>
      <c r="I290" s="2">
        <f>MAX(Assumptions!$D$8-SUM(Model_30y!H290), 0)</f>
        <v>129971.86702819471</v>
      </c>
      <c r="J290" s="2">
        <f>J289*(1+(Assumptions!$E$51))</f>
        <v>1370667.4760783419</v>
      </c>
      <c r="K290" s="22">
        <f t="shared" si="71"/>
        <v>1240695.6090501472</v>
      </c>
      <c r="L290" s="5">
        <f t="shared" si="77"/>
        <v>295028.13297180505</v>
      </c>
      <c r="M290" s="63">
        <f>L290/Assumptions!$D$6</f>
        <v>0.69418384228660013</v>
      </c>
      <c r="N290" s="24">
        <f t="shared" si="85"/>
        <v>0</v>
      </c>
      <c r="O290" s="5">
        <f>N290*Assumptions!$E$25*-1</f>
        <v>0</v>
      </c>
      <c r="P290" s="20">
        <f>Assumptions!$E$35*J290*-1</f>
        <v>-2823.3505811199761</v>
      </c>
      <c r="Q290" s="5">
        <f>J290*Assumptions!$E$36*-1</f>
        <v>-1137.0209135016412</v>
      </c>
      <c r="R290" s="5">
        <f>(R278+(Model_30y!R278*Assumptions!$D$51))</f>
        <v>-997.98926036029491</v>
      </c>
      <c r="S290" s="5">
        <f>S278+(S278*Assumptions!$D$51)</f>
        <v>0</v>
      </c>
      <c r="T290" s="5">
        <f t="shared" si="80"/>
        <v>0</v>
      </c>
      <c r="U290" s="22">
        <f t="shared" si="72"/>
        <v>-4958.3607549819126</v>
      </c>
      <c r="V290" s="5">
        <f>MAX(Assumptions!$E$18:$E$19)-U290</f>
        <v>7799.9937667806098</v>
      </c>
      <c r="W290" s="5">
        <f t="shared" si="73"/>
        <v>-2198.4576329329379</v>
      </c>
      <c r="X290" s="5">
        <f t="shared" si="78"/>
        <v>-4958.3607549819126</v>
      </c>
      <c r="Y290" s="5">
        <f>C290*Assumptions!$D$44*-1</f>
        <v>110.4048058028513</v>
      </c>
      <c r="Z290" s="5">
        <f t="shared" si="74"/>
        <v>753.58018466861108</v>
      </c>
      <c r="AA290" s="5">
        <f t="shared" si="81"/>
        <v>785945.58682949527</v>
      </c>
      <c r="AB290" s="3">
        <f>Assumptions!$E$45</f>
        <v>6.9899151946608562E-3</v>
      </c>
      <c r="AC290" s="5">
        <f t="shared" si="82"/>
        <v>792192.86001372</v>
      </c>
      <c r="AD290" s="5">
        <f>AC290*Assumptions!$E$43</f>
        <v>709.4685162725832</v>
      </c>
      <c r="AE290" s="2">
        <f>AD290*Assumptions!$D$44*-1</f>
        <v>-106.42027744088747</v>
      </c>
      <c r="AF290" s="2">
        <f>AC290*Assumptions!$E$46*-1</f>
        <v>-26.401588725427285</v>
      </c>
      <c r="AG290" s="22">
        <f t="shared" si="83"/>
        <v>792060.03814755369</v>
      </c>
      <c r="AH290" s="5">
        <f>Model_30y[[#This Row],[Mortgage Payment]]+Model_30y[[#This Row],[Total Upkeep]]+Model_30y[[#This Row],[Monthly Investment]]</f>
        <v>-6403.2382032462401</v>
      </c>
      <c r="AI290" s="5">
        <f>Model_Renter!D290*-1</f>
        <v>6412.7279694741219</v>
      </c>
      <c r="AJ290" s="5">
        <f t="shared" si="84"/>
        <v>9.4897662278817734</v>
      </c>
    </row>
    <row r="291" spans="1:36" x14ac:dyDescent="0.25">
      <c r="A291" s="17">
        <f t="shared" si="79"/>
        <v>289</v>
      </c>
      <c r="B291" s="17">
        <f t="shared" si="75"/>
        <v>25</v>
      </c>
      <c r="C291" s="23">
        <f>IFERROR(IPMT(Assumptions!$D$16/12,Model_30y!A291, 360,Assumptions!$D$8), 0)</f>
        <v>-727.84245535789069</v>
      </c>
      <c r="D291" s="2">
        <f>IFERROR(PPMT(Assumptions!$D$16/12, Model_30y!A291, 360, Assumptions!$D$8), 0)</f>
        <v>-1470.6151775750473</v>
      </c>
      <c r="E291" s="2">
        <f t="shared" si="69"/>
        <v>-2198.4576329329379</v>
      </c>
      <c r="F291" s="2">
        <f>IF(I290&gt;1, Assumptions!$E$18, 0)*-1</f>
        <v>-2198.4576329329379</v>
      </c>
      <c r="G291" s="24">
        <f t="shared" si="70"/>
        <v>1</v>
      </c>
      <c r="H291" s="20">
        <f t="shared" si="76"/>
        <v>211498.74814938032</v>
      </c>
      <c r="I291" s="2">
        <f>MAX(Assumptions!$D$8-SUM(Model_30y!H291), 0)</f>
        <v>128501.25185061968</v>
      </c>
      <c r="J291" s="2">
        <f>J290*(1+(Assumptions!$E$51))</f>
        <v>1376251.7450421059</v>
      </c>
      <c r="K291" s="22">
        <f t="shared" si="71"/>
        <v>1247750.4931914862</v>
      </c>
      <c r="L291" s="5">
        <f t="shared" si="77"/>
        <v>296498.74814938009</v>
      </c>
      <c r="M291" s="63">
        <f>L291/Assumptions!$D$6</f>
        <v>0.69764411329265907</v>
      </c>
      <c r="N291" s="24">
        <f t="shared" si="85"/>
        <v>0</v>
      </c>
      <c r="O291" s="5">
        <f>N291*Assumptions!$E$25*-1</f>
        <v>0</v>
      </c>
      <c r="P291" s="20">
        <f>Assumptions!$E$35*J291*-1</f>
        <v>-2834.8532608720943</v>
      </c>
      <c r="Q291" s="5">
        <f>J291*Assumptions!$E$36*-1</f>
        <v>-1141.6532774478437</v>
      </c>
      <c r="R291" s="5">
        <f>(R279+(Model_30y!R279*Assumptions!$D$51))</f>
        <v>-1047.8887233783096</v>
      </c>
      <c r="S291" s="5">
        <f>S279+(S279*Assumptions!$D$51)</f>
        <v>0</v>
      </c>
      <c r="T291" s="5">
        <f t="shared" si="80"/>
        <v>0</v>
      </c>
      <c r="U291" s="22">
        <f t="shared" si="72"/>
        <v>-5024.3952616982479</v>
      </c>
      <c r="V291" s="5">
        <f>MAX(Assumptions!$E$18:$E$19)-U291</f>
        <v>7866.0282734969442</v>
      </c>
      <c r="W291" s="5">
        <f t="shared" si="73"/>
        <v>-2198.4576329329379</v>
      </c>
      <c r="X291" s="5">
        <f t="shared" si="78"/>
        <v>-5024.3952616982479</v>
      </c>
      <c r="Y291" s="5">
        <f>C291*Assumptions!$D$44*-1</f>
        <v>109.1763683036836</v>
      </c>
      <c r="Z291" s="5">
        <f t="shared" si="74"/>
        <v>752.35174716944243</v>
      </c>
      <c r="AA291" s="5">
        <f t="shared" si="81"/>
        <v>792060.03814755369</v>
      </c>
      <c r="AB291" s="3">
        <f>Assumptions!$E$45</f>
        <v>6.9899151946608562E-3</v>
      </c>
      <c r="AC291" s="5">
        <f t="shared" si="82"/>
        <v>798348.82239045436</v>
      </c>
      <c r="AD291" s="5">
        <f>AC291*Assumptions!$E$43</f>
        <v>714.98164535276192</v>
      </c>
      <c r="AE291" s="2">
        <f>AD291*Assumptions!$D$44*-1</f>
        <v>-107.24724680291429</v>
      </c>
      <c r="AF291" s="2">
        <f>AC291*Assumptions!$E$46*-1</f>
        <v>-26.606749861159976</v>
      </c>
      <c r="AG291" s="22">
        <f t="shared" si="83"/>
        <v>798214.9683937903</v>
      </c>
      <c r="AH291" s="5">
        <f>Model_30y[[#This Row],[Mortgage Payment]]+Model_30y[[#This Row],[Total Upkeep]]+Model_30y[[#This Row],[Monthly Investment]]</f>
        <v>-6470.5011474617431</v>
      </c>
      <c r="AI291" s="5">
        <f>Model_Renter!D291*-1</f>
        <v>6652.563995532455</v>
      </c>
      <c r="AJ291" s="5">
        <f t="shared" si="84"/>
        <v>182.06284807071188</v>
      </c>
    </row>
    <row r="292" spans="1:36" x14ac:dyDescent="0.25">
      <c r="A292" s="17">
        <f t="shared" si="79"/>
        <v>290</v>
      </c>
      <c r="B292" s="17">
        <f t="shared" si="75"/>
        <v>25</v>
      </c>
      <c r="C292" s="23">
        <f>IFERROR(IPMT(Assumptions!$D$16/12,Model_30y!A292, 360,Assumptions!$D$8), 0)</f>
        <v>-719.60701036347041</v>
      </c>
      <c r="D292" s="2">
        <f>IFERROR(PPMT(Assumptions!$D$16/12, Model_30y!A292, 360, Assumptions!$D$8), 0)</f>
        <v>-1478.8506225694678</v>
      </c>
      <c r="E292" s="2">
        <f t="shared" si="69"/>
        <v>-2198.4576329329384</v>
      </c>
      <c r="F292" s="2">
        <f>IF(I291&gt;1, Assumptions!$E$18, 0)*-1</f>
        <v>-2198.4576329329379</v>
      </c>
      <c r="G292" s="24">
        <f t="shared" si="70"/>
        <v>1</v>
      </c>
      <c r="H292" s="20">
        <f t="shared" si="76"/>
        <v>212977.59877194979</v>
      </c>
      <c r="I292" s="2">
        <f>MAX(Assumptions!$D$8-SUM(Model_30y!H292), 0)</f>
        <v>127022.40122805021</v>
      </c>
      <c r="J292" s="2">
        <f>J291*(1+(Assumptions!$E$51))</f>
        <v>1381858.7650088696</v>
      </c>
      <c r="K292" s="22">
        <f t="shared" si="71"/>
        <v>1254836.3637808193</v>
      </c>
      <c r="L292" s="5">
        <f t="shared" si="77"/>
        <v>297977.59877194953</v>
      </c>
      <c r="M292" s="63">
        <f>L292/Assumptions!$D$6</f>
        <v>0.70112376181635183</v>
      </c>
      <c r="N292" s="24">
        <f t="shared" si="85"/>
        <v>0</v>
      </c>
      <c r="O292" s="5">
        <f>N292*Assumptions!$E$25*-1</f>
        <v>0</v>
      </c>
      <c r="P292" s="20">
        <f>Assumptions!$E$35*J292*-1</f>
        <v>-2846.4028039653663</v>
      </c>
      <c r="Q292" s="5">
        <f>J292*Assumptions!$E$36*-1</f>
        <v>-1146.3045142181741</v>
      </c>
      <c r="R292" s="5">
        <f>(R280+(Model_30y!R280*Assumptions!$D$51))</f>
        <v>-1047.8887233783096</v>
      </c>
      <c r="S292" s="5">
        <f>S280+(S280*Assumptions!$D$51)</f>
        <v>0</v>
      </c>
      <c r="T292" s="5">
        <f t="shared" si="80"/>
        <v>0</v>
      </c>
      <c r="U292" s="22">
        <f t="shared" si="72"/>
        <v>-5040.5960415618501</v>
      </c>
      <c r="V292" s="5">
        <f>MAX(Assumptions!$E$18:$E$19)-U292</f>
        <v>7882.2290533605465</v>
      </c>
      <c r="W292" s="5">
        <f t="shared" si="73"/>
        <v>-2198.4576329329379</v>
      </c>
      <c r="X292" s="5">
        <f t="shared" si="78"/>
        <v>-5040.5960415618501</v>
      </c>
      <c r="Y292" s="5">
        <f>C292*Assumptions!$D$44*-1</f>
        <v>107.94105155452056</v>
      </c>
      <c r="Z292" s="5">
        <f t="shared" si="74"/>
        <v>751.11643042027936</v>
      </c>
      <c r="AA292" s="5">
        <f t="shared" si="81"/>
        <v>798214.9683937903</v>
      </c>
      <c r="AB292" s="3">
        <f>Assumptions!$E$45</f>
        <v>6.9899151946608562E-3</v>
      </c>
      <c r="AC292" s="5">
        <f t="shared" si="82"/>
        <v>804545.53976039216</v>
      </c>
      <c r="AD292" s="5">
        <f>AC292*Assumptions!$E$43</f>
        <v>720.53127360633414</v>
      </c>
      <c r="AE292" s="2">
        <f>AD292*Assumptions!$D$44*-1</f>
        <v>-108.07969104095012</v>
      </c>
      <c r="AF292" s="2">
        <f>AC292*Assumptions!$E$46*-1</f>
        <v>-26.81326924767146</v>
      </c>
      <c r="AG292" s="22">
        <f t="shared" si="83"/>
        <v>804410.64680010348</v>
      </c>
      <c r="AH292" s="5">
        <f>Model_30y[[#This Row],[Mortgage Payment]]+Model_30y[[#This Row],[Total Upkeep]]+Model_30y[[#This Row],[Monthly Investment]]</f>
        <v>-6487.9372440745083</v>
      </c>
      <c r="AI292" s="5">
        <f>Model_Renter!D292*-1</f>
        <v>6652.563995532455</v>
      </c>
      <c r="AJ292" s="5">
        <f t="shared" si="84"/>
        <v>164.62675145794674</v>
      </c>
    </row>
    <row r="293" spans="1:36" x14ac:dyDescent="0.25">
      <c r="A293" s="17">
        <f t="shared" si="79"/>
        <v>291</v>
      </c>
      <c r="B293" s="17">
        <f t="shared" si="75"/>
        <v>25</v>
      </c>
      <c r="C293" s="23">
        <f>IFERROR(IPMT(Assumptions!$D$16/12,Model_30y!A293, 360,Assumptions!$D$8), 0)</f>
        <v>-711.32544687708139</v>
      </c>
      <c r="D293" s="2">
        <f>IFERROR(PPMT(Assumptions!$D$16/12, Model_30y!A293, 360, Assumptions!$D$8), 0)</f>
        <v>-1487.1321860558567</v>
      </c>
      <c r="E293" s="2">
        <f t="shared" si="69"/>
        <v>-2198.4576329329379</v>
      </c>
      <c r="F293" s="2">
        <f>IF(I292&gt;1, Assumptions!$E$18, 0)*-1</f>
        <v>-2198.4576329329379</v>
      </c>
      <c r="G293" s="24">
        <f t="shared" si="70"/>
        <v>1</v>
      </c>
      <c r="H293" s="20">
        <f t="shared" si="76"/>
        <v>214464.73095800565</v>
      </c>
      <c r="I293" s="2">
        <f>MAX(Assumptions!$D$8-SUM(Model_30y!H293), 0)</f>
        <v>125535.26904199435</v>
      </c>
      <c r="J293" s="2">
        <f>J292*(1+(Assumptions!$E$51))</f>
        <v>1387488.6286690352</v>
      </c>
      <c r="K293" s="22">
        <f t="shared" si="71"/>
        <v>1261953.3596270408</v>
      </c>
      <c r="L293" s="5">
        <f t="shared" si="77"/>
        <v>299464.73095800541</v>
      </c>
      <c r="M293" s="63">
        <f>L293/Assumptions!$D$6</f>
        <v>0.70462289637177744</v>
      </c>
      <c r="N293" s="24">
        <f t="shared" si="85"/>
        <v>0</v>
      </c>
      <c r="O293" s="5">
        <f>N293*Assumptions!$E$25*-1</f>
        <v>0</v>
      </c>
      <c r="P293" s="20">
        <f>Assumptions!$E$35*J293*-1</f>
        <v>-2857.9994013268451</v>
      </c>
      <c r="Q293" s="5">
        <f>J293*Assumptions!$E$36*-1</f>
        <v>-1150.9747007028539</v>
      </c>
      <c r="R293" s="5">
        <f>(R281+(Model_30y!R281*Assumptions!$D$51))</f>
        <v>-1047.8887233783096</v>
      </c>
      <c r="S293" s="5">
        <f>S281+(S281*Assumptions!$D$51)</f>
        <v>0</v>
      </c>
      <c r="T293" s="5">
        <f t="shared" si="80"/>
        <v>0</v>
      </c>
      <c r="U293" s="22">
        <f t="shared" si="72"/>
        <v>-5056.8628254080086</v>
      </c>
      <c r="V293" s="5">
        <f>MAX(Assumptions!$E$18:$E$19)-U293</f>
        <v>7898.4958372067049</v>
      </c>
      <c r="W293" s="5">
        <f t="shared" si="73"/>
        <v>-2198.4576329329379</v>
      </c>
      <c r="X293" s="5">
        <f t="shared" si="78"/>
        <v>-5056.8628254080086</v>
      </c>
      <c r="Y293" s="5">
        <f>C293*Assumptions!$D$44*-1</f>
        <v>106.6988170315622</v>
      </c>
      <c r="Z293" s="5">
        <f t="shared" si="74"/>
        <v>749.87419589732099</v>
      </c>
      <c r="AA293" s="5">
        <f t="shared" si="81"/>
        <v>804410.64680010348</v>
      </c>
      <c r="AB293" s="3">
        <f>Assumptions!$E$45</f>
        <v>6.9899151946608562E-3</v>
      </c>
      <c r="AC293" s="5">
        <f t="shared" si="82"/>
        <v>810783.28319881589</v>
      </c>
      <c r="AD293" s="5">
        <f>AC293*Assumptions!$E$43</f>
        <v>726.11764380168131</v>
      </c>
      <c r="AE293" s="2">
        <f>AD293*Assumptions!$D$44*-1</f>
        <v>-108.91764657025219</v>
      </c>
      <c r="AF293" s="2">
        <f>AC293*Assumptions!$E$46*-1</f>
        <v>-27.021155919148331</v>
      </c>
      <c r="AG293" s="22">
        <f t="shared" si="83"/>
        <v>810647.34439632646</v>
      </c>
      <c r="AH293" s="5">
        <f>Model_30y[[#This Row],[Mortgage Payment]]+Model_30y[[#This Row],[Total Upkeep]]+Model_30y[[#This Row],[Monthly Investment]]</f>
        <v>-6505.4462624436255</v>
      </c>
      <c r="AI293" s="5">
        <f>Model_Renter!D293*-1</f>
        <v>6652.563995532455</v>
      </c>
      <c r="AJ293" s="5">
        <f t="shared" si="84"/>
        <v>147.11773308882948</v>
      </c>
    </row>
    <row r="294" spans="1:36" x14ac:dyDescent="0.25">
      <c r="A294" s="17">
        <f t="shared" si="79"/>
        <v>292</v>
      </c>
      <c r="B294" s="17">
        <f t="shared" si="75"/>
        <v>25</v>
      </c>
      <c r="C294" s="23">
        <f>IFERROR(IPMT(Assumptions!$D$16/12,Model_30y!A294, 360,Assumptions!$D$8), 0)</f>
        <v>-702.99750663516852</v>
      </c>
      <c r="D294" s="2">
        <f>IFERROR(PPMT(Assumptions!$D$16/12, Model_30y!A294, 360, Assumptions!$D$8), 0)</f>
        <v>-1495.4601262977692</v>
      </c>
      <c r="E294" s="2">
        <f t="shared" si="69"/>
        <v>-2198.4576329329375</v>
      </c>
      <c r="F294" s="2">
        <f>IF(I293&gt;1, Assumptions!$E$18, 0)*-1</f>
        <v>-2198.4576329329379</v>
      </c>
      <c r="G294" s="24">
        <f t="shared" si="70"/>
        <v>1</v>
      </c>
      <c r="H294" s="20">
        <f t="shared" si="76"/>
        <v>215960.19108430343</v>
      </c>
      <c r="I294" s="2">
        <f>MAX(Assumptions!$D$8-SUM(Model_30y!H294), 0)</f>
        <v>124039.80891569657</v>
      </c>
      <c r="J294" s="2">
        <f>J293*(1+(Assumptions!$E$51))</f>
        <v>1393141.4290906372</v>
      </c>
      <c r="K294" s="22">
        <f t="shared" si="71"/>
        <v>1269101.6201749407</v>
      </c>
      <c r="L294" s="5">
        <f t="shared" si="77"/>
        <v>300960.19108430319</v>
      </c>
      <c r="M294" s="63">
        <f>L294/Assumptions!$D$6</f>
        <v>0.7081416260807134</v>
      </c>
      <c r="N294" s="24">
        <f t="shared" si="85"/>
        <v>0</v>
      </c>
      <c r="O294" s="5">
        <f>N294*Assumptions!$E$25*-1</f>
        <v>0</v>
      </c>
      <c r="P294" s="20">
        <f>Assumptions!$E$35*J294*-1</f>
        <v>-2869.6432446614435</v>
      </c>
      <c r="Q294" s="5">
        <f>J294*Assumptions!$E$36*-1</f>
        <v>-1155.6639141053649</v>
      </c>
      <c r="R294" s="5">
        <f>(R282+(Model_30y!R282*Assumptions!$D$51))</f>
        <v>-1047.8887233783096</v>
      </c>
      <c r="S294" s="5">
        <f>S282+(S282*Assumptions!$D$51)</f>
        <v>0</v>
      </c>
      <c r="T294" s="5">
        <f t="shared" si="80"/>
        <v>0</v>
      </c>
      <c r="U294" s="22">
        <f t="shared" si="72"/>
        <v>-5073.195882145118</v>
      </c>
      <c r="V294" s="5">
        <f>MAX(Assumptions!$E$18:$E$19)-U294</f>
        <v>7914.8288939438153</v>
      </c>
      <c r="W294" s="5">
        <f t="shared" si="73"/>
        <v>-2198.4576329329379</v>
      </c>
      <c r="X294" s="5">
        <f t="shared" si="78"/>
        <v>-5073.195882145118</v>
      </c>
      <c r="Y294" s="5">
        <f>C294*Assumptions!$D$44*-1</f>
        <v>105.44962599527527</v>
      </c>
      <c r="Z294" s="5">
        <f t="shared" si="74"/>
        <v>748.62500486103499</v>
      </c>
      <c r="AA294" s="5">
        <f t="shared" si="81"/>
        <v>810647.34439632646</v>
      </c>
      <c r="AB294" s="3">
        <f>Assumptions!$E$45</f>
        <v>6.9899151946608562E-3</v>
      </c>
      <c r="AC294" s="5">
        <f t="shared" si="82"/>
        <v>817062.32559129479</v>
      </c>
      <c r="AD294" s="5">
        <f>AC294*Assumptions!$E$43</f>
        <v>731.74100032843353</v>
      </c>
      <c r="AE294" s="2">
        <f>AD294*Assumptions!$D$44*-1</f>
        <v>-109.76115004926503</v>
      </c>
      <c r="AF294" s="2">
        <f>AC294*Assumptions!$E$46*-1</f>
        <v>-27.230418970109028</v>
      </c>
      <c r="AG294" s="22">
        <f t="shared" si="83"/>
        <v>816925.33402227541</v>
      </c>
      <c r="AH294" s="5">
        <f>Model_30y[[#This Row],[Mortgage Payment]]+Model_30y[[#This Row],[Total Upkeep]]+Model_30y[[#This Row],[Monthly Investment]]</f>
        <v>-6523.0285102170219</v>
      </c>
      <c r="AI294" s="5">
        <f>Model_Renter!D294*-1</f>
        <v>6652.563995532455</v>
      </c>
      <c r="AJ294" s="5">
        <f t="shared" si="84"/>
        <v>129.53548531543311</v>
      </c>
    </row>
    <row r="295" spans="1:36" x14ac:dyDescent="0.25">
      <c r="A295" s="17">
        <f t="shared" si="79"/>
        <v>293</v>
      </c>
      <c r="B295" s="17">
        <f t="shared" si="75"/>
        <v>25</v>
      </c>
      <c r="C295" s="23">
        <f>IFERROR(IPMT(Assumptions!$D$16/12,Model_30y!A295, 360,Assumptions!$D$8), 0)</f>
        <v>-694.62292992790105</v>
      </c>
      <c r="D295" s="2">
        <f>IFERROR(PPMT(Assumptions!$D$16/12, Model_30y!A295, 360, Assumptions!$D$8), 0)</f>
        <v>-1503.8347030050372</v>
      </c>
      <c r="E295" s="2">
        <f t="shared" si="69"/>
        <v>-2198.4576329329384</v>
      </c>
      <c r="F295" s="2">
        <f>IF(I294&gt;1, Assumptions!$E$18, 0)*-1</f>
        <v>-2198.4576329329379</v>
      </c>
      <c r="G295" s="24">
        <f t="shared" si="70"/>
        <v>1</v>
      </c>
      <c r="H295" s="20">
        <f t="shared" si="76"/>
        <v>217464.02578730846</v>
      </c>
      <c r="I295" s="2">
        <f>MAX(Assumptions!$D$8-SUM(Model_30y!H295), 0)</f>
        <v>122535.97421269154</v>
      </c>
      <c r="J295" s="2">
        <f>J294*(1+(Assumptions!$E$51))</f>
        <v>1398817.2597208812</v>
      </c>
      <c r="K295" s="22">
        <f t="shared" si="71"/>
        <v>1276281.2855081898</v>
      </c>
      <c r="L295" s="5">
        <f t="shared" si="77"/>
        <v>302464.02578730823</v>
      </c>
      <c r="M295" s="63">
        <f>L295/Assumptions!$D$6</f>
        <v>0.71168006067601941</v>
      </c>
      <c r="N295" s="24">
        <f t="shared" si="85"/>
        <v>0</v>
      </c>
      <c r="O295" s="5">
        <f>N295*Assumptions!$E$25*-1</f>
        <v>0</v>
      </c>
      <c r="P295" s="20">
        <f>Assumptions!$E$35*J295*-1</f>
        <v>-2881.3345264551044</v>
      </c>
      <c r="Q295" s="5">
        <f>J295*Assumptions!$E$36*-1</f>
        <v>-1160.3722319437256</v>
      </c>
      <c r="R295" s="5">
        <f>(R283+(Model_30y!R283*Assumptions!$D$51))</f>
        <v>-1047.8887233783096</v>
      </c>
      <c r="S295" s="5">
        <f>S283+(S283*Assumptions!$D$51)</f>
        <v>0</v>
      </c>
      <c r="T295" s="5">
        <f t="shared" si="80"/>
        <v>0</v>
      </c>
      <c r="U295" s="22">
        <f t="shared" si="72"/>
        <v>-5089.5954817771399</v>
      </c>
      <c r="V295" s="5">
        <f>MAX(Assumptions!$E$18:$E$19)-U295</f>
        <v>7931.2284935758362</v>
      </c>
      <c r="W295" s="5">
        <f t="shared" si="73"/>
        <v>-2198.4576329329379</v>
      </c>
      <c r="X295" s="5">
        <f t="shared" si="78"/>
        <v>-5089.5954817771399</v>
      </c>
      <c r="Y295" s="5">
        <f>C295*Assumptions!$D$44*-1</f>
        <v>104.19343948918515</v>
      </c>
      <c r="Z295" s="5">
        <f t="shared" si="74"/>
        <v>747.36881835494398</v>
      </c>
      <c r="AA295" s="5">
        <f t="shared" si="81"/>
        <v>816925.33402227541</v>
      </c>
      <c r="AB295" s="3">
        <f>Assumptions!$E$45</f>
        <v>6.9899151946608562E-3</v>
      </c>
      <c r="AC295" s="5">
        <f t="shared" si="82"/>
        <v>823382.94164581597</v>
      </c>
      <c r="AD295" s="5">
        <f>AC295*Assumptions!$E$43</f>
        <v>737.40158920833358</v>
      </c>
      <c r="AE295" s="2">
        <f>AD295*Assumptions!$D$44*-1</f>
        <v>-110.61023838125003</v>
      </c>
      <c r="AF295" s="2">
        <f>AC295*Assumptions!$E$46*-1</f>
        <v>-27.441067555808111</v>
      </c>
      <c r="AG295" s="22">
        <f t="shared" si="83"/>
        <v>823244.89033987885</v>
      </c>
      <c r="AH295" s="5">
        <f>Model_30y[[#This Row],[Mortgage Payment]]+Model_30y[[#This Row],[Total Upkeep]]+Model_30y[[#This Row],[Monthly Investment]]</f>
        <v>-6540.6842963551335</v>
      </c>
      <c r="AI295" s="5">
        <f>Model_Renter!D295*-1</f>
        <v>6652.563995532455</v>
      </c>
      <c r="AJ295" s="5">
        <f t="shared" si="84"/>
        <v>111.87969917732153</v>
      </c>
    </row>
    <row r="296" spans="1:36" x14ac:dyDescent="0.25">
      <c r="A296" s="17">
        <f t="shared" si="79"/>
        <v>294</v>
      </c>
      <c r="B296" s="17">
        <f t="shared" si="75"/>
        <v>25</v>
      </c>
      <c r="C296" s="23">
        <f>IFERROR(IPMT(Assumptions!$D$16/12,Model_30y!A296, 360,Assumptions!$D$8), 0)</f>
        <v>-686.20145559107289</v>
      </c>
      <c r="D296" s="2">
        <f>IFERROR(PPMT(Assumptions!$D$16/12, Model_30y!A296, 360, Assumptions!$D$8), 0)</f>
        <v>-1512.2561773418654</v>
      </c>
      <c r="E296" s="2">
        <f t="shared" si="69"/>
        <v>-2198.4576329329384</v>
      </c>
      <c r="F296" s="2">
        <f>IF(I295&gt;1, Assumptions!$E$18, 0)*-1</f>
        <v>-2198.4576329329379</v>
      </c>
      <c r="G296" s="24">
        <f t="shared" si="70"/>
        <v>1</v>
      </c>
      <c r="H296" s="20">
        <f t="shared" si="76"/>
        <v>218976.28196465032</v>
      </c>
      <c r="I296" s="2">
        <f>MAX(Assumptions!$D$8-SUM(Model_30y!H296), 0)</f>
        <v>121023.71803534968</v>
      </c>
      <c r="J296" s="2">
        <f>J295*(1+(Assumptions!$E$51))</f>
        <v>1404516.2143876879</v>
      </c>
      <c r="K296" s="22">
        <f t="shared" si="71"/>
        <v>1283492.4963523382</v>
      </c>
      <c r="L296" s="5">
        <f t="shared" si="77"/>
        <v>303976.28196465009</v>
      </c>
      <c r="M296" s="63">
        <f>L296/Assumptions!$D$6</f>
        <v>0.71523831050505904</v>
      </c>
      <c r="N296" s="24">
        <f t="shared" si="85"/>
        <v>0</v>
      </c>
      <c r="O296" s="5">
        <f>N296*Assumptions!$E$25*-1</f>
        <v>0</v>
      </c>
      <c r="P296" s="20">
        <f>Assumptions!$E$35*J296*-1</f>
        <v>-2893.0734399779822</v>
      </c>
      <c r="Q296" s="5">
        <f>J296*Assumptions!$E$36*-1</f>
        <v>-1165.0997320517727</v>
      </c>
      <c r="R296" s="5">
        <f>(R284+(Model_30y!R284*Assumptions!$D$51))</f>
        <v>-1047.8887233783096</v>
      </c>
      <c r="S296" s="5">
        <f>S284+(S284*Assumptions!$D$51)</f>
        <v>0</v>
      </c>
      <c r="T296" s="5">
        <f t="shared" si="80"/>
        <v>0</v>
      </c>
      <c r="U296" s="22">
        <f t="shared" si="72"/>
        <v>-5106.0618954080646</v>
      </c>
      <c r="V296" s="5">
        <f>MAX(Assumptions!$E$18:$E$19)-U296</f>
        <v>7947.6949072067619</v>
      </c>
      <c r="W296" s="5">
        <f t="shared" si="73"/>
        <v>-2198.4576329329379</v>
      </c>
      <c r="X296" s="5">
        <f t="shared" si="78"/>
        <v>-5106.0618954080646</v>
      </c>
      <c r="Y296" s="5">
        <f>C296*Assumptions!$D$44*-1</f>
        <v>102.93021833866094</v>
      </c>
      <c r="Z296" s="5">
        <f t="shared" si="74"/>
        <v>746.10559720442063</v>
      </c>
      <c r="AA296" s="5">
        <f t="shared" si="81"/>
        <v>823244.89033987885</v>
      </c>
      <c r="AB296" s="3">
        <f>Assumptions!$E$45</f>
        <v>6.9899151946608562E-3</v>
      </c>
      <c r="AC296" s="5">
        <f t="shared" si="82"/>
        <v>829745.40790499689</v>
      </c>
      <c r="AD296" s="5">
        <f>AC296*Assumptions!$E$43</f>
        <v>743.09965810617393</v>
      </c>
      <c r="AE296" s="2">
        <f>AD296*Assumptions!$D$44*-1</f>
        <v>-111.46494871592608</v>
      </c>
      <c r="AF296" s="2">
        <f>AC296*Assumptions!$E$46*-1</f>
        <v>-27.653110892643276</v>
      </c>
      <c r="AG296" s="22">
        <f t="shared" si="83"/>
        <v>829606.28984538827</v>
      </c>
      <c r="AH296" s="5">
        <f>Model_30y[[#This Row],[Mortgage Payment]]+Model_30y[[#This Row],[Total Upkeep]]+Model_30y[[#This Row],[Monthly Investment]]</f>
        <v>-6558.4139311365825</v>
      </c>
      <c r="AI296" s="5">
        <f>Model_Renter!D296*-1</f>
        <v>6652.563995532455</v>
      </c>
      <c r="AJ296" s="5">
        <f t="shared" si="84"/>
        <v>94.150064395872505</v>
      </c>
    </row>
    <row r="297" spans="1:36" x14ac:dyDescent="0.25">
      <c r="A297" s="17">
        <f t="shared" si="79"/>
        <v>295</v>
      </c>
      <c r="B297" s="17">
        <f t="shared" si="75"/>
        <v>25</v>
      </c>
      <c r="C297" s="23">
        <f>IFERROR(IPMT(Assumptions!$D$16/12,Model_30y!A297, 360,Assumptions!$D$8), 0)</f>
        <v>-677.73282099795847</v>
      </c>
      <c r="D297" s="2">
        <f>IFERROR(PPMT(Assumptions!$D$16/12, Model_30y!A297, 360, Assumptions!$D$8), 0)</f>
        <v>-1520.7248119349795</v>
      </c>
      <c r="E297" s="2">
        <f t="shared" si="69"/>
        <v>-2198.4576329329379</v>
      </c>
      <c r="F297" s="2">
        <f>IF(I296&gt;1, Assumptions!$E$18, 0)*-1</f>
        <v>-2198.4576329329379</v>
      </c>
      <c r="G297" s="24">
        <f t="shared" si="70"/>
        <v>1</v>
      </c>
      <c r="H297" s="20">
        <f t="shared" si="76"/>
        <v>220497.0067765853</v>
      </c>
      <c r="I297" s="2">
        <f>MAX(Assumptions!$D$8-SUM(Model_30y!H297), 0)</f>
        <v>119502.9932234147</v>
      </c>
      <c r="J297" s="2">
        <f>J296*(1+(Assumptions!$E$51))</f>
        <v>1410238.3873012445</v>
      </c>
      <c r="K297" s="22">
        <f t="shared" si="71"/>
        <v>1290735.3940778298</v>
      </c>
      <c r="L297" s="5">
        <f t="shared" si="77"/>
        <v>305497.00677658507</v>
      </c>
      <c r="M297" s="63">
        <f>L297/Assumptions!$D$6</f>
        <v>0.71881648653314134</v>
      </c>
      <c r="N297" s="24">
        <f t="shared" si="85"/>
        <v>0</v>
      </c>
      <c r="O297" s="5">
        <f>N297*Assumptions!$E$25*-1</f>
        <v>0</v>
      </c>
      <c r="P297" s="20">
        <f>Assumptions!$E$35*J297*-1</f>
        <v>-2904.8601792876379</v>
      </c>
      <c r="Q297" s="5">
        <f>J297*Assumptions!$E$36*-1</f>
        <v>-1169.8464925804471</v>
      </c>
      <c r="R297" s="5">
        <f>(R285+(Model_30y!R285*Assumptions!$D$51))</f>
        <v>-1047.8887233783096</v>
      </c>
      <c r="S297" s="5">
        <f>S285+(S285*Assumptions!$D$51)</f>
        <v>0</v>
      </c>
      <c r="T297" s="5">
        <f t="shared" si="80"/>
        <v>0</v>
      </c>
      <c r="U297" s="22">
        <f t="shared" si="72"/>
        <v>-5122.5953952463951</v>
      </c>
      <c r="V297" s="5">
        <f>MAX(Assumptions!$E$18:$E$19)-U297</f>
        <v>7964.2284070450914</v>
      </c>
      <c r="W297" s="5">
        <f t="shared" si="73"/>
        <v>-2198.4576329329379</v>
      </c>
      <c r="X297" s="5">
        <f t="shared" si="78"/>
        <v>-5122.5953952463951</v>
      </c>
      <c r="Y297" s="5">
        <f>C297*Assumptions!$D$44*-1</f>
        <v>101.65992314969377</v>
      </c>
      <c r="Z297" s="5">
        <f t="shared" si="74"/>
        <v>744.83530201545261</v>
      </c>
      <c r="AA297" s="5">
        <f t="shared" si="81"/>
        <v>829606.28984538827</v>
      </c>
      <c r="AB297" s="3">
        <f>Assumptions!$E$45</f>
        <v>6.9899151946608562E-3</v>
      </c>
      <c r="AC297" s="5">
        <f t="shared" si="82"/>
        <v>836150.00275838014</v>
      </c>
      <c r="AD297" s="5">
        <f>AC297*Assumptions!$E$43</f>
        <v>748.83545634080861</v>
      </c>
      <c r="AE297" s="2">
        <f>AD297*Assumptions!$D$44*-1</f>
        <v>-112.32531845112129</v>
      </c>
      <c r="AF297" s="2">
        <f>AC297*Assumptions!$E$46*-1</f>
        <v>-27.86655825856511</v>
      </c>
      <c r="AG297" s="22">
        <f t="shared" si="83"/>
        <v>836009.81088167045</v>
      </c>
      <c r="AH297" s="5">
        <f>Model_30y[[#This Row],[Mortgage Payment]]+Model_30y[[#This Row],[Total Upkeep]]+Model_30y[[#This Row],[Monthly Investment]]</f>
        <v>-6576.2177261638799</v>
      </c>
      <c r="AI297" s="5">
        <f>Model_Renter!D297*-1</f>
        <v>6652.563995532455</v>
      </c>
      <c r="AJ297" s="5">
        <f t="shared" si="84"/>
        <v>76.346269368575122</v>
      </c>
    </row>
    <row r="298" spans="1:36" x14ac:dyDescent="0.25">
      <c r="A298" s="17">
        <f t="shared" si="79"/>
        <v>296</v>
      </c>
      <c r="B298" s="17">
        <f t="shared" si="75"/>
        <v>25</v>
      </c>
      <c r="C298" s="23">
        <f>IFERROR(IPMT(Assumptions!$D$16/12,Model_30y!A298, 360,Assumptions!$D$8), 0)</f>
        <v>-669.21676205112249</v>
      </c>
      <c r="D298" s="2">
        <f>IFERROR(PPMT(Assumptions!$D$16/12, Model_30y!A298, 360, Assumptions!$D$8), 0)</f>
        <v>-1529.2408708818152</v>
      </c>
      <c r="E298" s="2">
        <f t="shared" si="69"/>
        <v>-2198.4576329329375</v>
      </c>
      <c r="F298" s="2">
        <f>IF(I297&gt;1, Assumptions!$E$18, 0)*-1</f>
        <v>-2198.4576329329379</v>
      </c>
      <c r="G298" s="24">
        <f t="shared" si="70"/>
        <v>1</v>
      </c>
      <c r="H298" s="20">
        <f t="shared" si="76"/>
        <v>222026.24764746713</v>
      </c>
      <c r="I298" s="2">
        <f>MAX(Assumptions!$D$8-SUM(Model_30y!H298), 0)</f>
        <v>117973.75235253287</v>
      </c>
      <c r="J298" s="2">
        <f>J297*(1+(Assumptions!$E$51))</f>
        <v>1415983.8730555624</v>
      </c>
      <c r="K298" s="22">
        <f t="shared" si="71"/>
        <v>1298010.1207030294</v>
      </c>
      <c r="L298" s="5">
        <f t="shared" si="77"/>
        <v>307026.24764746689</v>
      </c>
      <c r="M298" s="63">
        <f>L298/Assumptions!$D$6</f>
        <v>0.72241470034698096</v>
      </c>
      <c r="N298" s="24">
        <f t="shared" si="85"/>
        <v>0</v>
      </c>
      <c r="O298" s="5">
        <f>N298*Assumptions!$E$25*-1</f>
        <v>0</v>
      </c>
      <c r="P298" s="20">
        <f>Assumptions!$E$35*J298*-1</f>
        <v>-2916.6949392322467</v>
      </c>
      <c r="Q298" s="5">
        <f>J298*Assumptions!$E$36*-1</f>
        <v>-1174.6125919990868</v>
      </c>
      <c r="R298" s="5">
        <f>(R286+(Model_30y!R286*Assumptions!$D$51))</f>
        <v>-1047.8887233783096</v>
      </c>
      <c r="S298" s="5">
        <f>S286+(S286*Assumptions!$D$51)</f>
        <v>0</v>
      </c>
      <c r="T298" s="5">
        <f t="shared" si="80"/>
        <v>0</v>
      </c>
      <c r="U298" s="22">
        <f t="shared" si="72"/>
        <v>-5139.1962546096429</v>
      </c>
      <c r="V298" s="5">
        <f>MAX(Assumptions!$E$18:$E$19)-U298</f>
        <v>7980.8292664083401</v>
      </c>
      <c r="W298" s="5">
        <f t="shared" si="73"/>
        <v>-2198.4576329329379</v>
      </c>
      <c r="X298" s="5">
        <f t="shared" si="78"/>
        <v>-5139.1962546096429</v>
      </c>
      <c r="Y298" s="5">
        <f>C298*Assumptions!$D$44*-1</f>
        <v>100.38251430766837</v>
      </c>
      <c r="Z298" s="5">
        <f t="shared" si="74"/>
        <v>743.55789317342806</v>
      </c>
      <c r="AA298" s="5">
        <f t="shared" si="81"/>
        <v>836009.81088167045</v>
      </c>
      <c r="AB298" s="3">
        <f>Assumptions!$E$45</f>
        <v>6.9899151946608562E-3</v>
      </c>
      <c r="AC298" s="5">
        <f t="shared" si="82"/>
        <v>842597.0064548112</v>
      </c>
      <c r="AD298" s="5">
        <f>AC298*Assumptions!$E$43</f>
        <v>754.60923489623713</v>
      </c>
      <c r="AE298" s="2">
        <f>AD298*Assumptions!$D$44*-1</f>
        <v>-113.19138523443557</v>
      </c>
      <c r="AF298" s="2">
        <f>AC298*Assumptions!$E$46*-1</f>
        <v>-28.081418993489599</v>
      </c>
      <c r="AG298" s="22">
        <f t="shared" si="83"/>
        <v>842455.73365058331</v>
      </c>
      <c r="AH298" s="5">
        <f>Model_30y[[#This Row],[Mortgage Payment]]+Model_30y[[#This Row],[Total Upkeep]]+Model_30y[[#This Row],[Monthly Investment]]</f>
        <v>-6594.0959943691532</v>
      </c>
      <c r="AI298" s="5">
        <f>Model_Renter!D298*-1</f>
        <v>6652.563995532455</v>
      </c>
      <c r="AJ298" s="5">
        <f t="shared" si="84"/>
        <v>58.468001163301778</v>
      </c>
    </row>
    <row r="299" spans="1:36" x14ac:dyDescent="0.25">
      <c r="A299" s="17">
        <f t="shared" si="79"/>
        <v>297</v>
      </c>
      <c r="B299" s="17">
        <f t="shared" si="75"/>
        <v>25</v>
      </c>
      <c r="C299" s="23">
        <f>IFERROR(IPMT(Assumptions!$D$16/12,Model_30y!A299, 360,Assumptions!$D$8), 0)</f>
        <v>-660.65301317418437</v>
      </c>
      <c r="D299" s="2">
        <f>IFERROR(PPMT(Assumptions!$D$16/12, Model_30y!A299, 360, Assumptions!$D$8), 0)</f>
        <v>-1537.8046197587535</v>
      </c>
      <c r="E299" s="2">
        <f t="shared" si="69"/>
        <v>-2198.4576329329379</v>
      </c>
      <c r="F299" s="2">
        <f>IF(I298&gt;1, Assumptions!$E$18, 0)*-1</f>
        <v>-2198.4576329329379</v>
      </c>
      <c r="G299" s="24">
        <f t="shared" si="70"/>
        <v>1</v>
      </c>
      <c r="H299" s="20">
        <f t="shared" si="76"/>
        <v>223564.05226722587</v>
      </c>
      <c r="I299" s="2">
        <f>MAX(Assumptions!$D$8-SUM(Model_30y!H299), 0)</f>
        <v>116435.94773277413</v>
      </c>
      <c r="J299" s="2">
        <f>J298*(1+(Assumptions!$E$51))</f>
        <v>1421752.7666300405</v>
      </c>
      <c r="K299" s="22">
        <f t="shared" si="71"/>
        <v>1305316.8188972664</v>
      </c>
      <c r="L299" s="5">
        <f t="shared" si="77"/>
        <v>308564.05226722563</v>
      </c>
      <c r="M299" s="63">
        <f>L299/Assumptions!$D$6</f>
        <v>0.72603306415817792</v>
      </c>
      <c r="N299" s="24">
        <f t="shared" si="85"/>
        <v>0</v>
      </c>
      <c r="O299" s="5">
        <f>N299*Assumptions!$E$25*-1</f>
        <v>0</v>
      </c>
      <c r="P299" s="20">
        <f>Assumptions!$E$35*J299*-1</f>
        <v>-2928.5779154538195</v>
      </c>
      <c r="Q299" s="5">
        <f>J299*Assumptions!$E$36*-1</f>
        <v>-1179.3981090967229</v>
      </c>
      <c r="R299" s="5">
        <f>(R287+(Model_30y!R287*Assumptions!$D$51))</f>
        <v>-1047.8887233783096</v>
      </c>
      <c r="S299" s="5">
        <f>S287+(S287*Assumptions!$D$51)</f>
        <v>0</v>
      </c>
      <c r="T299" s="5">
        <f t="shared" si="80"/>
        <v>0</v>
      </c>
      <c r="U299" s="22">
        <f t="shared" si="72"/>
        <v>-5155.864747928852</v>
      </c>
      <c r="V299" s="5">
        <f>MAX(Assumptions!$E$18:$E$19)-U299</f>
        <v>7997.4977597275483</v>
      </c>
      <c r="W299" s="5">
        <f t="shared" si="73"/>
        <v>-2198.4576329329379</v>
      </c>
      <c r="X299" s="5">
        <f t="shared" si="78"/>
        <v>-5155.864747928852</v>
      </c>
      <c r="Y299" s="5">
        <f>C299*Assumptions!$D$44*-1</f>
        <v>99.097951976127646</v>
      </c>
      <c r="Z299" s="5">
        <f t="shared" si="74"/>
        <v>742.27333084188649</v>
      </c>
      <c r="AA299" s="5">
        <f t="shared" si="81"/>
        <v>842455.73365058331</v>
      </c>
      <c r="AB299" s="3">
        <f>Assumptions!$E$45</f>
        <v>6.9899151946608562E-3</v>
      </c>
      <c r="AC299" s="5">
        <f t="shared" si="82"/>
        <v>849086.70111489855</v>
      </c>
      <c r="AD299" s="5">
        <f>AC299*Assumptions!$E$43</f>
        <v>760.42124643276441</v>
      </c>
      <c r="AE299" s="2">
        <f>AD299*Assumptions!$D$44*-1</f>
        <v>-114.06318696491466</v>
      </c>
      <c r="AF299" s="2">
        <f>AC299*Assumptions!$E$46*-1</f>
        <v>-28.297702499713402</v>
      </c>
      <c r="AG299" s="22">
        <f t="shared" si="83"/>
        <v>848944.34022543393</v>
      </c>
      <c r="AH299" s="5">
        <f>Model_30y[[#This Row],[Mortgage Payment]]+Model_30y[[#This Row],[Total Upkeep]]+Model_30y[[#This Row],[Monthly Investment]]</f>
        <v>-6612.049050019903</v>
      </c>
      <c r="AI299" s="5">
        <f>Model_Renter!D299*-1</f>
        <v>6652.563995532455</v>
      </c>
      <c r="AJ299" s="5">
        <f t="shared" si="84"/>
        <v>40.514945512552003</v>
      </c>
    </row>
    <row r="300" spans="1:36" x14ac:dyDescent="0.25">
      <c r="A300" s="17">
        <f t="shared" si="79"/>
        <v>298</v>
      </c>
      <c r="B300" s="17">
        <f t="shared" si="75"/>
        <v>25</v>
      </c>
      <c r="C300" s="23">
        <f>IFERROR(IPMT(Assumptions!$D$16/12,Model_30y!A300, 360,Assumptions!$D$8), 0)</f>
        <v>-652.04130730353529</v>
      </c>
      <c r="D300" s="2">
        <f>IFERROR(PPMT(Assumptions!$D$16/12, Model_30y!A300, 360, Assumptions!$D$8), 0)</f>
        <v>-1546.4163256294028</v>
      </c>
      <c r="E300" s="2">
        <f t="shared" si="69"/>
        <v>-2198.4576329329379</v>
      </c>
      <c r="F300" s="2">
        <f>IF(I299&gt;1, Assumptions!$E$18, 0)*-1</f>
        <v>-2198.4576329329379</v>
      </c>
      <c r="G300" s="24">
        <f t="shared" si="70"/>
        <v>1</v>
      </c>
      <c r="H300" s="20">
        <f t="shared" si="76"/>
        <v>225110.46859285526</v>
      </c>
      <c r="I300" s="2">
        <f>MAX(Assumptions!$D$8-SUM(Model_30y!H300), 0)</f>
        <v>114889.53140714474</v>
      </c>
      <c r="J300" s="2">
        <f>J299*(1+(Assumptions!$E$51))</f>
        <v>1427545.1633910357</v>
      </c>
      <c r="K300" s="22">
        <f t="shared" si="71"/>
        <v>1312655.6319838911</v>
      </c>
      <c r="L300" s="5">
        <f t="shared" si="77"/>
        <v>310110.46859285503</v>
      </c>
      <c r="M300" s="63">
        <f>L300/Assumptions!$D$6</f>
        <v>0.72967169080671768</v>
      </c>
      <c r="N300" s="24">
        <f t="shared" si="85"/>
        <v>0</v>
      </c>
      <c r="O300" s="5">
        <f>N300*Assumptions!$E$25*-1</f>
        <v>0</v>
      </c>
      <c r="P300" s="20">
        <f>Assumptions!$E$35*J300*-1</f>
        <v>-2940.5093043914371</v>
      </c>
      <c r="Q300" s="5">
        <f>J300*Assumptions!$E$36*-1</f>
        <v>-1184.2031229833838</v>
      </c>
      <c r="R300" s="5">
        <f>(R288+(Model_30y!R288*Assumptions!$D$51))</f>
        <v>-1047.8887233783096</v>
      </c>
      <c r="S300" s="5">
        <f>S288+(S288*Assumptions!$D$51)</f>
        <v>0</v>
      </c>
      <c r="T300" s="5">
        <f t="shared" si="80"/>
        <v>0</v>
      </c>
      <c r="U300" s="22">
        <f t="shared" si="72"/>
        <v>-5172.6011507531312</v>
      </c>
      <c r="V300" s="5">
        <f>MAX(Assumptions!$E$18:$E$19)-U300</f>
        <v>8014.2341625518275</v>
      </c>
      <c r="W300" s="5">
        <f t="shared" si="73"/>
        <v>-2198.4576329329379</v>
      </c>
      <c r="X300" s="5">
        <f t="shared" si="78"/>
        <v>-5172.6011507531312</v>
      </c>
      <c r="Y300" s="5">
        <f>C300*Assumptions!$D$44*-1</f>
        <v>97.806196095530296</v>
      </c>
      <c r="Z300" s="5">
        <f t="shared" si="74"/>
        <v>740.98157496128908</v>
      </c>
      <c r="AA300" s="5">
        <f t="shared" si="81"/>
        <v>848944.34022543393</v>
      </c>
      <c r="AB300" s="3">
        <f>Assumptions!$E$45</f>
        <v>6.9899151946608562E-3</v>
      </c>
      <c r="AC300" s="5">
        <f t="shared" si="82"/>
        <v>855619.37074355839</v>
      </c>
      <c r="AD300" s="5">
        <f>AC300*Assumptions!$E$43</f>
        <v>766.27174529823515</v>
      </c>
      <c r="AE300" s="2">
        <f>AD300*Assumptions!$D$44*-1</f>
        <v>-114.94076179473527</v>
      </c>
      <c r="AF300" s="2">
        <f>AC300*Assumptions!$E$46*-1</f>
        <v>-28.515418242331908</v>
      </c>
      <c r="AG300" s="22">
        <f t="shared" si="83"/>
        <v>855475.91456352128</v>
      </c>
      <c r="AH300" s="5">
        <f>Model_30y[[#This Row],[Mortgage Payment]]+Model_30y[[#This Row],[Total Upkeep]]+Model_30y[[#This Row],[Monthly Investment]]</f>
        <v>-6630.0772087247797</v>
      </c>
      <c r="AI300" s="5">
        <f>Model_Renter!D300*-1</f>
        <v>6652.563995532455</v>
      </c>
      <c r="AJ300" s="5">
        <f t="shared" si="84"/>
        <v>22.486786807675344</v>
      </c>
    </row>
    <row r="301" spans="1:36" x14ac:dyDescent="0.25">
      <c r="A301" s="17">
        <f t="shared" si="79"/>
        <v>299</v>
      </c>
      <c r="B301" s="17">
        <f t="shared" si="75"/>
        <v>25</v>
      </c>
      <c r="C301" s="23">
        <f>IFERROR(IPMT(Assumptions!$D$16/12,Model_30y!A301, 360,Assumptions!$D$8), 0)</f>
        <v>-643.38137588001064</v>
      </c>
      <c r="D301" s="2">
        <f>IFERROR(PPMT(Assumptions!$D$16/12, Model_30y!A301, 360, Assumptions!$D$8), 0)</f>
        <v>-1555.0762570529273</v>
      </c>
      <c r="E301" s="2">
        <f t="shared" si="69"/>
        <v>-2198.4576329329379</v>
      </c>
      <c r="F301" s="2">
        <f>IF(I300&gt;1, Assumptions!$E$18, 0)*-1</f>
        <v>-2198.4576329329379</v>
      </c>
      <c r="G301" s="24">
        <f t="shared" si="70"/>
        <v>1</v>
      </c>
      <c r="H301" s="20">
        <f t="shared" si="76"/>
        <v>226665.54484990818</v>
      </c>
      <c r="I301" s="2">
        <f>MAX(Assumptions!$D$8-SUM(Model_30y!H301), 0)</f>
        <v>113334.45515009182</v>
      </c>
      <c r="J301" s="2">
        <f>J300*(1+(Assumptions!$E$51))</f>
        <v>1433361.1590934393</v>
      </c>
      <c r="K301" s="22">
        <f t="shared" si="71"/>
        <v>1320026.7039433476</v>
      </c>
      <c r="L301" s="5">
        <f t="shared" si="77"/>
        <v>311665.54484990798</v>
      </c>
      <c r="M301" s="63">
        <f>L301/Assumptions!$D$6</f>
        <v>0.73333069376448934</v>
      </c>
      <c r="N301" s="24">
        <f t="shared" si="85"/>
        <v>0</v>
      </c>
      <c r="O301" s="5">
        <f>N301*Assumptions!$E$25*-1</f>
        <v>0</v>
      </c>
      <c r="P301" s="20">
        <f>Assumptions!$E$35*J301*-1</f>
        <v>-2952.4893032844975</v>
      </c>
      <c r="Q301" s="5">
        <f>J301*Assumptions!$E$36*-1</f>
        <v>-1189.027713091401</v>
      </c>
      <c r="R301" s="5">
        <f>(R289+(Model_30y!R289*Assumptions!$D$51))</f>
        <v>-1047.8887233783096</v>
      </c>
      <c r="S301" s="5">
        <f>S289+(S289*Assumptions!$D$51)</f>
        <v>0</v>
      </c>
      <c r="T301" s="5">
        <f t="shared" si="80"/>
        <v>0</v>
      </c>
      <c r="U301" s="22">
        <f t="shared" si="72"/>
        <v>-5189.4057397542083</v>
      </c>
      <c r="V301" s="5">
        <f>MAX(Assumptions!$E$18:$E$19)-U301</f>
        <v>8031.0387515529055</v>
      </c>
      <c r="W301" s="5">
        <f t="shared" si="73"/>
        <v>-2198.4576329329379</v>
      </c>
      <c r="X301" s="5">
        <f t="shared" si="78"/>
        <v>-5189.4057397542083</v>
      </c>
      <c r="Y301" s="5">
        <f>C301*Assumptions!$D$44*-1</f>
        <v>96.507206382001598</v>
      </c>
      <c r="Z301" s="5">
        <f t="shared" si="74"/>
        <v>739.68258524776138</v>
      </c>
      <c r="AA301" s="5">
        <f t="shared" si="81"/>
        <v>855475.91456352128</v>
      </c>
      <c r="AB301" s="3">
        <f>Assumptions!$E$45</f>
        <v>6.9899151946608562E-3</v>
      </c>
      <c r="AC301" s="5">
        <f t="shared" si="82"/>
        <v>862195.30124264304</v>
      </c>
      <c r="AD301" s="5">
        <f>AC301*Assumptions!$E$43</f>
        <v>772.16098753934341</v>
      </c>
      <c r="AE301" s="2">
        <f>AD301*Assumptions!$D$44*-1</f>
        <v>-115.82414813090151</v>
      </c>
      <c r="AF301" s="2">
        <f>AC301*Assumptions!$E$46*-1</f>
        <v>-28.734575749660138</v>
      </c>
      <c r="AG301" s="22">
        <f t="shared" si="83"/>
        <v>862050.74251876248</v>
      </c>
      <c r="AH301" s="5">
        <f>Model_30y[[#This Row],[Mortgage Payment]]+Model_30y[[#This Row],[Total Upkeep]]+Model_30y[[#This Row],[Monthly Investment]]</f>
        <v>-6648.1807874393853</v>
      </c>
      <c r="AI301" s="5">
        <f>Model_Renter!D301*-1</f>
        <v>6652.563995532455</v>
      </c>
      <c r="AJ301" s="5">
        <f t="shared" si="84"/>
        <v>4.3832080930696975</v>
      </c>
    </row>
    <row r="302" spans="1:36" x14ac:dyDescent="0.25">
      <c r="A302" s="17">
        <f t="shared" si="79"/>
        <v>300</v>
      </c>
      <c r="B302" s="17">
        <f t="shared" si="75"/>
        <v>25</v>
      </c>
      <c r="C302" s="23">
        <f>IFERROR(IPMT(Assumptions!$D$16/12,Model_30y!A302, 360,Assumptions!$D$8), 0)</f>
        <v>-634.67294884051432</v>
      </c>
      <c r="D302" s="2">
        <f>IFERROR(PPMT(Assumptions!$D$16/12, Model_30y!A302, 360, Assumptions!$D$8), 0)</f>
        <v>-1563.7846840924235</v>
      </c>
      <c r="E302" s="2">
        <f t="shared" si="69"/>
        <v>-2198.4576329329379</v>
      </c>
      <c r="F302" s="2">
        <f>IF(I301&gt;1, Assumptions!$E$18, 0)*-1</f>
        <v>-2198.4576329329379</v>
      </c>
      <c r="G302" s="24">
        <f t="shared" si="70"/>
        <v>1</v>
      </c>
      <c r="H302" s="20">
        <f t="shared" si="76"/>
        <v>228229.3295340006</v>
      </c>
      <c r="I302" s="2">
        <f>MAX(Assumptions!$D$8-SUM(Model_30y!H302), 0)</f>
        <v>111770.6704659994</v>
      </c>
      <c r="J302" s="2">
        <f>J301*(1+(Assumptions!$E$51))</f>
        <v>1439200.8498822597</v>
      </c>
      <c r="K302" s="22">
        <f t="shared" si="71"/>
        <v>1327430.1794162602</v>
      </c>
      <c r="L302" s="5">
        <f t="shared" si="77"/>
        <v>313229.32953400043</v>
      </c>
      <c r="M302" s="63">
        <f>L302/Assumptions!$D$6</f>
        <v>0.73701018713882449</v>
      </c>
      <c r="N302" s="24">
        <f t="shared" si="85"/>
        <v>0</v>
      </c>
      <c r="O302" s="5">
        <f>N302*Assumptions!$E$25*-1</f>
        <v>0</v>
      </c>
      <c r="P302" s="20">
        <f>Assumptions!$E$35*J302*-1</f>
        <v>-2964.5181101759763</v>
      </c>
      <c r="Q302" s="5">
        <f>J302*Assumptions!$E$36*-1</f>
        <v>-1193.8719591767237</v>
      </c>
      <c r="R302" s="5">
        <f>(R290+(Model_30y!R290*Assumptions!$D$51))</f>
        <v>-1047.8887233783096</v>
      </c>
      <c r="S302" s="5">
        <f>S290+(S290*Assumptions!$D$51)</f>
        <v>0</v>
      </c>
      <c r="T302" s="5">
        <f t="shared" si="80"/>
        <v>0</v>
      </c>
      <c r="U302" s="22">
        <f t="shared" si="72"/>
        <v>-5206.2787927310101</v>
      </c>
      <c r="V302" s="5">
        <f>MAX(Assumptions!$E$18:$E$19)-U302</f>
        <v>8047.9118045297073</v>
      </c>
      <c r="W302" s="5">
        <f t="shared" si="73"/>
        <v>-2198.4576329329379</v>
      </c>
      <c r="X302" s="5">
        <f t="shared" si="78"/>
        <v>-5206.2787927310101</v>
      </c>
      <c r="Y302" s="5">
        <f>C302*Assumptions!$D$44*-1</f>
        <v>95.20094232607714</v>
      </c>
      <c r="Z302" s="5">
        <f t="shared" si="74"/>
        <v>738.37632119183684</v>
      </c>
      <c r="AA302" s="5">
        <f t="shared" si="81"/>
        <v>862050.74251876248</v>
      </c>
      <c r="AB302" s="3">
        <f>Assumptions!$E$45</f>
        <v>6.9899151946608562E-3</v>
      </c>
      <c r="AC302" s="5">
        <f t="shared" si="82"/>
        <v>868814.78042365483</v>
      </c>
      <c r="AD302" s="5">
        <f>AC302*Assumptions!$E$43</f>
        <v>778.08923091301926</v>
      </c>
      <c r="AE302" s="2">
        <f>AD302*Assumptions!$D$44*-1</f>
        <v>-116.71338463695288</v>
      </c>
      <c r="AF302" s="2">
        <f>AC302*Assumptions!$E$46*-1</f>
        <v>-28.955184613656431</v>
      </c>
      <c r="AG302" s="22">
        <f t="shared" si="83"/>
        <v>868669.11185440421</v>
      </c>
      <c r="AH302" s="5">
        <f>Model_30y[[#This Row],[Mortgage Payment]]+Model_30y[[#This Row],[Total Upkeep]]+Model_30y[[#This Row],[Monthly Investment]]</f>
        <v>-6666.3601044721117</v>
      </c>
      <c r="AI302" s="5">
        <f>Model_Renter!D302*-1</f>
        <v>6652.563995532455</v>
      </c>
      <c r="AJ302" s="5">
        <f t="shared" si="84"/>
        <v>-13.796108939656733</v>
      </c>
    </row>
    <row r="303" spans="1:36" x14ac:dyDescent="0.25">
      <c r="A303" s="17">
        <f t="shared" si="79"/>
        <v>301</v>
      </c>
      <c r="B303" s="17">
        <f t="shared" si="75"/>
        <v>26</v>
      </c>
      <c r="C303" s="23">
        <f>IFERROR(IPMT(Assumptions!$D$16/12,Model_30y!A303, 360,Assumptions!$D$8), 0)</f>
        <v>-625.91575460959666</v>
      </c>
      <c r="D303" s="2">
        <f>IFERROR(PPMT(Assumptions!$D$16/12, Model_30y!A303, 360, Assumptions!$D$8), 0)</f>
        <v>-1572.5418783233413</v>
      </c>
      <c r="E303" s="2">
        <f t="shared" si="69"/>
        <v>-2198.4576329329379</v>
      </c>
      <c r="F303" s="2">
        <f>IF(I302&gt;1, Assumptions!$E$18, 0)*-1</f>
        <v>-2198.4576329329379</v>
      </c>
      <c r="G303" s="24">
        <f t="shared" si="70"/>
        <v>1</v>
      </c>
      <c r="H303" s="20">
        <f t="shared" si="76"/>
        <v>229801.87141232393</v>
      </c>
      <c r="I303" s="2">
        <f>MAX(Assumptions!$D$8-SUM(Model_30y!H303), 0)</f>
        <v>110198.12858767607</v>
      </c>
      <c r="J303" s="2">
        <f>J302*(1+(Assumptions!$E$51))</f>
        <v>1445064.332294212</v>
      </c>
      <c r="K303" s="22">
        <f t="shared" si="71"/>
        <v>1334866.203706536</v>
      </c>
      <c r="L303" s="5">
        <f t="shared" si="77"/>
        <v>314801.87141232379</v>
      </c>
      <c r="M303" s="63">
        <f>L303/Assumptions!$D$6</f>
        <v>0.74071028567605601</v>
      </c>
      <c r="N303" s="24">
        <f t="shared" si="85"/>
        <v>0</v>
      </c>
      <c r="O303" s="5">
        <f>N303*Assumptions!$E$25*-1</f>
        <v>0</v>
      </c>
      <c r="P303" s="20">
        <f>Assumptions!$E$35*J303*-1</f>
        <v>-2976.5959239157005</v>
      </c>
      <c r="Q303" s="5">
        <f>J303*Assumptions!$E$36*-1</f>
        <v>-1198.7359413202366</v>
      </c>
      <c r="R303" s="5">
        <f>(R291+(Model_30y!R291*Assumptions!$D$51))</f>
        <v>-1100.2831595472251</v>
      </c>
      <c r="S303" s="5">
        <f>S291+(S291*Assumptions!$D$51)</f>
        <v>0</v>
      </c>
      <c r="T303" s="5">
        <f t="shared" si="80"/>
        <v>0</v>
      </c>
      <c r="U303" s="22">
        <f t="shared" si="72"/>
        <v>-5275.6150247831629</v>
      </c>
      <c r="V303" s="5">
        <f>MAX(Assumptions!$E$18:$E$19)-U303</f>
        <v>8117.2480365818592</v>
      </c>
      <c r="W303" s="5">
        <f t="shared" si="73"/>
        <v>-2198.4576329329379</v>
      </c>
      <c r="X303" s="5">
        <f t="shared" si="78"/>
        <v>-5275.6150247831629</v>
      </c>
      <c r="Y303" s="5">
        <f>C303*Assumptions!$D$44*-1</f>
        <v>93.887363191439491</v>
      </c>
      <c r="Z303" s="5">
        <f t="shared" si="74"/>
        <v>737.06274205719831</v>
      </c>
      <c r="AA303" s="5">
        <f t="shared" si="81"/>
        <v>868669.11185440421</v>
      </c>
      <c r="AB303" s="3">
        <f>Assumptions!$E$45</f>
        <v>6.9899151946608562E-3</v>
      </c>
      <c r="AC303" s="5">
        <f t="shared" si="82"/>
        <v>875478.09802054509</v>
      </c>
      <c r="AD303" s="5">
        <f>AC303*Assumptions!$E$43</f>
        <v>784.05673489789092</v>
      </c>
      <c r="AE303" s="2">
        <f>AD303*Assumptions!$D$44*-1</f>
        <v>-117.60851023468364</v>
      </c>
      <c r="AF303" s="2">
        <f>AC303*Assumptions!$E$46*-1</f>
        <v>-29.177254490349025</v>
      </c>
      <c r="AG303" s="22">
        <f t="shared" si="83"/>
        <v>875331.31225582003</v>
      </c>
      <c r="AH303" s="5">
        <f>Model_30y[[#This Row],[Mortgage Payment]]+Model_30y[[#This Row],[Total Upkeep]]+Model_30y[[#This Row],[Monthly Investment]]</f>
        <v>-6737.0099156589022</v>
      </c>
      <c r="AI303" s="5">
        <f>Model_Renter!D303*-1</f>
        <v>6901.3698889653697</v>
      </c>
      <c r="AJ303" s="5">
        <f t="shared" si="84"/>
        <v>164.35997330646751</v>
      </c>
    </row>
    <row r="304" spans="1:36" x14ac:dyDescent="0.25">
      <c r="A304" s="17">
        <f t="shared" si="79"/>
        <v>302</v>
      </c>
      <c r="B304" s="17">
        <f t="shared" si="75"/>
        <v>26</v>
      </c>
      <c r="C304" s="23">
        <f>IFERROR(IPMT(Assumptions!$D$16/12,Model_30y!A304, 360,Assumptions!$D$8), 0)</f>
        <v>-617.10952009098594</v>
      </c>
      <c r="D304" s="2">
        <f>IFERROR(PPMT(Assumptions!$D$16/12, Model_30y!A304, 360, Assumptions!$D$8), 0)</f>
        <v>-1581.3481128419519</v>
      </c>
      <c r="E304" s="2">
        <f t="shared" si="69"/>
        <v>-2198.4576329329379</v>
      </c>
      <c r="F304" s="2">
        <f>IF(I303&gt;1, Assumptions!$E$18, 0)*-1</f>
        <v>-2198.4576329329379</v>
      </c>
      <c r="G304" s="24">
        <f t="shared" si="70"/>
        <v>1</v>
      </c>
      <c r="H304" s="20">
        <f t="shared" si="76"/>
        <v>231383.21952516588</v>
      </c>
      <c r="I304" s="2">
        <f>MAX(Assumptions!$D$8-SUM(Model_30y!H304), 0)</f>
        <v>108616.78047483412</v>
      </c>
      <c r="J304" s="2">
        <f>J303*(1+(Assumptions!$E$51))</f>
        <v>1450951.7032593137</v>
      </c>
      <c r="K304" s="22">
        <f t="shared" si="71"/>
        <v>1342334.9227844796</v>
      </c>
      <c r="L304" s="5">
        <f t="shared" si="77"/>
        <v>316383.21952516574</v>
      </c>
      <c r="M304" s="63">
        <f>L304/Assumptions!$D$6</f>
        <v>0.74443110476509589</v>
      </c>
      <c r="N304" s="24">
        <f t="shared" si="85"/>
        <v>0</v>
      </c>
      <c r="O304" s="5">
        <f>N304*Assumptions!$E$25*-1</f>
        <v>0</v>
      </c>
      <c r="P304" s="20">
        <f>Assumptions!$E$35*J304*-1</f>
        <v>-2988.7229441636359</v>
      </c>
      <c r="Q304" s="5">
        <f>J304*Assumptions!$E$36*-1</f>
        <v>-1203.6197399290834</v>
      </c>
      <c r="R304" s="5">
        <f>(R292+(Model_30y!R292*Assumptions!$D$51))</f>
        <v>-1100.2831595472251</v>
      </c>
      <c r="S304" s="5">
        <f>S292+(S292*Assumptions!$D$51)</f>
        <v>0</v>
      </c>
      <c r="T304" s="5">
        <f t="shared" si="80"/>
        <v>0</v>
      </c>
      <c r="U304" s="22">
        <f t="shared" si="72"/>
        <v>-5292.6258436399448</v>
      </c>
      <c r="V304" s="5">
        <f>MAX(Assumptions!$E$18:$E$19)-U304</f>
        <v>8134.2588554386421</v>
      </c>
      <c r="W304" s="5">
        <f t="shared" si="73"/>
        <v>-2198.4576329329379</v>
      </c>
      <c r="X304" s="5">
        <f t="shared" si="78"/>
        <v>-5292.6258436399448</v>
      </c>
      <c r="Y304" s="5">
        <f>C304*Assumptions!$D$44*-1</f>
        <v>92.566428013647894</v>
      </c>
      <c r="Z304" s="5">
        <f t="shared" si="74"/>
        <v>735.74180687940759</v>
      </c>
      <c r="AA304" s="5">
        <f t="shared" si="81"/>
        <v>875331.31225582003</v>
      </c>
      <c r="AB304" s="3">
        <f>Assumptions!$E$45</f>
        <v>6.9899151946608562E-3</v>
      </c>
      <c r="AC304" s="5">
        <f t="shared" si="82"/>
        <v>882185.54570259887</v>
      </c>
      <c r="AD304" s="5">
        <f>AC304*Assumptions!$E$43</f>
        <v>790.06376070582394</v>
      </c>
      <c r="AE304" s="2">
        <f>AD304*Assumptions!$D$44*-1</f>
        <v>-118.50956410587358</v>
      </c>
      <c r="AF304" s="2">
        <f>AC304*Assumptions!$E$46*-1</f>
        <v>-29.400795100265448</v>
      </c>
      <c r="AG304" s="22">
        <f t="shared" si="83"/>
        <v>882037.63534339273</v>
      </c>
      <c r="AH304" s="5">
        <f>Model_30y[[#This Row],[Mortgage Payment]]+Model_30y[[#This Row],[Total Upkeep]]+Model_30y[[#This Row],[Monthly Investment]]</f>
        <v>-6755.3416696934755</v>
      </c>
      <c r="AI304" s="5">
        <f>Model_Renter!D304*-1</f>
        <v>6901.3698889653697</v>
      </c>
      <c r="AJ304" s="5">
        <f t="shared" si="84"/>
        <v>146.02821927189416</v>
      </c>
    </row>
    <row r="305" spans="1:36" x14ac:dyDescent="0.25">
      <c r="A305" s="17">
        <f t="shared" si="79"/>
        <v>303</v>
      </c>
      <c r="B305" s="17">
        <f t="shared" si="75"/>
        <v>26</v>
      </c>
      <c r="C305" s="23">
        <f>IFERROR(IPMT(Assumptions!$D$16/12,Model_30y!A305, 360,Assumptions!$D$8), 0)</f>
        <v>-608.253970659071</v>
      </c>
      <c r="D305" s="2">
        <f>IFERROR(PPMT(Assumptions!$D$16/12, Model_30y!A305, 360, Assumptions!$D$8), 0)</f>
        <v>-1590.2036622738667</v>
      </c>
      <c r="E305" s="2">
        <f t="shared" si="69"/>
        <v>-2198.4576329329375</v>
      </c>
      <c r="F305" s="2">
        <f>IF(I304&gt;1, Assumptions!$E$18, 0)*-1</f>
        <v>-2198.4576329329379</v>
      </c>
      <c r="G305" s="24">
        <f t="shared" si="70"/>
        <v>1</v>
      </c>
      <c r="H305" s="20">
        <f t="shared" si="76"/>
        <v>232973.42318743974</v>
      </c>
      <c r="I305" s="2">
        <f>MAX(Assumptions!$D$8-SUM(Model_30y!H305), 0)</f>
        <v>107026.57681256026</v>
      </c>
      <c r="J305" s="2">
        <f>J304*(1+(Assumptions!$E$51))</f>
        <v>1456863.0601024877</v>
      </c>
      <c r="K305" s="22">
        <f t="shared" si="71"/>
        <v>1349836.4832899275</v>
      </c>
      <c r="L305" s="5">
        <f t="shared" si="77"/>
        <v>317973.42318743962</v>
      </c>
      <c r="M305" s="63">
        <f>L305/Assumptions!$D$6</f>
        <v>0.74817276044103442</v>
      </c>
      <c r="N305" s="24">
        <f t="shared" si="85"/>
        <v>0</v>
      </c>
      <c r="O305" s="5">
        <f>N305*Assumptions!$E$25*-1</f>
        <v>0</v>
      </c>
      <c r="P305" s="20">
        <f>Assumptions!$E$35*J305*-1</f>
        <v>-3000.8993713931891</v>
      </c>
      <c r="Q305" s="5">
        <f>J305*Assumptions!$E$36*-1</f>
        <v>-1208.5234357379973</v>
      </c>
      <c r="R305" s="5">
        <f>(R293+(Model_30y!R293*Assumptions!$D$51))</f>
        <v>-1100.2831595472251</v>
      </c>
      <c r="S305" s="5">
        <f>S293+(S293*Assumptions!$D$51)</f>
        <v>0</v>
      </c>
      <c r="T305" s="5">
        <f t="shared" si="80"/>
        <v>0</v>
      </c>
      <c r="U305" s="22">
        <f t="shared" si="72"/>
        <v>-5309.7059666784116</v>
      </c>
      <c r="V305" s="5">
        <f>MAX(Assumptions!$E$18:$E$19)-U305</f>
        <v>8151.338978477108</v>
      </c>
      <c r="W305" s="5">
        <f t="shared" si="73"/>
        <v>-2198.4576329329379</v>
      </c>
      <c r="X305" s="5">
        <f t="shared" si="78"/>
        <v>-5309.7059666784116</v>
      </c>
      <c r="Y305" s="5">
        <f>C305*Assumptions!$D$44*-1</f>
        <v>91.238095598860653</v>
      </c>
      <c r="Z305" s="5">
        <f t="shared" si="74"/>
        <v>734.41347446461953</v>
      </c>
      <c r="AA305" s="5">
        <f t="shared" si="81"/>
        <v>882037.63534339273</v>
      </c>
      <c r="AB305" s="3">
        <f>Assumptions!$E$45</f>
        <v>6.9899151946608562E-3</v>
      </c>
      <c r="AC305" s="5">
        <f t="shared" si="82"/>
        <v>888937.41708740697</v>
      </c>
      <c r="AD305" s="5">
        <f>AC305*Assumptions!$E$43</f>
        <v>796.1105712935389</v>
      </c>
      <c r="AE305" s="2">
        <f>AD305*Assumptions!$D$44*-1</f>
        <v>-119.41658569403083</v>
      </c>
      <c r="AF305" s="2">
        <f>AC305*Assumptions!$E$46*-1</f>
        <v>-29.625816228864863</v>
      </c>
      <c r="AG305" s="22">
        <f t="shared" si="83"/>
        <v>888788.3746854841</v>
      </c>
      <c r="AH305" s="5">
        <f>Model_30y[[#This Row],[Mortgage Payment]]+Model_30y[[#This Row],[Total Upkeep]]+Model_30y[[#This Row],[Monthly Investment]]</f>
        <v>-6773.7501251467293</v>
      </c>
      <c r="AI305" s="5">
        <f>Model_Renter!D305*-1</f>
        <v>6901.3698889653697</v>
      </c>
      <c r="AJ305" s="5">
        <f t="shared" si="84"/>
        <v>127.61976381864042</v>
      </c>
    </row>
    <row r="306" spans="1:36" x14ac:dyDescent="0.25">
      <c r="A306" s="17">
        <f t="shared" si="79"/>
        <v>304</v>
      </c>
      <c r="B306" s="17">
        <f t="shared" si="75"/>
        <v>26</v>
      </c>
      <c r="C306" s="23">
        <f>IFERROR(IPMT(Assumptions!$D$16/12,Model_30y!A306, 360,Assumptions!$D$8), 0)</f>
        <v>-599.34883015033733</v>
      </c>
      <c r="D306" s="2">
        <f>IFERROR(PPMT(Assumptions!$D$16/12, Model_30y!A306, 360, Assumptions!$D$8), 0)</f>
        <v>-1599.1088027826004</v>
      </c>
      <c r="E306" s="2">
        <f t="shared" si="69"/>
        <v>-2198.4576329329375</v>
      </c>
      <c r="F306" s="2">
        <f>IF(I305&gt;1, Assumptions!$E$18, 0)*-1</f>
        <v>-2198.4576329329379</v>
      </c>
      <c r="G306" s="24">
        <f t="shared" si="70"/>
        <v>1</v>
      </c>
      <c r="H306" s="20">
        <f t="shared" si="76"/>
        <v>234572.53199022234</v>
      </c>
      <c r="I306" s="2">
        <f>MAX(Assumptions!$D$8-SUM(Model_30y!H306), 0)</f>
        <v>105427.46800977766</v>
      </c>
      <c r="J306" s="2">
        <f>J305*(1+(Assumptions!$E$51))</f>
        <v>1462798.5005451699</v>
      </c>
      <c r="K306" s="22">
        <f t="shared" si="71"/>
        <v>1357371.0325353923</v>
      </c>
      <c r="L306" s="5">
        <f t="shared" si="77"/>
        <v>319572.53199022223</v>
      </c>
      <c r="M306" s="63">
        <f>L306/Assumptions!$D$6</f>
        <v>0.75193536938875816</v>
      </c>
      <c r="N306" s="24">
        <f t="shared" si="85"/>
        <v>0</v>
      </c>
      <c r="O306" s="5">
        <f>N306*Assumptions!$E$25*-1</f>
        <v>0</v>
      </c>
      <c r="P306" s="20">
        <f>Assumptions!$E$35*J306*-1</f>
        <v>-3013.1254068945173</v>
      </c>
      <c r="Q306" s="5">
        <f>J306*Assumptions!$E$36*-1</f>
        <v>-1213.4471098106337</v>
      </c>
      <c r="R306" s="5">
        <f>(R294+(Model_30y!R294*Assumptions!$D$51))</f>
        <v>-1100.2831595472251</v>
      </c>
      <c r="S306" s="5">
        <f>S294+(S294*Assumptions!$D$51)</f>
        <v>0</v>
      </c>
      <c r="T306" s="5">
        <f t="shared" si="80"/>
        <v>0</v>
      </c>
      <c r="U306" s="22">
        <f t="shared" si="72"/>
        <v>-5326.8556762523767</v>
      </c>
      <c r="V306" s="5">
        <f>MAX(Assumptions!$E$18:$E$19)-U306</f>
        <v>8168.488688051073</v>
      </c>
      <c r="W306" s="5">
        <f t="shared" si="73"/>
        <v>-2198.4576329329379</v>
      </c>
      <c r="X306" s="5">
        <f t="shared" si="78"/>
        <v>-5326.8556762523767</v>
      </c>
      <c r="Y306" s="5">
        <f>C306*Assumptions!$D$44*-1</f>
        <v>89.9023245225506</v>
      </c>
      <c r="Z306" s="5">
        <f t="shared" si="74"/>
        <v>733.07770338830937</v>
      </c>
      <c r="AA306" s="5">
        <f t="shared" si="81"/>
        <v>888788.3746854841</v>
      </c>
      <c r="AB306" s="3">
        <f>Assumptions!$E$45</f>
        <v>6.9899151946608562E-3</v>
      </c>
      <c r="AC306" s="5">
        <f t="shared" si="82"/>
        <v>895734.00775392435</v>
      </c>
      <c r="AD306" s="5">
        <f>AC306*Assumptions!$E$43</f>
        <v>802.19743137430589</v>
      </c>
      <c r="AE306" s="2">
        <f>AD306*Assumptions!$D$44*-1</f>
        <v>-120.32961470614588</v>
      </c>
      <c r="AF306" s="2">
        <f>AC306*Assumptions!$E$46*-1</f>
        <v>-29.852327726973243</v>
      </c>
      <c r="AG306" s="22">
        <f t="shared" si="83"/>
        <v>895583.82581149123</v>
      </c>
      <c r="AH306" s="5">
        <f>Model_30y[[#This Row],[Mortgage Payment]]+Model_30y[[#This Row],[Total Upkeep]]+Model_30y[[#This Row],[Monthly Investment]]</f>
        <v>-6792.2356057970046</v>
      </c>
      <c r="AI306" s="5">
        <f>Model_Renter!D306*-1</f>
        <v>6901.3698889653697</v>
      </c>
      <c r="AJ306" s="5">
        <f t="shared" si="84"/>
        <v>109.13428316836507</v>
      </c>
    </row>
    <row r="307" spans="1:36" x14ac:dyDescent="0.25">
      <c r="A307" s="17">
        <f t="shared" si="79"/>
        <v>305</v>
      </c>
      <c r="B307" s="17">
        <f t="shared" si="75"/>
        <v>26</v>
      </c>
      <c r="C307" s="23">
        <f>IFERROR(IPMT(Assumptions!$D$16/12,Model_30y!A307, 360,Assumptions!$D$8), 0)</f>
        <v>-590.39382085475472</v>
      </c>
      <c r="D307" s="2">
        <f>IFERROR(PPMT(Assumptions!$D$16/12, Model_30y!A307, 360, Assumptions!$D$8), 0)</f>
        <v>-1608.063812078183</v>
      </c>
      <c r="E307" s="2">
        <f t="shared" si="69"/>
        <v>-2198.4576329329375</v>
      </c>
      <c r="F307" s="2">
        <f>IF(I306&gt;1, Assumptions!$E$18, 0)*-1</f>
        <v>-2198.4576329329379</v>
      </c>
      <c r="G307" s="24">
        <f t="shared" si="70"/>
        <v>1</v>
      </c>
      <c r="H307" s="20">
        <f t="shared" si="76"/>
        <v>236180.59580230052</v>
      </c>
      <c r="I307" s="2">
        <f>MAX(Assumptions!$D$8-SUM(Model_30y!H307), 0)</f>
        <v>103819.40419769948</v>
      </c>
      <c r="J307" s="2">
        <f>J306*(1+(Assumptions!$E$51))</f>
        <v>1468758.1227069262</v>
      </c>
      <c r="K307" s="22">
        <f t="shared" si="71"/>
        <v>1364938.7185092268</v>
      </c>
      <c r="L307" s="5">
        <f t="shared" si="77"/>
        <v>321180.59580230044</v>
      </c>
      <c r="M307" s="63">
        <f>L307/Assumptions!$D$6</f>
        <v>0.75571904894658926</v>
      </c>
      <c r="N307" s="24">
        <f t="shared" si="85"/>
        <v>0</v>
      </c>
      <c r="O307" s="5">
        <f>N307*Assumptions!$E$25*-1</f>
        <v>0</v>
      </c>
      <c r="P307" s="20">
        <f>Assumptions!$E$35*J307*-1</f>
        <v>-3025.4012527778614</v>
      </c>
      <c r="Q307" s="5">
        <f>J307*Assumptions!$E$36*-1</f>
        <v>-1218.3908435409128</v>
      </c>
      <c r="R307" s="5">
        <f>(R295+(Model_30y!R295*Assumptions!$D$51))</f>
        <v>-1100.2831595472251</v>
      </c>
      <c r="S307" s="5">
        <f>S295+(S295*Assumptions!$D$51)</f>
        <v>0</v>
      </c>
      <c r="T307" s="5">
        <f t="shared" si="80"/>
        <v>0</v>
      </c>
      <c r="U307" s="22">
        <f t="shared" si="72"/>
        <v>-5344.0752558659997</v>
      </c>
      <c r="V307" s="5">
        <f>MAX(Assumptions!$E$18:$E$19)-U307</f>
        <v>8185.7082676646969</v>
      </c>
      <c r="W307" s="5">
        <f t="shared" si="73"/>
        <v>-2198.4576329329379</v>
      </c>
      <c r="X307" s="5">
        <f t="shared" si="78"/>
        <v>-5344.0752558659997</v>
      </c>
      <c r="Y307" s="5">
        <f>C307*Assumptions!$D$44*-1</f>
        <v>88.5590731282132</v>
      </c>
      <c r="Z307" s="5">
        <f t="shared" si="74"/>
        <v>731.73445199397293</v>
      </c>
      <c r="AA307" s="5">
        <f t="shared" si="81"/>
        <v>895583.82581149123</v>
      </c>
      <c r="AB307" s="3">
        <f>Assumptions!$E$45</f>
        <v>6.9899151946608562E-3</v>
      </c>
      <c r="AC307" s="5">
        <f t="shared" si="82"/>
        <v>902575.61525561742</v>
      </c>
      <c r="AD307" s="5">
        <f>AC307*Assumptions!$E$43</f>
        <v>808.32460742971932</v>
      </c>
      <c r="AE307" s="2">
        <f>AD307*Assumptions!$D$44*-1</f>
        <v>-121.2486911144579</v>
      </c>
      <c r="AF307" s="2">
        <f>AC307*Assumptions!$E$46*-1</f>
        <v>-30.080339511221549</v>
      </c>
      <c r="AG307" s="22">
        <f t="shared" si="83"/>
        <v>902424.28622499178</v>
      </c>
      <c r="AH307" s="5">
        <f>Model_30y[[#This Row],[Mortgage Payment]]+Model_30y[[#This Row],[Total Upkeep]]+Model_30y[[#This Row],[Monthly Investment]]</f>
        <v>-6810.7984368049656</v>
      </c>
      <c r="AI307" s="5">
        <f>Model_Renter!D307*-1</f>
        <v>6901.3698889653697</v>
      </c>
      <c r="AJ307" s="5">
        <f t="shared" si="84"/>
        <v>90.571452160404078</v>
      </c>
    </row>
    <row r="308" spans="1:36" x14ac:dyDescent="0.25">
      <c r="A308" s="17">
        <f t="shared" si="79"/>
        <v>306</v>
      </c>
      <c r="B308" s="17">
        <f t="shared" si="75"/>
        <v>26</v>
      </c>
      <c r="C308" s="23">
        <f>IFERROR(IPMT(Assumptions!$D$16/12,Model_30y!A308, 360,Assumptions!$D$8), 0)</f>
        <v>-581.38866350711703</v>
      </c>
      <c r="D308" s="2">
        <f>IFERROR(PPMT(Assumptions!$D$16/12, Model_30y!A308, 360, Assumptions!$D$8), 0)</f>
        <v>-1617.0689694258206</v>
      </c>
      <c r="E308" s="2">
        <f t="shared" si="69"/>
        <v>-2198.4576329329375</v>
      </c>
      <c r="F308" s="2">
        <f>IF(I307&gt;1, Assumptions!$E$18, 0)*-1</f>
        <v>-2198.4576329329379</v>
      </c>
      <c r="G308" s="24">
        <f t="shared" si="70"/>
        <v>1</v>
      </c>
      <c r="H308" s="20">
        <f t="shared" si="76"/>
        <v>237797.66477172635</v>
      </c>
      <c r="I308" s="2">
        <f>MAX(Assumptions!$D$8-SUM(Model_30y!H308), 0)</f>
        <v>102202.33522827365</v>
      </c>
      <c r="J308" s="2">
        <f>J307*(1+(Assumptions!$E$51))</f>
        <v>1474742.0251070731</v>
      </c>
      <c r="K308" s="22">
        <f t="shared" si="71"/>
        <v>1372539.6898787995</v>
      </c>
      <c r="L308" s="5">
        <f t="shared" si="77"/>
        <v>322797.66477172624</v>
      </c>
      <c r="M308" s="63">
        <f>L308/Assumptions!$D$6</f>
        <v>0.75952391710994405</v>
      </c>
      <c r="N308" s="24">
        <f t="shared" si="85"/>
        <v>0</v>
      </c>
      <c r="O308" s="5">
        <f>N308*Assumptions!$E$25*-1</f>
        <v>0</v>
      </c>
      <c r="P308" s="20">
        <f>Assumptions!$E$35*J308*-1</f>
        <v>-3037.727111976883</v>
      </c>
      <c r="Q308" s="5">
        <f>J308*Assumptions!$E$36*-1</f>
        <v>-1223.3547186543619</v>
      </c>
      <c r="R308" s="5">
        <f>(R296+(Model_30y!R296*Assumptions!$D$51))</f>
        <v>-1100.2831595472251</v>
      </c>
      <c r="S308" s="5">
        <f>S296+(S296*Assumptions!$D$51)</f>
        <v>0</v>
      </c>
      <c r="T308" s="5">
        <f t="shared" si="80"/>
        <v>0</v>
      </c>
      <c r="U308" s="22">
        <f t="shared" si="72"/>
        <v>-5361.3649901784702</v>
      </c>
      <c r="V308" s="5">
        <f>MAX(Assumptions!$E$18:$E$19)-U308</f>
        <v>8202.9980019771665</v>
      </c>
      <c r="W308" s="5">
        <f t="shared" si="73"/>
        <v>-2198.4576329329379</v>
      </c>
      <c r="X308" s="5">
        <f t="shared" si="78"/>
        <v>-5361.3649901784702</v>
      </c>
      <c r="Y308" s="5">
        <f>C308*Assumptions!$D$44*-1</f>
        <v>87.208299526067549</v>
      </c>
      <c r="Z308" s="5">
        <f t="shared" si="74"/>
        <v>730.38367839182638</v>
      </c>
      <c r="AA308" s="5">
        <f t="shared" si="81"/>
        <v>902424.28622499178</v>
      </c>
      <c r="AB308" s="3">
        <f>Assumptions!$E$45</f>
        <v>6.9899151946608562E-3</v>
      </c>
      <c r="AC308" s="5">
        <f t="shared" si="82"/>
        <v>909462.53913369868</v>
      </c>
      <c r="AD308" s="5">
        <f>AC308*Assumptions!$E$43</f>
        <v>814.49236772155018</v>
      </c>
      <c r="AE308" s="2">
        <f>AD308*Assumptions!$D$44*-1</f>
        <v>-122.17385515823253</v>
      </c>
      <c r="AF308" s="2">
        <f>AC308*Assumptions!$E$46*-1</f>
        <v>-30.309861564486809</v>
      </c>
      <c r="AG308" s="22">
        <f t="shared" si="83"/>
        <v>909310.05541697599</v>
      </c>
      <c r="AH308" s="5">
        <f>Model_30y[[#This Row],[Mortgage Payment]]+Model_30y[[#This Row],[Total Upkeep]]+Model_30y[[#This Row],[Monthly Investment]]</f>
        <v>-6829.4389447195808</v>
      </c>
      <c r="AI308" s="5">
        <f>Model_Renter!D308*-1</f>
        <v>6901.3698889653697</v>
      </c>
      <c r="AJ308" s="5">
        <f t="shared" si="84"/>
        <v>71.930944245788851</v>
      </c>
    </row>
    <row r="309" spans="1:36" x14ac:dyDescent="0.25">
      <c r="A309" s="17">
        <f t="shared" si="79"/>
        <v>307</v>
      </c>
      <c r="B309" s="17">
        <f t="shared" si="75"/>
        <v>26</v>
      </c>
      <c r="C309" s="23">
        <f>IFERROR(IPMT(Assumptions!$D$16/12,Model_30y!A309, 360,Assumptions!$D$8), 0)</f>
        <v>-572.33307727833244</v>
      </c>
      <c r="D309" s="2">
        <f>IFERROR(PPMT(Assumptions!$D$16/12, Model_30y!A309, 360, Assumptions!$D$8), 0)</f>
        <v>-1626.1245556546055</v>
      </c>
      <c r="E309" s="2">
        <f t="shared" si="69"/>
        <v>-2198.4576329329379</v>
      </c>
      <c r="F309" s="2">
        <f>IF(I308&gt;1, Assumptions!$E$18, 0)*-1</f>
        <v>-2198.4576329329379</v>
      </c>
      <c r="G309" s="24">
        <f t="shared" si="70"/>
        <v>1</v>
      </c>
      <c r="H309" s="20">
        <f t="shared" si="76"/>
        <v>239423.78932738095</v>
      </c>
      <c r="I309" s="2">
        <f>MAX(Assumptions!$D$8-SUM(Model_30y!H309), 0)</f>
        <v>100576.21067261905</v>
      </c>
      <c r="J309" s="2">
        <f>J308*(1+(Assumptions!$E$51))</f>
        <v>1480750.3066663076</v>
      </c>
      <c r="K309" s="22">
        <f t="shared" si="71"/>
        <v>1380174.0959936886</v>
      </c>
      <c r="L309" s="5">
        <f t="shared" si="77"/>
        <v>324423.78932738083</v>
      </c>
      <c r="M309" s="63">
        <f>L309/Assumptions!$D$6</f>
        <v>0.76335009253501374</v>
      </c>
      <c r="N309" s="24">
        <f t="shared" si="85"/>
        <v>0</v>
      </c>
      <c r="O309" s="5">
        <f>N309*Assumptions!$E$25*-1</f>
        <v>0</v>
      </c>
      <c r="P309" s="20">
        <f>Assumptions!$E$35*J309*-1</f>
        <v>-3050.1031882520215</v>
      </c>
      <c r="Q309" s="5">
        <f>J309*Assumptions!$E$36*-1</f>
        <v>-1228.3388172094703</v>
      </c>
      <c r="R309" s="5">
        <f>(R297+(Model_30y!R297*Assumptions!$D$51))</f>
        <v>-1100.2831595472251</v>
      </c>
      <c r="S309" s="5">
        <f>S297+(S297*Assumptions!$D$51)</f>
        <v>0</v>
      </c>
      <c r="T309" s="5">
        <f t="shared" si="80"/>
        <v>0</v>
      </c>
      <c r="U309" s="22">
        <f t="shared" si="72"/>
        <v>-5378.7251650087173</v>
      </c>
      <c r="V309" s="5">
        <f>MAX(Assumptions!$E$18:$E$19)-U309</f>
        <v>8220.3581768074146</v>
      </c>
      <c r="W309" s="5">
        <f t="shared" si="73"/>
        <v>-2198.4576329329379</v>
      </c>
      <c r="X309" s="5">
        <f t="shared" si="78"/>
        <v>-5378.7251650087173</v>
      </c>
      <c r="Y309" s="5">
        <f>C309*Assumptions!$D$44*-1</f>
        <v>85.84996159174986</v>
      </c>
      <c r="Z309" s="5">
        <f t="shared" si="74"/>
        <v>729.02534045750963</v>
      </c>
      <c r="AA309" s="5">
        <f t="shared" si="81"/>
        <v>909310.05541697599</v>
      </c>
      <c r="AB309" s="3">
        <f>Assumptions!$E$45</f>
        <v>6.9899151946608562E-3</v>
      </c>
      <c r="AC309" s="5">
        <f t="shared" si="82"/>
        <v>916395.08093045058</v>
      </c>
      <c r="AD309" s="5">
        <f>AC309*Assumptions!$E$43</f>
        <v>820.70098230367864</v>
      </c>
      <c r="AE309" s="2">
        <f>AD309*Assumptions!$D$44*-1</f>
        <v>-123.10514734555179</v>
      </c>
      <c r="AF309" s="2">
        <f>AC309*Assumptions!$E$46*-1</f>
        <v>-30.540903936336143</v>
      </c>
      <c r="AG309" s="22">
        <f t="shared" si="83"/>
        <v>916241.43487916875</v>
      </c>
      <c r="AH309" s="5">
        <f>Model_30y[[#This Row],[Mortgage Payment]]+Model_30y[[#This Row],[Total Upkeep]]+Model_30y[[#This Row],[Monthly Investment]]</f>
        <v>-6848.1574574841461</v>
      </c>
      <c r="AI309" s="5">
        <f>Model_Renter!D309*-1</f>
        <v>6901.3698889653697</v>
      </c>
      <c r="AJ309" s="5">
        <f t="shared" si="84"/>
        <v>53.212431481223575</v>
      </c>
    </row>
    <row r="310" spans="1:36" x14ac:dyDescent="0.25">
      <c r="A310" s="17">
        <f t="shared" si="79"/>
        <v>308</v>
      </c>
      <c r="B310" s="17">
        <f t="shared" si="75"/>
        <v>26</v>
      </c>
      <c r="C310" s="23">
        <f>IFERROR(IPMT(Assumptions!$D$16/12,Model_30y!A310, 360,Assumptions!$D$8), 0)</f>
        <v>-563.2267797666666</v>
      </c>
      <c r="D310" s="2">
        <f>IFERROR(PPMT(Assumptions!$D$16/12, Model_30y!A310, 360, Assumptions!$D$8), 0)</f>
        <v>-1635.2308531662716</v>
      </c>
      <c r="E310" s="2">
        <f t="shared" si="69"/>
        <v>-2198.4576329329384</v>
      </c>
      <c r="F310" s="2">
        <f>IF(I309&gt;1, Assumptions!$E$18, 0)*-1</f>
        <v>-2198.4576329329379</v>
      </c>
      <c r="G310" s="24">
        <f t="shared" si="70"/>
        <v>1</v>
      </c>
      <c r="H310" s="20">
        <f t="shared" si="76"/>
        <v>241059.02018054723</v>
      </c>
      <c r="I310" s="2">
        <f>MAX(Assumptions!$D$8-SUM(Model_30y!H310), 0)</f>
        <v>98940.979819452768</v>
      </c>
      <c r="J310" s="2">
        <f>J309*(1+(Assumptions!$E$51))</f>
        <v>1486783.0667083415</v>
      </c>
      <c r="K310" s="22">
        <f t="shared" si="71"/>
        <v>1387842.0868888886</v>
      </c>
      <c r="L310" s="5">
        <f t="shared" si="77"/>
        <v>326059.02018054709</v>
      </c>
      <c r="M310" s="63">
        <f>L310/Assumptions!$D$6</f>
        <v>0.76719769454246378</v>
      </c>
      <c r="N310" s="24">
        <f t="shared" si="85"/>
        <v>0</v>
      </c>
      <c r="O310" s="5">
        <f>N310*Assumptions!$E$25*-1</f>
        <v>0</v>
      </c>
      <c r="P310" s="20">
        <f>Assumptions!$E$35*J310*-1</f>
        <v>-3062.5296861938609</v>
      </c>
      <c r="Q310" s="5">
        <f>J310*Assumptions!$E$36*-1</f>
        <v>-1233.343221599042</v>
      </c>
      <c r="R310" s="5">
        <f>(R298+(Model_30y!R298*Assumptions!$D$51))</f>
        <v>-1100.2831595472251</v>
      </c>
      <c r="S310" s="5">
        <f>S298+(S298*Assumptions!$D$51)</f>
        <v>0</v>
      </c>
      <c r="T310" s="5">
        <f t="shared" si="80"/>
        <v>0</v>
      </c>
      <c r="U310" s="22">
        <f t="shared" si="72"/>
        <v>-5396.1560673401282</v>
      </c>
      <c r="V310" s="5">
        <f>MAX(Assumptions!$E$18:$E$19)-U310</f>
        <v>8237.7890791388254</v>
      </c>
      <c r="W310" s="5">
        <f t="shared" si="73"/>
        <v>-2198.4576329329379</v>
      </c>
      <c r="X310" s="5">
        <f t="shared" si="78"/>
        <v>-5396.1560673401282</v>
      </c>
      <c r="Y310" s="5">
        <f>C310*Assumptions!$D$44*-1</f>
        <v>84.484016964999981</v>
      </c>
      <c r="Z310" s="5">
        <f t="shared" si="74"/>
        <v>727.65939583075976</v>
      </c>
      <c r="AA310" s="5">
        <f t="shared" si="81"/>
        <v>916241.43487916875</v>
      </c>
      <c r="AB310" s="3">
        <f>Assumptions!$E$45</f>
        <v>6.9899151946608562E-3</v>
      </c>
      <c r="AC310" s="5">
        <f t="shared" si="82"/>
        <v>923373.54420263926</v>
      </c>
      <c r="AD310" s="5">
        <f>AC310*Assumptions!$E$43</f>
        <v>826.95072303410723</v>
      </c>
      <c r="AE310" s="2">
        <f>AD310*Assumptions!$D$44*-1</f>
        <v>-124.04260845511608</v>
      </c>
      <c r="AF310" s="2">
        <f>AC310*Assumptions!$E$46*-1</f>
        <v>-30.773476743473832</v>
      </c>
      <c r="AG310" s="22">
        <f t="shared" si="83"/>
        <v>923218.72811744071</v>
      </c>
      <c r="AH310" s="5">
        <f>Model_30y[[#This Row],[Mortgage Payment]]+Model_30y[[#This Row],[Total Upkeep]]+Model_30y[[#This Row],[Monthly Investment]]</f>
        <v>-6866.9543044423071</v>
      </c>
      <c r="AI310" s="5">
        <f>Model_Renter!D310*-1</f>
        <v>6901.3698889653697</v>
      </c>
      <c r="AJ310" s="5">
        <f t="shared" si="84"/>
        <v>34.415584523062535</v>
      </c>
    </row>
    <row r="311" spans="1:36" x14ac:dyDescent="0.25">
      <c r="A311" s="17">
        <f t="shared" si="79"/>
        <v>309</v>
      </c>
      <c r="B311" s="17">
        <f t="shared" si="75"/>
        <v>26</v>
      </c>
      <c r="C311" s="23">
        <f>IFERROR(IPMT(Assumptions!$D$16/12,Model_30y!A311, 360,Assumptions!$D$8), 0)</f>
        <v>-554.06948698893552</v>
      </c>
      <c r="D311" s="2">
        <f>IFERROR(PPMT(Assumptions!$D$16/12, Model_30y!A311, 360, Assumptions!$D$8), 0)</f>
        <v>-1644.3881459440026</v>
      </c>
      <c r="E311" s="2">
        <f t="shared" si="69"/>
        <v>-2198.4576329329384</v>
      </c>
      <c r="F311" s="2">
        <f>IF(I310&gt;1, Assumptions!$E$18, 0)*-1</f>
        <v>-2198.4576329329379</v>
      </c>
      <c r="G311" s="24">
        <f t="shared" si="70"/>
        <v>1</v>
      </c>
      <c r="H311" s="20">
        <f t="shared" si="76"/>
        <v>242703.40832649125</v>
      </c>
      <c r="I311" s="2">
        <f>MAX(Assumptions!$D$8-SUM(Model_30y!H311), 0)</f>
        <v>97296.591673508752</v>
      </c>
      <c r="J311" s="2">
        <f>J310*(1+(Assumptions!$E$51))</f>
        <v>1492840.4049615436</v>
      </c>
      <c r="K311" s="22">
        <f t="shared" si="71"/>
        <v>1395543.8132880349</v>
      </c>
      <c r="L311" s="5">
        <f t="shared" si="77"/>
        <v>327703.40832649107</v>
      </c>
      <c r="M311" s="63">
        <f>L311/Assumptions!$D$6</f>
        <v>0.77106684312115548</v>
      </c>
      <c r="N311" s="24">
        <f t="shared" si="85"/>
        <v>0</v>
      </c>
      <c r="O311" s="5">
        <f>N311*Assumptions!$E$25*-1</f>
        <v>0</v>
      </c>
      <c r="P311" s="20">
        <f>Assumptions!$E$35*J311*-1</f>
        <v>-3075.0068112265126</v>
      </c>
      <c r="Q311" s="5">
        <f>J311*Assumptions!$E$36*-1</f>
        <v>-1238.36801455156</v>
      </c>
      <c r="R311" s="5">
        <f>(R299+(Model_30y!R299*Assumptions!$D$51))</f>
        <v>-1100.2831595472251</v>
      </c>
      <c r="S311" s="5">
        <f>S299+(S299*Assumptions!$D$51)</f>
        <v>0</v>
      </c>
      <c r="T311" s="5">
        <f t="shared" si="80"/>
        <v>0</v>
      </c>
      <c r="U311" s="22">
        <f t="shared" si="72"/>
        <v>-5413.6579853252979</v>
      </c>
      <c r="V311" s="5">
        <f>MAX(Assumptions!$E$18:$E$19)-U311</f>
        <v>8255.2909971239951</v>
      </c>
      <c r="W311" s="5">
        <f t="shared" si="73"/>
        <v>-2198.4576329329379</v>
      </c>
      <c r="X311" s="5">
        <f t="shared" si="78"/>
        <v>-5413.6579853252979</v>
      </c>
      <c r="Y311" s="5">
        <f>C311*Assumptions!$D$44*-1</f>
        <v>83.110423048340323</v>
      </c>
      <c r="Z311" s="5">
        <f t="shared" si="74"/>
        <v>726.28580191410003</v>
      </c>
      <c r="AA311" s="5">
        <f t="shared" si="81"/>
        <v>923218.72811744071</v>
      </c>
      <c r="AB311" s="3">
        <f>Assumptions!$E$45</f>
        <v>6.9899151946608562E-3</v>
      </c>
      <c r="AC311" s="5">
        <f t="shared" si="82"/>
        <v>930398.23453501833</v>
      </c>
      <c r="AD311" s="5">
        <f>AC311*Assumptions!$E$43</f>
        <v>833.24186358705413</v>
      </c>
      <c r="AE311" s="2">
        <f>AD311*Assumptions!$D$44*-1</f>
        <v>-124.98627953805811</v>
      </c>
      <c r="AF311" s="2">
        <f>AC311*Assumptions!$E$46*-1</f>
        <v>-31.007590170191342</v>
      </c>
      <c r="AG311" s="22">
        <f t="shared" si="83"/>
        <v>930242.24066531006</v>
      </c>
      <c r="AH311" s="5">
        <f>Model_30y[[#This Row],[Mortgage Payment]]+Model_30y[[#This Row],[Total Upkeep]]+Model_30y[[#This Row],[Monthly Investment]]</f>
        <v>-6885.8298163441359</v>
      </c>
      <c r="AI311" s="5">
        <f>Model_Renter!D311*-1</f>
        <v>6901.3698889653697</v>
      </c>
      <c r="AJ311" s="5">
        <f t="shared" si="84"/>
        <v>15.540072621233776</v>
      </c>
    </row>
    <row r="312" spans="1:36" x14ac:dyDescent="0.25">
      <c r="A312" s="17">
        <f t="shared" si="79"/>
        <v>310</v>
      </c>
      <c r="B312" s="17">
        <f t="shared" si="75"/>
        <v>26</v>
      </c>
      <c r="C312" s="23">
        <f>IFERROR(IPMT(Assumptions!$D$16/12,Model_30y!A312, 360,Assumptions!$D$8), 0)</f>
        <v>-544.86091337164919</v>
      </c>
      <c r="D312" s="2">
        <f>IFERROR(PPMT(Assumptions!$D$16/12, Model_30y!A312, 360, Assumptions!$D$8), 0)</f>
        <v>-1653.5967195612889</v>
      </c>
      <c r="E312" s="2">
        <f t="shared" si="69"/>
        <v>-2198.4576329329379</v>
      </c>
      <c r="F312" s="2">
        <f>IF(I311&gt;1, Assumptions!$E$18, 0)*-1</f>
        <v>-2198.4576329329379</v>
      </c>
      <c r="G312" s="24">
        <f t="shared" si="70"/>
        <v>1</v>
      </c>
      <c r="H312" s="20">
        <f t="shared" si="76"/>
        <v>244357.00504605254</v>
      </c>
      <c r="I312" s="2">
        <f>MAX(Assumptions!$D$8-SUM(Model_30y!H312), 0)</f>
        <v>95642.994953947462</v>
      </c>
      <c r="J312" s="2">
        <f>J311*(1+(Assumptions!$E$51))</f>
        <v>1498922.4215605888</v>
      </c>
      <c r="K312" s="22">
        <f t="shared" si="71"/>
        <v>1403279.4266066414</v>
      </c>
      <c r="L312" s="5">
        <f t="shared" si="77"/>
        <v>329357.00504605233</v>
      </c>
      <c r="M312" s="63">
        <f>L312/Assumptions!$D$6</f>
        <v>0.77495765893188784</v>
      </c>
      <c r="N312" s="24">
        <f t="shared" si="85"/>
        <v>0</v>
      </c>
      <c r="O312" s="5">
        <f>N312*Assumptions!$E$25*-1</f>
        <v>0</v>
      </c>
      <c r="P312" s="20">
        <f>Assumptions!$E$35*J312*-1</f>
        <v>-3087.5347696110116</v>
      </c>
      <c r="Q312" s="5">
        <f>J312*Assumptions!$E$36*-1</f>
        <v>-1243.413279132554</v>
      </c>
      <c r="R312" s="5">
        <f>(R300+(Model_30y!R300*Assumptions!$D$51))</f>
        <v>-1100.2831595472251</v>
      </c>
      <c r="S312" s="5">
        <f>S300+(S300*Assumptions!$D$51)</f>
        <v>0</v>
      </c>
      <c r="T312" s="5">
        <f t="shared" si="80"/>
        <v>0</v>
      </c>
      <c r="U312" s="22">
        <f t="shared" si="72"/>
        <v>-5431.2312082907911</v>
      </c>
      <c r="V312" s="5">
        <f>MAX(Assumptions!$E$18:$E$19)-U312</f>
        <v>8272.8642200894883</v>
      </c>
      <c r="W312" s="5">
        <f t="shared" si="73"/>
        <v>-2198.4576329329379</v>
      </c>
      <c r="X312" s="5">
        <f t="shared" si="78"/>
        <v>-5431.2312082907911</v>
      </c>
      <c r="Y312" s="5">
        <f>C312*Assumptions!$D$44*-1</f>
        <v>81.729137005747376</v>
      </c>
      <c r="Z312" s="5">
        <f t="shared" si="74"/>
        <v>724.9045158715071</v>
      </c>
      <c r="AA312" s="5">
        <f t="shared" si="81"/>
        <v>930242.24066531006</v>
      </c>
      <c r="AB312" s="3">
        <f>Assumptions!$E$45</f>
        <v>6.9899151946608562E-3</v>
      </c>
      <c r="AC312" s="5">
        <f t="shared" si="82"/>
        <v>937469.45955392346</v>
      </c>
      <c r="AD312" s="5">
        <f>AC312*Assumptions!$E$43</f>
        <v>839.57467946512872</v>
      </c>
      <c r="AE312" s="2">
        <f>AD312*Assumptions!$D$44*-1</f>
        <v>-125.9362019197693</v>
      </c>
      <c r="AF312" s="2">
        <f>AC312*Assumptions!$E$46*-1</f>
        <v>-31.243254468820407</v>
      </c>
      <c r="AG312" s="22">
        <f t="shared" si="83"/>
        <v>937312.28009753488</v>
      </c>
      <c r="AH312" s="5">
        <f>Model_30y[[#This Row],[Mortgage Payment]]+Model_30y[[#This Row],[Total Upkeep]]+Model_30y[[#This Row],[Monthly Investment]]</f>
        <v>-6904.7843253522224</v>
      </c>
      <c r="AI312" s="5">
        <f>Model_Renter!D312*-1</f>
        <v>6901.3698889653697</v>
      </c>
      <c r="AJ312" s="5">
        <f t="shared" si="84"/>
        <v>-3.4144363868526852</v>
      </c>
    </row>
    <row r="313" spans="1:36" x14ac:dyDescent="0.25">
      <c r="A313" s="17">
        <f t="shared" si="79"/>
        <v>311</v>
      </c>
      <c r="B313" s="17">
        <f t="shared" si="75"/>
        <v>26</v>
      </c>
      <c r="C313" s="23">
        <f>IFERROR(IPMT(Assumptions!$D$16/12,Model_30y!A313, 360,Assumptions!$D$8), 0)</f>
        <v>-535.60077174210574</v>
      </c>
      <c r="D313" s="2">
        <f>IFERROR(PPMT(Assumptions!$D$16/12, Model_30y!A313, 360, Assumptions!$D$8), 0)</f>
        <v>-1662.856861190832</v>
      </c>
      <c r="E313" s="2">
        <f t="shared" si="69"/>
        <v>-2198.4576329329375</v>
      </c>
      <c r="F313" s="2">
        <f>IF(I312&gt;1, Assumptions!$E$18, 0)*-1</f>
        <v>-2198.4576329329379</v>
      </c>
      <c r="G313" s="24">
        <f t="shared" si="70"/>
        <v>1</v>
      </c>
      <c r="H313" s="20">
        <f t="shared" si="76"/>
        <v>246019.86190724338</v>
      </c>
      <c r="I313" s="2">
        <f>MAX(Assumptions!$D$8-SUM(Model_30y!H313), 0)</f>
        <v>93980.138092756621</v>
      </c>
      <c r="J313" s="2">
        <f>J312*(1+(Assumptions!$E$51))</f>
        <v>1505029.2170481125</v>
      </c>
      <c r="K313" s="22">
        <f t="shared" si="71"/>
        <v>1411049.078955356</v>
      </c>
      <c r="L313" s="5">
        <f t="shared" si="77"/>
        <v>331019.86190724315</v>
      </c>
      <c r="M313" s="63">
        <f>L313/Assumptions!$D$6</f>
        <v>0.77887026331116038</v>
      </c>
      <c r="N313" s="24">
        <f t="shared" si="85"/>
        <v>0</v>
      </c>
      <c r="O313" s="5">
        <f>N313*Assumptions!$E$25*-1</f>
        <v>0</v>
      </c>
      <c r="P313" s="20">
        <f>Assumptions!$E$35*J313*-1</f>
        <v>-3100.1137684487248</v>
      </c>
      <c r="Q313" s="5">
        <f>J313*Assumptions!$E$36*-1</f>
        <v>-1248.4790987459721</v>
      </c>
      <c r="R313" s="5">
        <f>(R301+(Model_30y!R301*Assumptions!$D$51))</f>
        <v>-1100.2831595472251</v>
      </c>
      <c r="S313" s="5">
        <f>S301+(S301*Assumptions!$D$51)</f>
        <v>0</v>
      </c>
      <c r="T313" s="5">
        <f t="shared" si="80"/>
        <v>0</v>
      </c>
      <c r="U313" s="22">
        <f t="shared" si="72"/>
        <v>-5448.876026741922</v>
      </c>
      <c r="V313" s="5">
        <f>MAX(Assumptions!$E$18:$E$19)-U313</f>
        <v>8290.5090385406183</v>
      </c>
      <c r="W313" s="5">
        <f t="shared" si="73"/>
        <v>-2198.4576329329379</v>
      </c>
      <c r="X313" s="5">
        <f t="shared" si="78"/>
        <v>-5448.876026741922</v>
      </c>
      <c r="Y313" s="5">
        <f>C313*Assumptions!$D$44*-1</f>
        <v>80.340115761315857</v>
      </c>
      <c r="Z313" s="5">
        <f t="shared" si="74"/>
        <v>723.51549462707464</v>
      </c>
      <c r="AA313" s="5">
        <f t="shared" si="81"/>
        <v>937312.28009753488</v>
      </c>
      <c r="AB313" s="3">
        <f>Assumptions!$E$45</f>
        <v>6.9899151946608562E-3</v>
      </c>
      <c r="AC313" s="5">
        <f t="shared" si="82"/>
        <v>944587.52894095797</v>
      </c>
      <c r="AD313" s="5">
        <f>AC313*Assumptions!$E$43</f>
        <v>845.94944801158749</v>
      </c>
      <c r="AE313" s="2">
        <f>AD313*Assumptions!$D$44*-1</f>
        <v>-126.89241720173811</v>
      </c>
      <c r="AF313" s="2">
        <f>AC313*Assumptions!$E$46*-1</f>
        <v>-31.480479960189118</v>
      </c>
      <c r="AG313" s="22">
        <f t="shared" si="83"/>
        <v>944429.1560437961</v>
      </c>
      <c r="AH313" s="5">
        <f>Model_30y[[#This Row],[Mortgage Payment]]+Model_30y[[#This Row],[Total Upkeep]]+Model_30y[[#This Row],[Monthly Investment]]</f>
        <v>-6923.8181650477845</v>
      </c>
      <c r="AI313" s="5">
        <f>Model_Renter!D313*-1</f>
        <v>6901.3698889653697</v>
      </c>
      <c r="AJ313" s="5">
        <f t="shared" si="84"/>
        <v>-22.44827608241485</v>
      </c>
    </row>
    <row r="314" spans="1:36" x14ac:dyDescent="0.25">
      <c r="A314" s="17">
        <f t="shared" si="79"/>
        <v>312</v>
      </c>
      <c r="B314" s="17">
        <f t="shared" si="75"/>
        <v>26</v>
      </c>
      <c r="C314" s="23">
        <f>IFERROR(IPMT(Assumptions!$D$16/12,Model_30y!A314, 360,Assumptions!$D$8), 0)</f>
        <v>-526.28877331943704</v>
      </c>
      <c r="D314" s="2">
        <f>IFERROR(PPMT(Assumptions!$D$16/12, Model_30y!A314, 360, Assumptions!$D$8), 0)</f>
        <v>-1672.1688596135009</v>
      </c>
      <c r="E314" s="2">
        <f t="shared" si="69"/>
        <v>-2198.4576329329379</v>
      </c>
      <c r="F314" s="2">
        <f>IF(I313&gt;1, Assumptions!$E$18, 0)*-1</f>
        <v>-2198.4576329329379</v>
      </c>
      <c r="G314" s="24">
        <f t="shared" si="70"/>
        <v>1</v>
      </c>
      <c r="H314" s="20">
        <f t="shared" si="76"/>
        <v>247692.03076685689</v>
      </c>
      <c r="I314" s="2">
        <f>MAX(Assumptions!$D$8-SUM(Model_30y!H314), 0)</f>
        <v>92307.969233143114</v>
      </c>
      <c r="J314" s="2">
        <f>J313*(1+(Assumptions!$E$51))</f>
        <v>1511160.892376374</v>
      </c>
      <c r="K314" s="22">
        <f t="shared" si="71"/>
        <v>1418852.9231432308</v>
      </c>
      <c r="L314" s="5">
        <f t="shared" si="77"/>
        <v>332692.03076685662</v>
      </c>
      <c r="M314" s="63">
        <f>L314/Assumptions!$D$6</f>
        <v>0.78280477827495676</v>
      </c>
      <c r="N314" s="24">
        <f t="shared" si="85"/>
        <v>0</v>
      </c>
      <c r="O314" s="5">
        <f>N314*Assumptions!$E$25*-1</f>
        <v>0</v>
      </c>
      <c r="P314" s="20">
        <f>Assumptions!$E$35*J314*-1</f>
        <v>-3112.7440156847779</v>
      </c>
      <c r="Q314" s="5">
        <f>J314*Assumptions!$E$36*-1</f>
        <v>-1253.565557135561</v>
      </c>
      <c r="R314" s="5">
        <f>(R302+(Model_30y!R302*Assumptions!$D$51))</f>
        <v>-1100.2831595472251</v>
      </c>
      <c r="S314" s="5">
        <f>S302+(S302*Assumptions!$D$51)</f>
        <v>0</v>
      </c>
      <c r="T314" s="5">
        <f t="shared" si="80"/>
        <v>0</v>
      </c>
      <c r="U314" s="22">
        <f t="shared" si="72"/>
        <v>-5466.5927323675642</v>
      </c>
      <c r="V314" s="5">
        <f>MAX(Assumptions!$E$18:$E$19)-U314</f>
        <v>8308.2257441662605</v>
      </c>
      <c r="W314" s="5">
        <f t="shared" si="73"/>
        <v>-2198.4576329329379</v>
      </c>
      <c r="X314" s="5">
        <f t="shared" si="78"/>
        <v>-5466.5927323675642</v>
      </c>
      <c r="Y314" s="5">
        <f>C314*Assumptions!$D$44*-1</f>
        <v>78.943315997915548</v>
      </c>
      <c r="Z314" s="5">
        <f t="shared" si="74"/>
        <v>722.11869486367436</v>
      </c>
      <c r="AA314" s="5">
        <f t="shared" si="81"/>
        <v>944429.1560437961</v>
      </c>
      <c r="AB314" s="3">
        <f>Assumptions!$E$45</f>
        <v>6.9899151946608562E-3</v>
      </c>
      <c r="AC314" s="5">
        <f t="shared" si="82"/>
        <v>951752.754446771</v>
      </c>
      <c r="AD314" s="5">
        <f>AC314*Assumptions!$E$43</f>
        <v>852.36644842267367</v>
      </c>
      <c r="AE314" s="2">
        <f>AD314*Assumptions!$D$44*-1</f>
        <v>-127.85496726340105</v>
      </c>
      <c r="AF314" s="2">
        <f>AC314*Assumptions!$E$46*-1</f>
        <v>-31.719277034081127</v>
      </c>
      <c r="AG314" s="22">
        <f t="shared" si="83"/>
        <v>951593.18020247354</v>
      </c>
      <c r="AH314" s="5">
        <f>Model_30y[[#This Row],[Mortgage Payment]]+Model_30y[[#This Row],[Total Upkeep]]+Model_30y[[#This Row],[Monthly Investment]]</f>
        <v>-6942.9316704368275</v>
      </c>
      <c r="AI314" s="5">
        <f>Model_Renter!D314*-1</f>
        <v>6901.3698889653697</v>
      </c>
      <c r="AJ314" s="5">
        <f t="shared" si="84"/>
        <v>-41.561781471457834</v>
      </c>
    </row>
    <row r="315" spans="1:36" x14ac:dyDescent="0.25">
      <c r="A315" s="17">
        <f t="shared" si="79"/>
        <v>313</v>
      </c>
      <c r="B315" s="17">
        <f t="shared" si="75"/>
        <v>27</v>
      </c>
      <c r="C315" s="23">
        <f>IFERROR(IPMT(Assumptions!$D$16/12,Model_30y!A315, 360,Assumptions!$D$8), 0)</f>
        <v>-516.92462770560167</v>
      </c>
      <c r="D315" s="2">
        <f>IFERROR(PPMT(Assumptions!$D$16/12, Model_30y!A315, 360, Assumptions!$D$8), 0)</f>
        <v>-1681.5330052273364</v>
      </c>
      <c r="E315" s="2">
        <f t="shared" si="69"/>
        <v>-2198.4576329329379</v>
      </c>
      <c r="F315" s="2">
        <f>IF(I314&gt;1, Assumptions!$E$18, 0)*-1</f>
        <v>-2198.4576329329379</v>
      </c>
      <c r="G315" s="24">
        <f t="shared" si="70"/>
        <v>1</v>
      </c>
      <c r="H315" s="20">
        <f t="shared" si="76"/>
        <v>249373.56377208422</v>
      </c>
      <c r="I315" s="2">
        <f>MAX(Assumptions!$D$8-SUM(Model_30y!H315), 0)</f>
        <v>90626.436227915779</v>
      </c>
      <c r="J315" s="2">
        <f>J314*(1+(Assumptions!$E$51))</f>
        <v>1517317.5489089238</v>
      </c>
      <c r="K315" s="22">
        <f t="shared" si="71"/>
        <v>1426691.1126810079</v>
      </c>
      <c r="L315" s="5">
        <f t="shared" si="77"/>
        <v>334373.56377208396</v>
      </c>
      <c r="M315" s="63">
        <f>L315/Assumptions!$D$6</f>
        <v>0.78676132652255049</v>
      </c>
      <c r="N315" s="24">
        <f t="shared" si="85"/>
        <v>0</v>
      </c>
      <c r="O315" s="5">
        <f>N315*Assumptions!$E$25*-1</f>
        <v>0</v>
      </c>
      <c r="P315" s="20">
        <f>Assumptions!$E$35*J315*-1</f>
        <v>-3125.4257201114879</v>
      </c>
      <c r="Q315" s="5">
        <f>J315*Assumptions!$E$36*-1</f>
        <v>-1258.6727383862494</v>
      </c>
      <c r="R315" s="5">
        <f>(R303+(Model_30y!R303*Assumptions!$D$51))</f>
        <v>-1155.2973175245863</v>
      </c>
      <c r="S315" s="5">
        <f>S303+(S303*Assumptions!$D$51)</f>
        <v>0</v>
      </c>
      <c r="T315" s="5">
        <f t="shared" si="80"/>
        <v>0</v>
      </c>
      <c r="U315" s="22">
        <f t="shared" si="72"/>
        <v>-5539.3957760223238</v>
      </c>
      <c r="V315" s="5">
        <f>MAX(Assumptions!$E$18:$E$19)-U315</f>
        <v>8381.0287878210202</v>
      </c>
      <c r="W315" s="5">
        <f t="shared" si="73"/>
        <v>-2198.4576329329379</v>
      </c>
      <c r="X315" s="5">
        <f t="shared" si="78"/>
        <v>-5539.3957760223238</v>
      </c>
      <c r="Y315" s="5">
        <f>C315*Assumptions!$D$44*-1</f>
        <v>77.538694155840247</v>
      </c>
      <c r="Z315" s="5">
        <f t="shared" si="74"/>
        <v>720.71407302159912</v>
      </c>
      <c r="AA315" s="5">
        <f t="shared" si="81"/>
        <v>951593.18020247354</v>
      </c>
      <c r="AB315" s="3">
        <f>Assumptions!$E$45</f>
        <v>6.9899151946608562E-3</v>
      </c>
      <c r="AC315" s="5">
        <f t="shared" si="82"/>
        <v>958965.44990492798</v>
      </c>
      <c r="AD315" s="5">
        <f>AC315*Assumptions!$E$43</f>
        <v>858.8259617600396</v>
      </c>
      <c r="AE315" s="2">
        <f>AD315*Assumptions!$D$44*-1</f>
        <v>-128.82389426400593</v>
      </c>
      <c r="AF315" s="2">
        <f>AC315*Assumptions!$E$46*-1</f>
        <v>-31.959656149697896</v>
      </c>
      <c r="AG315" s="22">
        <f t="shared" si="83"/>
        <v>958804.66635451431</v>
      </c>
      <c r="AH315" s="5">
        <f>Model_30y[[#This Row],[Mortgage Payment]]+Model_30y[[#This Row],[Total Upkeep]]+Model_30y[[#This Row],[Monthly Investment]]</f>
        <v>-7017.1393359336626</v>
      </c>
      <c r="AI315" s="5">
        <f>Model_Renter!D315*-1</f>
        <v>7159.4811228126755</v>
      </c>
      <c r="AJ315" s="5">
        <f t="shared" si="84"/>
        <v>142.34178687901294</v>
      </c>
    </row>
    <row r="316" spans="1:36" x14ac:dyDescent="0.25">
      <c r="A316" s="17">
        <f t="shared" si="79"/>
        <v>314</v>
      </c>
      <c r="B316" s="17">
        <f t="shared" si="75"/>
        <v>27</v>
      </c>
      <c r="C316" s="23">
        <f>IFERROR(IPMT(Assumptions!$D$16/12,Model_30y!A316, 360,Assumptions!$D$8), 0)</f>
        <v>-507.50804287632855</v>
      </c>
      <c r="D316" s="2">
        <f>IFERROR(PPMT(Assumptions!$D$16/12, Model_30y!A316, 360, Assumptions!$D$8), 0)</f>
        <v>-1690.9495900566094</v>
      </c>
      <c r="E316" s="2">
        <f t="shared" si="69"/>
        <v>-2198.4576329329379</v>
      </c>
      <c r="F316" s="2">
        <f>IF(I315&gt;1, Assumptions!$E$18, 0)*-1</f>
        <v>-2198.4576329329379</v>
      </c>
      <c r="G316" s="24">
        <f t="shared" si="70"/>
        <v>1</v>
      </c>
      <c r="H316" s="20">
        <f t="shared" si="76"/>
        <v>251064.51336214083</v>
      </c>
      <c r="I316" s="2">
        <f>MAX(Assumptions!$D$8-SUM(Model_30y!H316), 0)</f>
        <v>88935.486637859169</v>
      </c>
      <c r="J316" s="2">
        <f>J315*(1+(Assumptions!$E$51))</f>
        <v>1523499.2884222807</v>
      </c>
      <c r="K316" s="22">
        <f t="shared" si="71"/>
        <v>1434563.8017844216</v>
      </c>
      <c r="L316" s="5">
        <f t="shared" si="77"/>
        <v>336064.51336214057</v>
      </c>
      <c r="M316" s="63">
        <f>L316/Assumptions!$D$6</f>
        <v>0.79074003144033078</v>
      </c>
      <c r="N316" s="24">
        <f t="shared" si="85"/>
        <v>0</v>
      </c>
      <c r="O316" s="5">
        <f>N316*Assumptions!$E$25*-1</f>
        <v>0</v>
      </c>
      <c r="P316" s="20">
        <f>Assumptions!$E$35*J316*-1</f>
        <v>-3138.1590913718205</v>
      </c>
      <c r="Q316" s="5">
        <f>J316*Assumptions!$E$36*-1</f>
        <v>-1263.8007269255386</v>
      </c>
      <c r="R316" s="5">
        <f>(R304+(Model_30y!R304*Assumptions!$D$51))</f>
        <v>-1155.2973175245863</v>
      </c>
      <c r="S316" s="5">
        <f>S304+(S304*Assumptions!$D$51)</f>
        <v>0</v>
      </c>
      <c r="T316" s="5">
        <f t="shared" si="80"/>
        <v>0</v>
      </c>
      <c r="U316" s="22">
        <f t="shared" si="72"/>
        <v>-5557.2571358219448</v>
      </c>
      <c r="V316" s="5">
        <f>MAX(Assumptions!$E$18:$E$19)-U316</f>
        <v>8398.8901476206411</v>
      </c>
      <c r="W316" s="5">
        <f t="shared" si="73"/>
        <v>-2198.4576329329379</v>
      </c>
      <c r="X316" s="5">
        <f t="shared" si="78"/>
        <v>-5557.2571358219448</v>
      </c>
      <c r="Y316" s="5">
        <f>C316*Assumptions!$D$44*-1</f>
        <v>76.126206431449276</v>
      </c>
      <c r="Z316" s="5">
        <f t="shared" si="74"/>
        <v>719.30158529720813</v>
      </c>
      <c r="AA316" s="5">
        <f t="shared" si="81"/>
        <v>958804.66635451431</v>
      </c>
      <c r="AB316" s="3">
        <f>Assumptions!$E$45</f>
        <v>6.9899151946608562E-3</v>
      </c>
      <c r="AC316" s="5">
        <f t="shared" si="82"/>
        <v>966225.93124587473</v>
      </c>
      <c r="AD316" s="5">
        <f>AC316*Assumptions!$E$43</f>
        <v>865.32827096325184</v>
      </c>
      <c r="AE316" s="2">
        <f>AD316*Assumptions!$D$44*-1</f>
        <v>-129.79924064448778</v>
      </c>
      <c r="AF316" s="2">
        <f>AC316*Assumptions!$E$46*-1</f>
        <v>-32.201627836124096</v>
      </c>
      <c r="AG316" s="22">
        <f t="shared" si="83"/>
        <v>966063.93037739408</v>
      </c>
      <c r="AH316" s="5">
        <f>Model_30y[[#This Row],[Mortgage Payment]]+Model_30y[[#This Row],[Total Upkeep]]+Model_30y[[#This Row],[Monthly Investment]]</f>
        <v>-7036.4131834576738</v>
      </c>
      <c r="AI316" s="5">
        <f>Model_Renter!D316*-1</f>
        <v>7159.4811228126755</v>
      </c>
      <c r="AJ316" s="5">
        <f t="shared" si="84"/>
        <v>123.06793935500173</v>
      </c>
    </row>
    <row r="317" spans="1:36" x14ac:dyDescent="0.25">
      <c r="A317" s="17">
        <f t="shared" si="79"/>
        <v>315</v>
      </c>
      <c r="B317" s="17">
        <f t="shared" si="75"/>
        <v>27</v>
      </c>
      <c r="C317" s="23">
        <f>IFERROR(IPMT(Assumptions!$D$16/12,Model_30y!A317, 360,Assumptions!$D$8), 0)</f>
        <v>-498.03872517201148</v>
      </c>
      <c r="D317" s="2">
        <f>IFERROR(PPMT(Assumptions!$D$16/12, Model_30y!A317, 360, Assumptions!$D$8), 0)</f>
        <v>-1700.4189077609265</v>
      </c>
      <c r="E317" s="2">
        <f t="shared" si="69"/>
        <v>-2198.4576329329379</v>
      </c>
      <c r="F317" s="2">
        <f>IF(I316&gt;1, Assumptions!$E$18, 0)*-1</f>
        <v>-2198.4576329329379</v>
      </c>
      <c r="G317" s="24">
        <f t="shared" si="70"/>
        <v>1</v>
      </c>
      <c r="H317" s="20">
        <f t="shared" si="76"/>
        <v>252764.93226990176</v>
      </c>
      <c r="I317" s="2">
        <f>MAX(Assumptions!$D$8-SUM(Model_30y!H317), 0)</f>
        <v>87235.067730098235</v>
      </c>
      <c r="J317" s="2">
        <f>J316*(1+(Assumptions!$E$51))</f>
        <v>1529706.2131076131</v>
      </c>
      <c r="K317" s="22">
        <f t="shared" si="71"/>
        <v>1442471.1453775149</v>
      </c>
      <c r="L317" s="5">
        <f t="shared" si="77"/>
        <v>337764.9322699015</v>
      </c>
      <c r="M317" s="63">
        <f>L317/Assumptions!$D$6</f>
        <v>0.79474101710565059</v>
      </c>
      <c r="N317" s="24">
        <f t="shared" si="85"/>
        <v>0</v>
      </c>
      <c r="O317" s="5">
        <f>N317*Assumptions!$E$25*-1</f>
        <v>0</v>
      </c>
      <c r="P317" s="20">
        <f>Assumptions!$E$35*J317*-1</f>
        <v>-3150.9443399628508</v>
      </c>
      <c r="Q317" s="5">
        <f>J317*Assumptions!$E$36*-1</f>
        <v>-1268.9496075248981</v>
      </c>
      <c r="R317" s="5">
        <f>(R305+(Model_30y!R305*Assumptions!$D$51))</f>
        <v>-1155.2973175245863</v>
      </c>
      <c r="S317" s="5">
        <f>S305+(S305*Assumptions!$D$51)</f>
        <v>0</v>
      </c>
      <c r="T317" s="5">
        <f t="shared" si="80"/>
        <v>0</v>
      </c>
      <c r="U317" s="22">
        <f t="shared" si="72"/>
        <v>-5575.191265012335</v>
      </c>
      <c r="V317" s="5">
        <f>MAX(Assumptions!$E$18:$E$19)-U317</f>
        <v>8416.8242768110322</v>
      </c>
      <c r="W317" s="5">
        <f t="shared" si="73"/>
        <v>-2198.4576329329379</v>
      </c>
      <c r="X317" s="5">
        <f t="shared" si="78"/>
        <v>-5575.191265012335</v>
      </c>
      <c r="Y317" s="5">
        <f>C317*Assumptions!$D$44*-1</f>
        <v>74.705808775801714</v>
      </c>
      <c r="Z317" s="5">
        <f t="shared" si="74"/>
        <v>717.8811876415615</v>
      </c>
      <c r="AA317" s="5">
        <f t="shared" si="81"/>
        <v>966063.93037739408</v>
      </c>
      <c r="AB317" s="3">
        <f>Assumptions!$E$45</f>
        <v>6.9899151946608562E-3</v>
      </c>
      <c r="AC317" s="5">
        <f t="shared" si="82"/>
        <v>973534.51651099429</v>
      </c>
      <c r="AD317" s="5">
        <f>AC317*Assumptions!$E$43</f>
        <v>871.87366086238103</v>
      </c>
      <c r="AE317" s="2">
        <f>AD317*Assumptions!$D$44*-1</f>
        <v>-130.78104912935714</v>
      </c>
      <c r="AF317" s="2">
        <f>AC317*Assumptions!$E$46*-1</f>
        <v>-32.445202692796073</v>
      </c>
      <c r="AG317" s="22">
        <f t="shared" si="83"/>
        <v>973371.29025917209</v>
      </c>
      <c r="AH317" s="5">
        <f>Model_30y[[#This Row],[Mortgage Payment]]+Model_30y[[#This Row],[Total Upkeep]]+Model_30y[[#This Row],[Monthly Investment]]</f>
        <v>-7055.7677103037122</v>
      </c>
      <c r="AI317" s="5">
        <f>Model_Renter!D317*-1</f>
        <v>7159.4811228126755</v>
      </c>
      <c r="AJ317" s="5">
        <f t="shared" si="84"/>
        <v>103.7134125089633</v>
      </c>
    </row>
    <row r="318" spans="1:36" x14ac:dyDescent="0.25">
      <c r="A318" s="17">
        <f t="shared" si="79"/>
        <v>316</v>
      </c>
      <c r="B318" s="17">
        <f t="shared" si="75"/>
        <v>27</v>
      </c>
      <c r="C318" s="23">
        <f>IFERROR(IPMT(Assumptions!$D$16/12,Model_30y!A318, 360,Assumptions!$D$8), 0)</f>
        <v>-488.5163792885503</v>
      </c>
      <c r="D318" s="2">
        <f>IFERROR(PPMT(Assumptions!$D$16/12, Model_30y!A318, 360, Assumptions!$D$8), 0)</f>
        <v>-1709.9412536443876</v>
      </c>
      <c r="E318" s="2">
        <f t="shared" si="69"/>
        <v>-2198.4576329329379</v>
      </c>
      <c r="F318" s="2">
        <f>IF(I317&gt;1, Assumptions!$E$18, 0)*-1</f>
        <v>-2198.4576329329379</v>
      </c>
      <c r="G318" s="24">
        <f t="shared" si="70"/>
        <v>1</v>
      </c>
      <c r="H318" s="20">
        <f t="shared" si="76"/>
        <v>254474.87352354615</v>
      </c>
      <c r="I318" s="2">
        <f>MAX(Assumptions!$D$8-SUM(Model_30y!H318), 0)</f>
        <v>85525.12647645385</v>
      </c>
      <c r="J318" s="2">
        <f>J317*(1+(Assumptions!$E$51))</f>
        <v>1535938.4255724296</v>
      </c>
      <c r="K318" s="22">
        <f t="shared" si="71"/>
        <v>1450413.2990959757</v>
      </c>
      <c r="L318" s="5">
        <f t="shared" si="77"/>
        <v>339474.87352354592</v>
      </c>
      <c r="M318" s="63">
        <f>L318/Assumptions!$D$6</f>
        <v>0.79876440829069628</v>
      </c>
      <c r="N318" s="24">
        <f t="shared" si="85"/>
        <v>0</v>
      </c>
      <c r="O318" s="5">
        <f>N318*Assumptions!$E$25*-1</f>
        <v>0</v>
      </c>
      <c r="P318" s="20">
        <f>Assumptions!$E$35*J318*-1</f>
        <v>-3163.7816772392453</v>
      </c>
      <c r="Q318" s="5">
        <f>J318*Assumptions!$E$36*-1</f>
        <v>-1274.1194653011664</v>
      </c>
      <c r="R318" s="5">
        <f>(R306+(Model_30y!R306*Assumptions!$D$51))</f>
        <v>-1155.2973175245863</v>
      </c>
      <c r="S318" s="5">
        <f>S306+(S306*Assumptions!$D$51)</f>
        <v>0</v>
      </c>
      <c r="T318" s="5">
        <f t="shared" si="80"/>
        <v>0</v>
      </c>
      <c r="U318" s="22">
        <f t="shared" si="72"/>
        <v>-5593.1984600649976</v>
      </c>
      <c r="V318" s="5">
        <f>MAX(Assumptions!$E$18:$E$19)-U318</f>
        <v>8434.8314718636939</v>
      </c>
      <c r="W318" s="5">
        <f t="shared" si="73"/>
        <v>-2198.4576329329379</v>
      </c>
      <c r="X318" s="5">
        <f t="shared" si="78"/>
        <v>-5593.1984600649976</v>
      </c>
      <c r="Y318" s="5">
        <f>C318*Assumptions!$D$44*-1</f>
        <v>73.277456893282547</v>
      </c>
      <c r="Z318" s="5">
        <f t="shared" si="74"/>
        <v>716.45283575904136</v>
      </c>
      <c r="AA318" s="5">
        <f t="shared" si="81"/>
        <v>973371.29025917209</v>
      </c>
      <c r="AB318" s="3">
        <f>Assumptions!$E$45</f>
        <v>6.9899151946608562E-3</v>
      </c>
      <c r="AC318" s="5">
        <f t="shared" si="82"/>
        <v>980891.52586676041</v>
      </c>
      <c r="AD318" s="5">
        <f>AC318*Assumptions!$E$43</f>
        <v>878.46241819067666</v>
      </c>
      <c r="AE318" s="2">
        <f>AD318*Assumptions!$D$44*-1</f>
        <v>-131.76936272860149</v>
      </c>
      <c r="AF318" s="2">
        <f>AC318*Assumptions!$E$46*-1</f>
        <v>-32.690391389973541</v>
      </c>
      <c r="AG318" s="22">
        <f t="shared" si="83"/>
        <v>980727.06611264183</v>
      </c>
      <c r="AH318" s="5">
        <f>Model_30y[[#This Row],[Mortgage Payment]]+Model_30y[[#This Row],[Total Upkeep]]+Model_30y[[#This Row],[Monthly Investment]]</f>
        <v>-7075.2032572388935</v>
      </c>
      <c r="AI318" s="5">
        <f>Model_Renter!D318*-1</f>
        <v>7159.4811228126755</v>
      </c>
      <c r="AJ318" s="5">
        <f t="shared" si="84"/>
        <v>84.277865573782037</v>
      </c>
    </row>
    <row r="319" spans="1:36" x14ac:dyDescent="0.25">
      <c r="A319" s="17">
        <f t="shared" si="79"/>
        <v>317</v>
      </c>
      <c r="B319" s="17">
        <f t="shared" si="75"/>
        <v>27</v>
      </c>
      <c r="C319" s="23">
        <f>IFERROR(IPMT(Assumptions!$D$16/12,Model_30y!A319, 360,Assumptions!$D$8), 0)</f>
        <v>-478.9407082681418</v>
      </c>
      <c r="D319" s="2">
        <f>IFERROR(PPMT(Assumptions!$D$16/12, Model_30y!A319, 360, Assumptions!$D$8), 0)</f>
        <v>-1719.5169246647961</v>
      </c>
      <c r="E319" s="2">
        <f t="shared" si="69"/>
        <v>-2198.4576329329379</v>
      </c>
      <c r="F319" s="2">
        <f>IF(I318&gt;1, Assumptions!$E$18, 0)*-1</f>
        <v>-2198.4576329329379</v>
      </c>
      <c r="G319" s="24">
        <f t="shared" si="70"/>
        <v>1</v>
      </c>
      <c r="H319" s="20">
        <f t="shared" si="76"/>
        <v>256194.39044821094</v>
      </c>
      <c r="I319" s="2">
        <f>MAX(Assumptions!$D$8-SUM(Model_30y!H319), 0)</f>
        <v>83805.609551789064</v>
      </c>
      <c r="J319" s="2">
        <f>J318*(1+(Assumptions!$E$51))</f>
        <v>1542196.0288422736</v>
      </c>
      <c r="K319" s="22">
        <f t="shared" si="71"/>
        <v>1458390.4192904846</v>
      </c>
      <c r="L319" s="5">
        <f t="shared" si="77"/>
        <v>341194.3904482107</v>
      </c>
      <c r="M319" s="63">
        <f>L319/Assumptions!$D$6</f>
        <v>0.80281033046637817</v>
      </c>
      <c r="N319" s="24">
        <f t="shared" si="85"/>
        <v>0</v>
      </c>
      <c r="O319" s="5">
        <f>N319*Assumptions!$E$25*-1</f>
        <v>0</v>
      </c>
      <c r="P319" s="20">
        <f>Assumptions!$E$35*J319*-1</f>
        <v>-3176.6713154167569</v>
      </c>
      <c r="Q319" s="5">
        <f>J319*Assumptions!$E$36*-1</f>
        <v>-1279.3103857179592</v>
      </c>
      <c r="R319" s="5">
        <f>(R307+(Model_30y!R307*Assumptions!$D$51))</f>
        <v>-1155.2973175245863</v>
      </c>
      <c r="S319" s="5">
        <f>S307+(S307*Assumptions!$D$51)</f>
        <v>0</v>
      </c>
      <c r="T319" s="5">
        <f t="shared" si="80"/>
        <v>0</v>
      </c>
      <c r="U319" s="22">
        <f t="shared" si="72"/>
        <v>-5611.279018659302</v>
      </c>
      <c r="V319" s="5">
        <f>MAX(Assumptions!$E$18:$E$19)-U319</f>
        <v>8452.9120304579992</v>
      </c>
      <c r="W319" s="5">
        <f t="shared" si="73"/>
        <v>-2198.4576329329379</v>
      </c>
      <c r="X319" s="5">
        <f t="shared" si="78"/>
        <v>-5611.279018659302</v>
      </c>
      <c r="Y319" s="5">
        <f>C319*Assumptions!$D$44*-1</f>
        <v>71.841106240221265</v>
      </c>
      <c r="Z319" s="5">
        <f t="shared" si="74"/>
        <v>715.01648510598102</v>
      </c>
      <c r="AA319" s="5">
        <f t="shared" si="81"/>
        <v>980727.06611264183</v>
      </c>
      <c r="AB319" s="3">
        <f>Assumptions!$E$45</f>
        <v>6.9899151946608562E-3</v>
      </c>
      <c r="AC319" s="5">
        <f t="shared" si="82"/>
        <v>988297.28161898372</v>
      </c>
      <c r="AD319" s="5">
        <f>AC319*Assumptions!$E$43</f>
        <v>885.09483159732622</v>
      </c>
      <c r="AE319" s="2">
        <f>AD319*Assumptions!$D$44*-1</f>
        <v>-132.76422473959892</v>
      </c>
      <c r="AF319" s="2">
        <f>AC319*Assumptions!$E$46*-1</f>
        <v>-32.937204669214381</v>
      </c>
      <c r="AG319" s="22">
        <f t="shared" si="83"/>
        <v>988131.58018957486</v>
      </c>
      <c r="AH319" s="5">
        <f>Model_30y[[#This Row],[Mortgage Payment]]+Model_30y[[#This Row],[Total Upkeep]]+Model_30y[[#This Row],[Monthly Investment]]</f>
        <v>-7094.7201664862596</v>
      </c>
      <c r="AI319" s="5">
        <f>Model_Renter!D319*-1</f>
        <v>7159.4811228126755</v>
      </c>
      <c r="AJ319" s="5">
        <f t="shared" si="84"/>
        <v>64.760956326415908</v>
      </c>
    </row>
    <row r="320" spans="1:36" x14ac:dyDescent="0.25">
      <c r="A320" s="17">
        <f t="shared" si="79"/>
        <v>318</v>
      </c>
      <c r="B320" s="17">
        <f t="shared" si="75"/>
        <v>27</v>
      </c>
      <c r="C320" s="23">
        <f>IFERROR(IPMT(Assumptions!$D$16/12,Model_30y!A320, 360,Assumptions!$D$8), 0)</f>
        <v>-469.31141349001894</v>
      </c>
      <c r="D320" s="2">
        <f>IFERROR(PPMT(Assumptions!$D$16/12, Model_30y!A320, 360, Assumptions!$D$8), 0)</f>
        <v>-1729.1462194429189</v>
      </c>
      <c r="E320" s="2">
        <f t="shared" si="69"/>
        <v>-2198.4576329329379</v>
      </c>
      <c r="F320" s="2">
        <f>IF(I319&gt;1, Assumptions!$E$18, 0)*-1</f>
        <v>-2198.4576329329379</v>
      </c>
      <c r="G320" s="24">
        <f t="shared" si="70"/>
        <v>1</v>
      </c>
      <c r="H320" s="20">
        <f t="shared" si="76"/>
        <v>257923.53666765385</v>
      </c>
      <c r="I320" s="2">
        <f>MAX(Assumptions!$D$8-SUM(Model_30y!H320), 0)</f>
        <v>82076.463332346146</v>
      </c>
      <c r="J320" s="2">
        <f>J319*(1+(Assumptions!$E$51))</f>
        <v>1548479.1263624281</v>
      </c>
      <c r="K320" s="22">
        <f t="shared" si="71"/>
        <v>1466402.6630300819</v>
      </c>
      <c r="L320" s="5">
        <f t="shared" si="77"/>
        <v>342923.53666765365</v>
      </c>
      <c r="M320" s="63">
        <f>L320/Assumptions!$D$6</f>
        <v>0.80687890980624388</v>
      </c>
      <c r="N320" s="24">
        <f t="shared" si="85"/>
        <v>0</v>
      </c>
      <c r="O320" s="5">
        <f>N320*Assumptions!$E$25*-1</f>
        <v>0</v>
      </c>
      <c r="P320" s="20">
        <f>Assumptions!$E$35*J320*-1</f>
        <v>-3189.6134675757298</v>
      </c>
      <c r="Q320" s="5">
        <f>J320*Assumptions!$E$36*-1</f>
        <v>-1284.5224545870813</v>
      </c>
      <c r="R320" s="5">
        <f>(R308+(Model_30y!R308*Assumptions!$D$51))</f>
        <v>-1155.2973175245863</v>
      </c>
      <c r="S320" s="5">
        <f>S308+(S308*Assumptions!$D$51)</f>
        <v>0</v>
      </c>
      <c r="T320" s="5">
        <f t="shared" si="80"/>
        <v>0</v>
      </c>
      <c r="U320" s="22">
        <f t="shared" si="72"/>
        <v>-5629.433239687397</v>
      </c>
      <c r="V320" s="5">
        <f>MAX(Assumptions!$E$18:$E$19)-U320</f>
        <v>8471.0662514860942</v>
      </c>
      <c r="W320" s="5">
        <f t="shared" si="73"/>
        <v>-2198.4576329329379</v>
      </c>
      <c r="X320" s="5">
        <f t="shared" si="78"/>
        <v>-5629.433239687397</v>
      </c>
      <c r="Y320" s="5">
        <f>C320*Assumptions!$D$44*-1</f>
        <v>70.396712023502843</v>
      </c>
      <c r="Z320" s="5">
        <f t="shared" si="74"/>
        <v>713.57209088926254</v>
      </c>
      <c r="AA320" s="5">
        <f t="shared" si="81"/>
        <v>988131.58018957486</v>
      </c>
      <c r="AB320" s="3">
        <f>Assumptions!$E$45</f>
        <v>6.9899151946608562E-3</v>
      </c>
      <c r="AC320" s="5">
        <f t="shared" si="82"/>
        <v>995752.1082271554</v>
      </c>
      <c r="AD320" s="5">
        <f>AC320*Assumptions!$E$43</f>
        <v>891.77119166030047</v>
      </c>
      <c r="AE320" s="2">
        <f>AD320*Assumptions!$D$44*-1</f>
        <v>-133.76567874904507</v>
      </c>
      <c r="AF320" s="2">
        <f>AC320*Assumptions!$E$46*-1</f>
        <v>-33.185653343852671</v>
      </c>
      <c r="AG320" s="22">
        <f t="shared" si="83"/>
        <v>995585.15689506254</v>
      </c>
      <c r="AH320" s="5">
        <f>Model_30y[[#This Row],[Mortgage Payment]]+Model_30y[[#This Row],[Total Upkeep]]+Model_30y[[#This Row],[Monthly Investment]]</f>
        <v>-7114.3187817310727</v>
      </c>
      <c r="AI320" s="5">
        <f>Model_Renter!D320*-1</f>
        <v>7159.4811228126755</v>
      </c>
      <c r="AJ320" s="5">
        <f t="shared" si="84"/>
        <v>45.16234108160279</v>
      </c>
    </row>
    <row r="321" spans="1:36" x14ac:dyDescent="0.25">
      <c r="A321" s="17">
        <f t="shared" si="79"/>
        <v>319</v>
      </c>
      <c r="B321" s="17">
        <f t="shared" si="75"/>
        <v>27</v>
      </c>
      <c r="C321" s="23">
        <f>IFERROR(IPMT(Assumptions!$D$16/12,Model_30y!A321, 360,Assumptions!$D$8), 0)</f>
        <v>-459.62819466113859</v>
      </c>
      <c r="D321" s="2">
        <f>IFERROR(PPMT(Assumptions!$D$16/12, Model_30y!A321, 360, Assumptions!$D$8), 0)</f>
        <v>-1738.8294382717993</v>
      </c>
      <c r="E321" s="2">
        <f t="shared" si="69"/>
        <v>-2198.4576329329379</v>
      </c>
      <c r="F321" s="2">
        <f>IF(I320&gt;1, Assumptions!$E$18, 0)*-1</f>
        <v>-2198.4576329329379</v>
      </c>
      <c r="G321" s="24">
        <f t="shared" si="70"/>
        <v>1</v>
      </c>
      <c r="H321" s="20">
        <f t="shared" si="76"/>
        <v>259662.36610592564</v>
      </c>
      <c r="I321" s="2">
        <f>MAX(Assumptions!$D$8-SUM(Model_30y!H321), 0)</f>
        <v>80337.633894074359</v>
      </c>
      <c r="J321" s="2">
        <f>J320*(1+(Assumptions!$E$51))</f>
        <v>1554787.8219996244</v>
      </c>
      <c r="K321" s="22">
        <f t="shared" si="71"/>
        <v>1474450.1881055501</v>
      </c>
      <c r="L321" s="5">
        <f t="shared" si="77"/>
        <v>344662.36610592547</v>
      </c>
      <c r="M321" s="63">
        <f>L321/Assumptions!$D$6</f>
        <v>0.81097027319041282</v>
      </c>
      <c r="N321" s="24">
        <f t="shared" si="85"/>
        <v>0</v>
      </c>
      <c r="O321" s="5">
        <f>N321*Assumptions!$E$25*-1</f>
        <v>0</v>
      </c>
      <c r="P321" s="20">
        <f>Assumptions!$E$35*J321*-1</f>
        <v>-3202.6083476646254</v>
      </c>
      <c r="Q321" s="5">
        <f>J321*Assumptions!$E$36*-1</f>
        <v>-1289.7557580699449</v>
      </c>
      <c r="R321" s="5">
        <f>(R309+(Model_30y!R309*Assumptions!$D$51))</f>
        <v>-1155.2973175245863</v>
      </c>
      <c r="S321" s="5">
        <f>S309+(S309*Assumptions!$D$51)</f>
        <v>0</v>
      </c>
      <c r="T321" s="5">
        <f t="shared" si="80"/>
        <v>0</v>
      </c>
      <c r="U321" s="22">
        <f t="shared" si="72"/>
        <v>-5647.6614232591564</v>
      </c>
      <c r="V321" s="5">
        <f>MAX(Assumptions!$E$18:$E$19)-U321</f>
        <v>8489.2944350578528</v>
      </c>
      <c r="W321" s="5">
        <f t="shared" si="73"/>
        <v>-2198.4576329329379</v>
      </c>
      <c r="X321" s="5">
        <f t="shared" si="78"/>
        <v>-5647.6614232591564</v>
      </c>
      <c r="Y321" s="5">
        <f>C321*Assumptions!$D$44*-1</f>
        <v>68.944229199170792</v>
      </c>
      <c r="Z321" s="5">
        <f t="shared" si="74"/>
        <v>712.11960806492959</v>
      </c>
      <c r="AA321" s="5">
        <f t="shared" si="81"/>
        <v>995585.15689506254</v>
      </c>
      <c r="AB321" s="3">
        <f>Assumptions!$E$45</f>
        <v>6.9899151946608562E-3</v>
      </c>
      <c r="AC321" s="5">
        <f t="shared" si="82"/>
        <v>1003256.332318887</v>
      </c>
      <c r="AD321" s="5">
        <f>AC321*Assumptions!$E$43</f>
        <v>898.49179089928566</v>
      </c>
      <c r="AE321" s="2">
        <f>AD321*Assumptions!$D$44*-1</f>
        <v>-134.77376863489283</v>
      </c>
      <c r="AF321" s="2">
        <f>AC321*Assumptions!$E$46*-1</f>
        <v>-33.435748299479897</v>
      </c>
      <c r="AG321" s="22">
        <f t="shared" si="83"/>
        <v>1003088.1228019526</v>
      </c>
      <c r="AH321" s="5">
        <f>Model_30y[[#This Row],[Mortgage Payment]]+Model_30y[[#This Row],[Total Upkeep]]+Model_30y[[#This Row],[Monthly Investment]]</f>
        <v>-7133.9994481271642</v>
      </c>
      <c r="AI321" s="5">
        <f>Model_Renter!D321*-1</f>
        <v>7159.4811228126755</v>
      </c>
      <c r="AJ321" s="5">
        <f t="shared" si="84"/>
        <v>25.48167468551128</v>
      </c>
    </row>
    <row r="322" spans="1:36" x14ac:dyDescent="0.25">
      <c r="A322" s="17">
        <f t="shared" si="79"/>
        <v>320</v>
      </c>
      <c r="B322" s="17">
        <f t="shared" si="75"/>
        <v>27</v>
      </c>
      <c r="C322" s="23">
        <f>IFERROR(IPMT(Assumptions!$D$16/12,Model_30y!A322, 360,Assumptions!$D$8), 0)</f>
        <v>-449.89074980681647</v>
      </c>
      <c r="D322" s="2">
        <f>IFERROR(PPMT(Assumptions!$D$16/12, Model_30y!A322, 360, Assumptions!$D$8), 0)</f>
        <v>-1748.5668831261214</v>
      </c>
      <c r="E322" s="2">
        <f t="shared" ref="E322:E385" si="86">SUM(C322:D322)</f>
        <v>-2198.4576329329379</v>
      </c>
      <c r="F322" s="2">
        <f>IF(I321&gt;1, Assumptions!$E$18, 0)*-1</f>
        <v>-2198.4576329329379</v>
      </c>
      <c r="G322" s="24">
        <f t="shared" ref="G322:G385" si="87">IF(E322+F322&lt;1, 1, 0)</f>
        <v>1</v>
      </c>
      <c r="H322" s="20">
        <f t="shared" si="76"/>
        <v>261410.93298905177</v>
      </c>
      <c r="I322" s="2">
        <f>MAX(Assumptions!$D$8-SUM(Model_30y!H322), 0)</f>
        <v>78589.067010948231</v>
      </c>
      <c r="J322" s="2">
        <f>J321*(1+(Assumptions!$E$51))</f>
        <v>1561122.2200437598</v>
      </c>
      <c r="K322" s="22">
        <f t="shared" ref="K322:K385" si="88">(J322-I322)</f>
        <v>1482533.1530328116</v>
      </c>
      <c r="L322" s="5">
        <f t="shared" si="77"/>
        <v>346410.93298905157</v>
      </c>
      <c r="M322" s="63">
        <f>L322/Assumptions!$D$6</f>
        <v>0.81508454820953313</v>
      </c>
      <c r="N322" s="24">
        <f t="shared" si="85"/>
        <v>0</v>
      </c>
      <c r="O322" s="5">
        <f>N322*Assumptions!$E$25*-1</f>
        <v>0</v>
      </c>
      <c r="P322" s="20">
        <f>Assumptions!$E$35*J322*-1</f>
        <v>-3215.6561705035565</v>
      </c>
      <c r="Q322" s="5">
        <f>J322*Assumptions!$E$36*-1</f>
        <v>-1295.010382678995</v>
      </c>
      <c r="R322" s="5">
        <f>(R310+(Model_30y!R310*Assumptions!$D$51))</f>
        <v>-1155.2973175245863</v>
      </c>
      <c r="S322" s="5">
        <f>S310+(S310*Assumptions!$D$51)</f>
        <v>0</v>
      </c>
      <c r="T322" s="5">
        <f t="shared" si="80"/>
        <v>0</v>
      </c>
      <c r="U322" s="22">
        <f t="shared" ref="U322:U385" si="89">SUM(P322:T322)</f>
        <v>-5665.9638707071372</v>
      </c>
      <c r="V322" s="5">
        <f>MAX(Assumptions!$E$18:$E$19)-U322</f>
        <v>8507.5968825058335</v>
      </c>
      <c r="W322" s="5">
        <f t="shared" ref="W322:W385" si="90">F322</f>
        <v>-2198.4576329329379</v>
      </c>
      <c r="X322" s="5">
        <f t="shared" si="78"/>
        <v>-5665.9638707071372</v>
      </c>
      <c r="Y322" s="5">
        <f>C322*Assumptions!$D$44*-1</f>
        <v>67.483612471022468</v>
      </c>
      <c r="Z322" s="5">
        <f t="shared" ref="Z322:Z385" si="91">SUM(V322:Y322)</f>
        <v>710.65899133678136</v>
      </c>
      <c r="AA322" s="5">
        <f t="shared" si="81"/>
        <v>1003088.1228019526</v>
      </c>
      <c r="AB322" s="3">
        <f>Assumptions!$E$45</f>
        <v>6.9899151946608562E-3</v>
      </c>
      <c r="AC322" s="5">
        <f t="shared" si="82"/>
        <v>1010810.2827044467</v>
      </c>
      <c r="AD322" s="5">
        <f>AC322*Assumptions!$E$43</f>
        <v>905.25692378870224</v>
      </c>
      <c r="AE322" s="2">
        <f>AD322*Assumptions!$D$44*-1</f>
        <v>-135.78853856830534</v>
      </c>
      <c r="AF322" s="2">
        <f>AC322*Assumptions!$E$46*-1</f>
        <v>-33.687500494429472</v>
      </c>
      <c r="AG322" s="22">
        <f t="shared" si="83"/>
        <v>1010640.806665384</v>
      </c>
      <c r="AH322" s="5">
        <f>Model_30y[[#This Row],[Mortgage Payment]]+Model_30y[[#This Row],[Total Upkeep]]+Model_30y[[#This Row],[Monthly Investment]]</f>
        <v>-7153.7625123032931</v>
      </c>
      <c r="AI322" s="5">
        <f>Model_Renter!D322*-1</f>
        <v>7159.4811228126755</v>
      </c>
      <c r="AJ322" s="5">
        <f t="shared" si="84"/>
        <v>5.7186105093824153</v>
      </c>
    </row>
    <row r="323" spans="1:36" x14ac:dyDescent="0.25">
      <c r="A323" s="17">
        <f t="shared" si="79"/>
        <v>321</v>
      </c>
      <c r="B323" s="17">
        <f t="shared" ref="B323:B386" si="92">ROUNDUP(A323/12,0)</f>
        <v>27</v>
      </c>
      <c r="C323" s="23">
        <f>IFERROR(IPMT(Assumptions!$D$16/12,Model_30y!A323, 360,Assumptions!$D$8), 0)</f>
        <v>-440.0987752613101</v>
      </c>
      <c r="D323" s="2">
        <f>IFERROR(PPMT(Assumptions!$D$16/12, Model_30y!A323, 360, Assumptions!$D$8), 0)</f>
        <v>-1758.3588576716277</v>
      </c>
      <c r="E323" s="2">
        <f t="shared" si="86"/>
        <v>-2198.4576329329379</v>
      </c>
      <c r="F323" s="2">
        <f>IF(I322&gt;1, Assumptions!$E$18, 0)*-1</f>
        <v>-2198.4576329329379</v>
      </c>
      <c r="G323" s="24">
        <f t="shared" si="87"/>
        <v>1</v>
      </c>
      <c r="H323" s="20">
        <f t="shared" ref="H323:H386" si="93">H322+D323*-1</f>
        <v>263169.29184672341</v>
      </c>
      <c r="I323" s="2">
        <f>MAX(Assumptions!$D$8-SUM(Model_30y!H323), 0)</f>
        <v>76830.708153276588</v>
      </c>
      <c r="J323" s="2">
        <f>J322*(1+(Assumptions!$E$51))</f>
        <v>1567482.4252096219</v>
      </c>
      <c r="K323" s="22">
        <f t="shared" si="88"/>
        <v>1490651.7170563452</v>
      </c>
      <c r="L323" s="5">
        <f t="shared" ref="L323:L386" si="94">L322+D323*-1</f>
        <v>348169.29184672318</v>
      </c>
      <c r="M323" s="63">
        <f>L323/Assumptions!$D$6</f>
        <v>0.81922186316876044</v>
      </c>
      <c r="N323" s="24">
        <f t="shared" si="85"/>
        <v>0</v>
      </c>
      <c r="O323" s="5">
        <f>N323*Assumptions!$E$25*-1</f>
        <v>0</v>
      </c>
      <c r="P323" s="20">
        <f>Assumptions!$E$35*J323*-1</f>
        <v>-3228.7571517878405</v>
      </c>
      <c r="Q323" s="5">
        <f>J323*Assumptions!$E$36*-1</f>
        <v>-1300.286415279139</v>
      </c>
      <c r="R323" s="5">
        <f>(R311+(Model_30y!R311*Assumptions!$D$51))</f>
        <v>-1155.2973175245863</v>
      </c>
      <c r="S323" s="5">
        <f>S311+(S311*Assumptions!$D$51)</f>
        <v>0</v>
      </c>
      <c r="T323" s="5">
        <f t="shared" si="80"/>
        <v>0</v>
      </c>
      <c r="U323" s="22">
        <f t="shared" si="89"/>
        <v>-5684.3408845915656</v>
      </c>
      <c r="V323" s="5">
        <f>MAX(Assumptions!$E$18:$E$19)-U323</f>
        <v>8525.9738963902619</v>
      </c>
      <c r="W323" s="5">
        <f t="shared" si="90"/>
        <v>-2198.4576329329379</v>
      </c>
      <c r="X323" s="5">
        <f t="shared" ref="X323:X386" si="95">U323</f>
        <v>-5684.3408845915656</v>
      </c>
      <c r="Y323" s="5">
        <f>C323*Assumptions!$D$44*-1</f>
        <v>66.014816289196517</v>
      </c>
      <c r="Z323" s="5">
        <f t="shared" si="91"/>
        <v>709.19019515495529</v>
      </c>
      <c r="AA323" s="5">
        <f t="shared" si="81"/>
        <v>1010640.806665384</v>
      </c>
      <c r="AB323" s="3">
        <f>Assumptions!$E$45</f>
        <v>6.9899151946608562E-3</v>
      </c>
      <c r="AC323" s="5">
        <f t="shared" si="82"/>
        <v>1018414.2903913936</v>
      </c>
      <c r="AD323" s="5">
        <f>AC323*Assumptions!$E$43</f>
        <v>912.06688677081002</v>
      </c>
      <c r="AE323" s="2">
        <f>AD323*Assumptions!$D$44*-1</f>
        <v>-136.81003301562149</v>
      </c>
      <c r="AF323" s="2">
        <f>AC323*Assumptions!$E$46*-1</f>
        <v>-33.940920960264371</v>
      </c>
      <c r="AG323" s="22">
        <f t="shared" si="83"/>
        <v>1018243.5394374178</v>
      </c>
      <c r="AH323" s="5">
        <f>Model_30y[[#This Row],[Mortgage Payment]]+Model_30y[[#This Row],[Total Upkeep]]+Model_30y[[#This Row],[Monthly Investment]]</f>
        <v>-7173.6083223695477</v>
      </c>
      <c r="AI323" s="5">
        <f>Model_Renter!D323*-1</f>
        <v>7159.4811228126755</v>
      </c>
      <c r="AJ323" s="5">
        <f t="shared" si="84"/>
        <v>-14.127199556872256</v>
      </c>
    </row>
    <row r="324" spans="1:36" x14ac:dyDescent="0.25">
      <c r="A324" s="17">
        <f t="shared" ref="A324:A387" si="96">A323+1</f>
        <v>322</v>
      </c>
      <c r="B324" s="17">
        <f t="shared" si="92"/>
        <v>27</v>
      </c>
      <c r="C324" s="23">
        <f>IFERROR(IPMT(Assumptions!$D$16/12,Model_30y!A324, 360,Assumptions!$D$8), 0)</f>
        <v>-430.25196565834915</v>
      </c>
      <c r="D324" s="2">
        <f>IFERROR(PPMT(Assumptions!$D$16/12, Model_30y!A324, 360, Assumptions!$D$8), 0)</f>
        <v>-1768.2056672745887</v>
      </c>
      <c r="E324" s="2">
        <f t="shared" si="86"/>
        <v>-2198.4576329329379</v>
      </c>
      <c r="F324" s="2">
        <f>IF(I323&gt;1, Assumptions!$E$18, 0)*-1</f>
        <v>-2198.4576329329379</v>
      </c>
      <c r="G324" s="24">
        <f t="shared" si="87"/>
        <v>1</v>
      </c>
      <c r="H324" s="20">
        <f t="shared" si="93"/>
        <v>264937.49751399801</v>
      </c>
      <c r="I324" s="2">
        <f>MAX(Assumptions!$D$8-SUM(Model_30y!H324), 0)</f>
        <v>75062.502486001991</v>
      </c>
      <c r="J324" s="2">
        <f>J323*(1+(Assumptions!$E$51))</f>
        <v>1573868.5426386192</v>
      </c>
      <c r="K324" s="22">
        <f t="shared" si="88"/>
        <v>1498806.0401526173</v>
      </c>
      <c r="L324" s="5">
        <f t="shared" si="94"/>
        <v>349937.49751399778</v>
      </c>
      <c r="M324" s="63">
        <f>L324/Assumptions!$D$6</f>
        <v>0.8233823470917595</v>
      </c>
      <c r="N324" s="24">
        <f t="shared" si="85"/>
        <v>0</v>
      </c>
      <c r="O324" s="5">
        <f>N324*Assumptions!$E$25*-1</f>
        <v>0</v>
      </c>
      <c r="P324" s="20">
        <f>Assumptions!$E$35*J324*-1</f>
        <v>-3241.911508091564</v>
      </c>
      <c r="Q324" s="5">
        <f>J324*Assumptions!$E$36*-1</f>
        <v>-1305.5839430891826</v>
      </c>
      <c r="R324" s="5">
        <f>(R312+(Model_30y!R312*Assumptions!$D$51))</f>
        <v>-1155.2973175245863</v>
      </c>
      <c r="S324" s="5">
        <f>S312+(S312*Assumptions!$D$51)</f>
        <v>0</v>
      </c>
      <c r="T324" s="5">
        <f t="shared" ref="T324:T387" si="97">O324</f>
        <v>0</v>
      </c>
      <c r="U324" s="22">
        <f t="shared" si="89"/>
        <v>-5702.7927687053325</v>
      </c>
      <c r="V324" s="5">
        <f>MAX(Assumptions!$E$18:$E$19)-U324</f>
        <v>8544.4257805040288</v>
      </c>
      <c r="W324" s="5">
        <f t="shared" si="90"/>
        <v>-2198.4576329329379</v>
      </c>
      <c r="X324" s="5">
        <f t="shared" si="95"/>
        <v>-5702.7927687053325</v>
      </c>
      <c r="Y324" s="5">
        <f>C324*Assumptions!$D$44*-1</f>
        <v>64.53779484875237</v>
      </c>
      <c r="Z324" s="5">
        <f t="shared" si="91"/>
        <v>707.71317371451119</v>
      </c>
      <c r="AA324" s="5">
        <f t="shared" ref="AA324:AA387" si="98">AG323</f>
        <v>1018243.5394374178</v>
      </c>
      <c r="AB324" s="3">
        <f>Assumptions!$E$45</f>
        <v>6.9899151946608562E-3</v>
      </c>
      <c r="AC324" s="5">
        <f t="shared" ref="AC324:AC387" si="99">(AA324+Z324)+(AA324*AB324)</f>
        <v>1026068.688599311</v>
      </c>
      <c r="AD324" s="5">
        <f>AC324*Assumptions!$E$43</f>
        <v>918.9219782689039</v>
      </c>
      <c r="AE324" s="2">
        <f>AD324*Assumptions!$D$44*-1</f>
        <v>-137.83829674033558</v>
      </c>
      <c r="AF324" s="2">
        <f>AC324*Assumptions!$E$46*-1</f>
        <v>-34.196020802268229</v>
      </c>
      <c r="AG324" s="22">
        <f t="shared" ref="AG324:AG387" si="100">AC324+SUM(AE324:AF324)</f>
        <v>1025896.6542817685</v>
      </c>
      <c r="AH324" s="5">
        <f>Model_30y[[#This Row],[Mortgage Payment]]+Model_30y[[#This Row],[Total Upkeep]]+Model_30y[[#This Row],[Monthly Investment]]</f>
        <v>-7193.537227923759</v>
      </c>
      <c r="AI324" s="5">
        <f>Model_Renter!D324*-1</f>
        <v>7159.4811228126755</v>
      </c>
      <c r="AJ324" s="5">
        <f t="shared" ref="AJ324:AJ387" si="101">SUM(AH324:AI324)</f>
        <v>-34.056105111083525</v>
      </c>
    </row>
    <row r="325" spans="1:36" x14ac:dyDescent="0.25">
      <c r="A325" s="17">
        <f t="shared" si="96"/>
        <v>323</v>
      </c>
      <c r="B325" s="17">
        <f t="shared" si="92"/>
        <v>27</v>
      </c>
      <c r="C325" s="23">
        <f>IFERROR(IPMT(Assumptions!$D$16/12,Model_30y!A325, 360,Assumptions!$D$8), 0)</f>
        <v>-420.35001392161132</v>
      </c>
      <c r="D325" s="2">
        <f>IFERROR(PPMT(Assumptions!$D$16/12, Model_30y!A325, 360, Assumptions!$D$8), 0)</f>
        <v>-1778.1076190113265</v>
      </c>
      <c r="E325" s="2">
        <f t="shared" si="86"/>
        <v>-2198.4576329329379</v>
      </c>
      <c r="F325" s="2">
        <f>IF(I324&gt;1, Assumptions!$E$18, 0)*-1</f>
        <v>-2198.4576329329379</v>
      </c>
      <c r="G325" s="24">
        <f t="shared" si="87"/>
        <v>1</v>
      </c>
      <c r="H325" s="20">
        <f t="shared" si="93"/>
        <v>266715.60513300932</v>
      </c>
      <c r="I325" s="2">
        <f>MAX(Assumptions!$D$8-SUM(Model_30y!H325), 0)</f>
        <v>73284.394866990682</v>
      </c>
      <c r="J325" s="2">
        <f>J324*(1+(Assumptions!$E$51))</f>
        <v>1580280.6779005192</v>
      </c>
      <c r="K325" s="22">
        <f t="shared" si="88"/>
        <v>1506996.2830335286</v>
      </c>
      <c r="L325" s="5">
        <f t="shared" si="94"/>
        <v>351715.60513300908</v>
      </c>
      <c r="M325" s="63">
        <f>L325/Assumptions!$D$6</f>
        <v>0.82756612972472721</v>
      </c>
      <c r="N325" s="24">
        <f t="shared" si="85"/>
        <v>0</v>
      </c>
      <c r="O325" s="5">
        <f>N325*Assumptions!$E$25*-1</f>
        <v>0</v>
      </c>
      <c r="P325" s="20">
        <f>Assumptions!$E$35*J325*-1</f>
        <v>-3255.1194568711635</v>
      </c>
      <c r="Q325" s="5">
        <f>J325*Assumptions!$E$36*-1</f>
        <v>-1310.9030536832715</v>
      </c>
      <c r="R325" s="5">
        <f>(R313+(Model_30y!R313*Assumptions!$D$51))</f>
        <v>-1155.2973175245863</v>
      </c>
      <c r="S325" s="5">
        <f>S313+(S313*Assumptions!$D$51)</f>
        <v>0</v>
      </c>
      <c r="T325" s="5">
        <f t="shared" si="97"/>
        <v>0</v>
      </c>
      <c r="U325" s="22">
        <f t="shared" si="89"/>
        <v>-5721.3198280790211</v>
      </c>
      <c r="V325" s="5">
        <f>MAX(Assumptions!$E$18:$E$19)-U325</f>
        <v>8562.9528398777184</v>
      </c>
      <c r="W325" s="5">
        <f t="shared" si="90"/>
        <v>-2198.4576329329379</v>
      </c>
      <c r="X325" s="5">
        <f t="shared" si="95"/>
        <v>-5721.3198280790211</v>
      </c>
      <c r="Y325" s="5">
        <f>C325*Assumptions!$D$44*-1</f>
        <v>63.052502088241695</v>
      </c>
      <c r="Z325" s="5">
        <f t="shared" si="91"/>
        <v>706.22788095400142</v>
      </c>
      <c r="AA325" s="5">
        <f t="shared" si="98"/>
        <v>1025896.6542817685</v>
      </c>
      <c r="AB325" s="3">
        <f>Assumptions!$E$45</f>
        <v>6.9899151946608562E-3</v>
      </c>
      <c r="AC325" s="5">
        <f t="shared" si="99"/>
        <v>1033773.8127746384</v>
      </c>
      <c r="AD325" s="5">
        <f>AC325*Assumptions!$E$43</f>
        <v>925.82249870059627</v>
      </c>
      <c r="AE325" s="2">
        <f>AD325*Assumptions!$D$44*-1</f>
        <v>-138.87337480508944</v>
      </c>
      <c r="AF325" s="2">
        <f>AC325*Assumptions!$E$46*-1</f>
        <v>-34.452811199939596</v>
      </c>
      <c r="AG325" s="22">
        <f t="shared" si="100"/>
        <v>1033600.4865886334</v>
      </c>
      <c r="AH325" s="5">
        <f>Model_30y[[#This Row],[Mortgage Payment]]+Model_30y[[#This Row],[Total Upkeep]]+Model_30y[[#This Row],[Monthly Investment]]</f>
        <v>-7213.5495800579583</v>
      </c>
      <c r="AI325" s="5">
        <f>Model_Renter!D325*-1</f>
        <v>7159.4811228126755</v>
      </c>
      <c r="AJ325" s="5">
        <f t="shared" si="101"/>
        <v>-54.068457245282843</v>
      </c>
    </row>
    <row r="326" spans="1:36" x14ac:dyDescent="0.25">
      <c r="A326" s="17">
        <f t="shared" si="96"/>
        <v>324</v>
      </c>
      <c r="B326" s="17">
        <f t="shared" si="92"/>
        <v>27</v>
      </c>
      <c r="C326" s="23">
        <f>IFERROR(IPMT(Assumptions!$D$16/12,Model_30y!A326, 360,Assumptions!$D$8), 0)</f>
        <v>-410.39261125514798</v>
      </c>
      <c r="D326" s="2">
        <f>IFERROR(PPMT(Assumptions!$D$16/12, Model_30y!A326, 360, Assumptions!$D$8), 0)</f>
        <v>-1788.0650216777901</v>
      </c>
      <c r="E326" s="2">
        <f t="shared" si="86"/>
        <v>-2198.4576329329379</v>
      </c>
      <c r="F326" s="2">
        <f>IF(I325&gt;1, Assumptions!$E$18, 0)*-1</f>
        <v>-2198.4576329329379</v>
      </c>
      <c r="G326" s="24">
        <f t="shared" si="87"/>
        <v>1</v>
      </c>
      <c r="H326" s="20">
        <f t="shared" si="93"/>
        <v>268503.67015468713</v>
      </c>
      <c r="I326" s="2">
        <f>MAX(Assumptions!$D$8-SUM(Model_30y!H326), 0)</f>
        <v>71496.329845312866</v>
      </c>
      <c r="J326" s="2">
        <f>J325*(1+(Assumptions!$E$51))</f>
        <v>1586718.9369951936</v>
      </c>
      <c r="K326" s="22">
        <f t="shared" si="88"/>
        <v>1515222.6071498808</v>
      </c>
      <c r="L326" s="5">
        <f t="shared" si="94"/>
        <v>353503.6701546869</v>
      </c>
      <c r="M326" s="63">
        <f>L326/Assumptions!$D$6</f>
        <v>0.8317733415404398</v>
      </c>
      <c r="N326" s="24">
        <f t="shared" si="85"/>
        <v>0</v>
      </c>
      <c r="O326" s="5">
        <f>N326*Assumptions!$E$25*-1</f>
        <v>0</v>
      </c>
      <c r="P326" s="20">
        <f>Assumptions!$E$35*J326*-1</f>
        <v>-3268.3812164690185</v>
      </c>
      <c r="Q326" s="5">
        <f>J326*Assumptions!$E$36*-1</f>
        <v>-1316.2438349923398</v>
      </c>
      <c r="R326" s="5">
        <f>(R314+(Model_30y!R314*Assumptions!$D$51))</f>
        <v>-1155.2973175245863</v>
      </c>
      <c r="S326" s="5">
        <f>S314+(S314*Assumptions!$D$51)</f>
        <v>0</v>
      </c>
      <c r="T326" s="5">
        <f t="shared" si="97"/>
        <v>0</v>
      </c>
      <c r="U326" s="22">
        <f t="shared" si="89"/>
        <v>-5739.9223689859446</v>
      </c>
      <c r="V326" s="5">
        <f>MAX(Assumptions!$E$18:$E$19)-U326</f>
        <v>8581.5553807846409</v>
      </c>
      <c r="W326" s="5">
        <f t="shared" si="90"/>
        <v>-2198.4576329329379</v>
      </c>
      <c r="X326" s="5">
        <f t="shared" si="95"/>
        <v>-5739.9223689859446</v>
      </c>
      <c r="Y326" s="5">
        <f>C326*Assumptions!$D$44*-1</f>
        <v>61.558891688272197</v>
      </c>
      <c r="Z326" s="5">
        <f t="shared" si="91"/>
        <v>704.73427055403101</v>
      </c>
      <c r="AA326" s="5">
        <f t="shared" si="98"/>
        <v>1033600.4865886334</v>
      </c>
      <c r="AB326" s="3">
        <f>Assumptions!$E$45</f>
        <v>6.9899151946608562E-3</v>
      </c>
      <c r="AC326" s="5">
        <f t="shared" si="99"/>
        <v>1041530.0006056022</v>
      </c>
      <c r="AD326" s="5">
        <f>AC326*Assumptions!$E$43</f>
        <v>932.76875049118928</v>
      </c>
      <c r="AE326" s="2">
        <f>AD326*Assumptions!$D$44*-1</f>
        <v>-139.91531257367839</v>
      </c>
      <c r="AF326" s="2">
        <f>AC326*Assumptions!$E$46*-1</f>
        <v>-34.711303407489559</v>
      </c>
      <c r="AG326" s="22">
        <f t="shared" si="100"/>
        <v>1041355.3739896209</v>
      </c>
      <c r="AH326" s="5">
        <f>Model_30y[[#This Row],[Mortgage Payment]]+Model_30y[[#This Row],[Total Upkeep]]+Model_30y[[#This Row],[Monthly Investment]]</f>
        <v>-7233.6457313648507</v>
      </c>
      <c r="AI326" s="5">
        <f>Model_Renter!D326*-1</f>
        <v>7159.4811228126755</v>
      </c>
      <c r="AJ326" s="5">
        <f t="shared" si="101"/>
        <v>-74.164608552175196</v>
      </c>
    </row>
    <row r="327" spans="1:36" x14ac:dyDescent="0.25">
      <c r="A327" s="17">
        <f t="shared" si="96"/>
        <v>325</v>
      </c>
      <c r="B327" s="17">
        <f t="shared" si="92"/>
        <v>28</v>
      </c>
      <c r="C327" s="23">
        <f>IFERROR(IPMT(Assumptions!$D$16/12,Model_30y!A327, 360,Assumptions!$D$8), 0)</f>
        <v>-400.37944713375236</v>
      </c>
      <c r="D327" s="2">
        <f>IFERROR(PPMT(Assumptions!$D$16/12, Model_30y!A327, 360, Assumptions!$D$8), 0)</f>
        <v>-1798.0781857991856</v>
      </c>
      <c r="E327" s="2">
        <f t="shared" si="86"/>
        <v>-2198.4576329329379</v>
      </c>
      <c r="F327" s="2">
        <f>IF(I326&gt;1, Assumptions!$E$18, 0)*-1</f>
        <v>-2198.4576329329379</v>
      </c>
      <c r="G327" s="24">
        <f t="shared" si="87"/>
        <v>1</v>
      </c>
      <c r="H327" s="20">
        <f t="shared" si="93"/>
        <v>270301.74834048632</v>
      </c>
      <c r="I327" s="2">
        <f>MAX(Assumptions!$D$8-SUM(Model_30y!H327), 0)</f>
        <v>69698.251659513684</v>
      </c>
      <c r="J327" s="2">
        <f>J326*(1+(Assumptions!$E$51))</f>
        <v>1593183.426354371</v>
      </c>
      <c r="K327" s="22">
        <f t="shared" si="88"/>
        <v>1523485.1746948573</v>
      </c>
      <c r="L327" s="5">
        <f t="shared" si="94"/>
        <v>355301.74834048608</v>
      </c>
      <c r="M327" s="63">
        <f>L327/Assumptions!$D$6</f>
        <v>0.8360041137423202</v>
      </c>
      <c r="N327" s="24">
        <f t="shared" si="85"/>
        <v>0</v>
      </c>
      <c r="O327" s="5">
        <f>N327*Assumptions!$E$25*-1</f>
        <v>0</v>
      </c>
      <c r="P327" s="20">
        <f>Assumptions!$E$35*J327*-1</f>
        <v>-3281.6970061170646</v>
      </c>
      <c r="Q327" s="5">
        <f>J327*Assumptions!$E$36*-1</f>
        <v>-1321.6063753055628</v>
      </c>
      <c r="R327" s="5">
        <f>(R315+(Model_30y!R315*Assumptions!$D$51))</f>
        <v>-1213.0621834008157</v>
      </c>
      <c r="S327" s="5">
        <f>S315+(S315*Assumptions!$D$51)</f>
        <v>0</v>
      </c>
      <c r="T327" s="5">
        <f t="shared" si="97"/>
        <v>0</v>
      </c>
      <c r="U327" s="22">
        <f t="shared" si="89"/>
        <v>-5816.3655648234435</v>
      </c>
      <c r="V327" s="5">
        <f>MAX(Assumptions!$E$18:$E$19)-U327</f>
        <v>8657.9985766221398</v>
      </c>
      <c r="W327" s="5">
        <f t="shared" si="90"/>
        <v>-2198.4576329329379</v>
      </c>
      <c r="X327" s="5">
        <f t="shared" si="95"/>
        <v>-5816.3655648234435</v>
      </c>
      <c r="Y327" s="5">
        <f>C327*Assumptions!$D$44*-1</f>
        <v>60.056917070062852</v>
      </c>
      <c r="Z327" s="5">
        <f t="shared" si="91"/>
        <v>703.23229593582164</v>
      </c>
      <c r="AA327" s="5">
        <f t="shared" si="98"/>
        <v>1041355.3739896209</v>
      </c>
      <c r="AB327" s="3">
        <f>Assumptions!$E$45</f>
        <v>6.9899151946608562E-3</v>
      </c>
      <c r="AC327" s="5">
        <f t="shared" si="99"/>
        <v>1049337.5920372487</v>
      </c>
      <c r="AD327" s="5">
        <f>AC327*Assumptions!$E$43</f>
        <v>939.76103808713765</v>
      </c>
      <c r="AE327" s="2">
        <f>AD327*Assumptions!$D$44*-1</f>
        <v>-140.96415571307065</v>
      </c>
      <c r="AF327" s="2">
        <f>AC327*Assumptions!$E$46*-1</f>
        <v>-34.971508754342764</v>
      </c>
      <c r="AG327" s="22">
        <f t="shared" si="100"/>
        <v>1049161.6563727811</v>
      </c>
      <c r="AH327" s="5">
        <f>Model_30y[[#This Row],[Mortgage Payment]]+Model_30y[[#This Row],[Total Upkeep]]+Model_30y[[#This Row],[Monthly Investment]]</f>
        <v>-7311.5909018205593</v>
      </c>
      <c r="AI327" s="5">
        <f>Model_Renter!D327*-1</f>
        <v>7427.24571680587</v>
      </c>
      <c r="AJ327" s="5">
        <f t="shared" si="101"/>
        <v>115.65481498531062</v>
      </c>
    </row>
    <row r="328" spans="1:36" x14ac:dyDescent="0.25">
      <c r="A328" s="17">
        <f t="shared" si="96"/>
        <v>326</v>
      </c>
      <c r="B328" s="17">
        <f t="shared" si="92"/>
        <v>28</v>
      </c>
      <c r="C328" s="23">
        <f>IFERROR(IPMT(Assumptions!$D$16/12,Model_30y!A328, 360,Assumptions!$D$8), 0)</f>
        <v>-390.31020929327696</v>
      </c>
      <c r="D328" s="2">
        <f>IFERROR(PPMT(Assumptions!$D$16/12, Model_30y!A328, 360, Assumptions!$D$8), 0)</f>
        <v>-1808.1474236396609</v>
      </c>
      <c r="E328" s="2">
        <f t="shared" si="86"/>
        <v>-2198.4576329329379</v>
      </c>
      <c r="F328" s="2">
        <f>IF(I327&gt;1, Assumptions!$E$18, 0)*-1</f>
        <v>-2198.4576329329379</v>
      </c>
      <c r="G328" s="24">
        <f t="shared" si="87"/>
        <v>1</v>
      </c>
      <c r="H328" s="20">
        <f t="shared" si="93"/>
        <v>272109.89576412598</v>
      </c>
      <c r="I328" s="2">
        <f>MAX(Assumptions!$D$8-SUM(Model_30y!H328), 0)</f>
        <v>67890.104235874023</v>
      </c>
      <c r="J328" s="2">
        <f>J327*(1+(Assumptions!$E$51))</f>
        <v>1599674.2528433958</v>
      </c>
      <c r="K328" s="22">
        <f t="shared" si="88"/>
        <v>1531784.1486075218</v>
      </c>
      <c r="L328" s="5">
        <f t="shared" si="94"/>
        <v>357109.89576412574</v>
      </c>
      <c r="M328" s="63">
        <f>L328/Assumptions!$D$6</f>
        <v>0.84025857826853112</v>
      </c>
      <c r="N328" s="24">
        <f t="shared" si="85"/>
        <v>0</v>
      </c>
      <c r="O328" s="5">
        <f>N328*Assumptions!$E$25*-1</f>
        <v>0</v>
      </c>
      <c r="P328" s="20">
        <f>Assumptions!$E$35*J328*-1</f>
        <v>-3295.0670459404137</v>
      </c>
      <c r="Q328" s="5">
        <f>J328*Assumptions!$E$36*-1</f>
        <v>-1326.9907632718164</v>
      </c>
      <c r="R328" s="5">
        <f>(R316+(Model_30y!R316*Assumptions!$D$51))</f>
        <v>-1213.0621834008157</v>
      </c>
      <c r="S328" s="5">
        <f>S316+(S316*Assumptions!$D$51)</f>
        <v>0</v>
      </c>
      <c r="T328" s="5">
        <f t="shared" si="97"/>
        <v>0</v>
      </c>
      <c r="U328" s="22">
        <f t="shared" si="89"/>
        <v>-5835.1199926130466</v>
      </c>
      <c r="V328" s="5">
        <f>MAX(Assumptions!$E$18:$E$19)-U328</f>
        <v>8676.7530044117429</v>
      </c>
      <c r="W328" s="5">
        <f t="shared" si="90"/>
        <v>-2198.4576329329379</v>
      </c>
      <c r="X328" s="5">
        <f t="shared" si="95"/>
        <v>-5835.1199926130466</v>
      </c>
      <c r="Y328" s="5">
        <f>C328*Assumptions!$D$44*-1</f>
        <v>58.546531393991543</v>
      </c>
      <c r="Z328" s="5">
        <f t="shared" si="91"/>
        <v>701.72191025975042</v>
      </c>
      <c r="AA328" s="5">
        <f t="shared" si="98"/>
        <v>1049161.6563727811</v>
      </c>
      <c r="AB328" s="3">
        <f>Assumptions!$E$45</f>
        <v>6.9899151946608562E-3</v>
      </c>
      <c r="AC328" s="5">
        <f t="shared" si="99"/>
        <v>1057196.9292865766</v>
      </c>
      <c r="AD328" s="5">
        <f>AC328*Assumptions!$E$43</f>
        <v>946.79966796960082</v>
      </c>
      <c r="AE328" s="2">
        <f>AD328*Assumptions!$D$44*-1</f>
        <v>-142.01995019544012</v>
      </c>
      <c r="AF328" s="2">
        <f>AC328*Assumptions!$E$46*-1</f>
        <v>-35.233438645641698</v>
      </c>
      <c r="AG328" s="22">
        <f t="shared" si="100"/>
        <v>1057019.6758977354</v>
      </c>
      <c r="AH328" s="5">
        <f>Model_30y[[#This Row],[Mortgage Payment]]+Model_30y[[#This Row],[Total Upkeep]]+Model_30y[[#This Row],[Monthly Investment]]</f>
        <v>-7331.855715286234</v>
      </c>
      <c r="AI328" s="5">
        <f>Model_Renter!D328*-1</f>
        <v>7427.24571680587</v>
      </c>
      <c r="AJ328" s="5">
        <f t="shared" si="101"/>
        <v>95.390001519635916</v>
      </c>
    </row>
    <row r="329" spans="1:36" x14ac:dyDescent="0.25">
      <c r="A329" s="17">
        <f t="shared" si="96"/>
        <v>327</v>
      </c>
      <c r="B329" s="17">
        <f t="shared" si="92"/>
        <v>28</v>
      </c>
      <c r="C329" s="23">
        <f>IFERROR(IPMT(Assumptions!$D$16/12,Model_30y!A329, 360,Assumptions!$D$8), 0)</f>
        <v>-380.18458372089486</v>
      </c>
      <c r="D329" s="2">
        <f>IFERROR(PPMT(Assumptions!$D$16/12, Model_30y!A329, 360, Assumptions!$D$8), 0)</f>
        <v>-1818.2730492120431</v>
      </c>
      <c r="E329" s="2">
        <f t="shared" si="86"/>
        <v>-2198.4576329329379</v>
      </c>
      <c r="F329" s="2">
        <f>IF(I328&gt;1, Assumptions!$E$18, 0)*-1</f>
        <v>-2198.4576329329379</v>
      </c>
      <c r="G329" s="24">
        <f t="shared" si="87"/>
        <v>1</v>
      </c>
      <c r="H329" s="20">
        <f t="shared" si="93"/>
        <v>273928.16881333804</v>
      </c>
      <c r="I329" s="2">
        <f>MAX(Assumptions!$D$8-SUM(Model_30y!H329), 0)</f>
        <v>66071.831186661962</v>
      </c>
      <c r="J329" s="2">
        <f>J328*(1+(Assumptions!$E$51))</f>
        <v>1606191.5237629949</v>
      </c>
      <c r="K329" s="22">
        <f t="shared" si="88"/>
        <v>1540119.6925763329</v>
      </c>
      <c r="L329" s="5">
        <f t="shared" si="94"/>
        <v>358928.1688133378</v>
      </c>
      <c r="M329" s="63">
        <f>L329/Assumptions!$D$6</f>
        <v>0.84453686779608894</v>
      </c>
      <c r="N329" s="24">
        <f t="shared" si="85"/>
        <v>0</v>
      </c>
      <c r="O329" s="5">
        <f>N329*Assumptions!$E$25*-1</f>
        <v>0</v>
      </c>
      <c r="P329" s="20">
        <f>Assumptions!$E$35*J329*-1</f>
        <v>-3308.4915569609952</v>
      </c>
      <c r="Q329" s="5">
        <f>J329*Assumptions!$E$36*-1</f>
        <v>-1332.3970879011438</v>
      </c>
      <c r="R329" s="5">
        <f>(R317+(Model_30y!R317*Assumptions!$D$51))</f>
        <v>-1213.0621834008157</v>
      </c>
      <c r="S329" s="5">
        <f>S317+(S317*Assumptions!$D$51)</f>
        <v>0</v>
      </c>
      <c r="T329" s="5">
        <f t="shared" si="97"/>
        <v>0</v>
      </c>
      <c r="U329" s="22">
        <f t="shared" si="89"/>
        <v>-5853.950828262954</v>
      </c>
      <c r="V329" s="5">
        <f>MAX(Assumptions!$E$18:$E$19)-U329</f>
        <v>8695.5838400616503</v>
      </c>
      <c r="W329" s="5">
        <f t="shared" si="90"/>
        <v>-2198.4576329329379</v>
      </c>
      <c r="X329" s="5">
        <f t="shared" si="95"/>
        <v>-5853.950828262954</v>
      </c>
      <c r="Y329" s="5">
        <f>C329*Assumptions!$D$44*-1</f>
        <v>57.027687558134225</v>
      </c>
      <c r="Z329" s="5">
        <f t="shared" si="91"/>
        <v>700.20306642389301</v>
      </c>
      <c r="AA329" s="5">
        <f t="shared" si="98"/>
        <v>1057019.6758977354</v>
      </c>
      <c r="AB329" s="3">
        <f>Assumptions!$E$45</f>
        <v>6.9899151946608562E-3</v>
      </c>
      <c r="AC329" s="5">
        <f t="shared" si="99"/>
        <v>1065108.3568577725</v>
      </c>
      <c r="AD329" s="5">
        <f>AC329*Assumptions!$E$43</f>
        <v>953.88494866808776</v>
      </c>
      <c r="AE329" s="2">
        <f>AD329*Assumptions!$D$44*-1</f>
        <v>-143.08274230021317</v>
      </c>
      <c r="AF329" s="2">
        <f>AC329*Assumptions!$E$46*-1</f>
        <v>-35.497104562754487</v>
      </c>
      <c r="AG329" s="22">
        <f t="shared" si="100"/>
        <v>1064929.7770109095</v>
      </c>
      <c r="AH329" s="5">
        <f>Model_30y[[#This Row],[Mortgage Payment]]+Model_30y[[#This Row],[Total Upkeep]]+Model_30y[[#This Row],[Monthly Investment]]</f>
        <v>-7352.2053947719987</v>
      </c>
      <c r="AI329" s="5">
        <f>Model_Renter!D329*-1</f>
        <v>7427.24571680587</v>
      </c>
      <c r="AJ329" s="5">
        <f t="shared" si="101"/>
        <v>75.040322033871234</v>
      </c>
    </row>
    <row r="330" spans="1:36" x14ac:dyDescent="0.25">
      <c r="A330" s="17">
        <f t="shared" si="96"/>
        <v>328</v>
      </c>
      <c r="B330" s="17">
        <f t="shared" si="92"/>
        <v>28</v>
      </c>
      <c r="C330" s="23">
        <f>IFERROR(IPMT(Assumptions!$D$16/12,Model_30y!A330, 360,Assumptions!$D$8), 0)</f>
        <v>-370.0022546453074</v>
      </c>
      <c r="D330" s="2">
        <f>IFERROR(PPMT(Assumptions!$D$16/12, Model_30y!A330, 360, Assumptions!$D$8), 0)</f>
        <v>-1828.4553782876305</v>
      </c>
      <c r="E330" s="2">
        <f t="shared" si="86"/>
        <v>-2198.4576329329379</v>
      </c>
      <c r="F330" s="2">
        <f>IF(I329&gt;1, Assumptions!$E$18, 0)*-1</f>
        <v>-2198.4576329329379</v>
      </c>
      <c r="G330" s="24">
        <f t="shared" si="87"/>
        <v>1</v>
      </c>
      <c r="H330" s="20">
        <f t="shared" si="93"/>
        <v>275756.62419162568</v>
      </c>
      <c r="I330" s="2">
        <f>MAX(Assumptions!$D$8-SUM(Model_30y!H330), 0)</f>
        <v>64243.375808374316</v>
      </c>
      <c r="J330" s="2">
        <f>J329*(1+(Assumptions!$E$51))</f>
        <v>1612735.346851052</v>
      </c>
      <c r="K330" s="22">
        <f t="shared" si="88"/>
        <v>1548491.9710426778</v>
      </c>
      <c r="L330" s="5">
        <f t="shared" si="94"/>
        <v>360756.62419162545</v>
      </c>
      <c r="M330" s="63">
        <f>L330/Assumptions!$D$6</f>
        <v>0.84883911574500104</v>
      </c>
      <c r="N330" s="24">
        <f t="shared" si="85"/>
        <v>0</v>
      </c>
      <c r="O330" s="5">
        <f>N330*Assumptions!$E$25*-1</f>
        <v>0</v>
      </c>
      <c r="P330" s="20">
        <f>Assumptions!$E$35*J330*-1</f>
        <v>-3321.97076110121</v>
      </c>
      <c r="Q330" s="5">
        <f>J330*Assumptions!$E$36*-1</f>
        <v>-1337.8254385662256</v>
      </c>
      <c r="R330" s="5">
        <f>(R318+(Model_30y!R318*Assumptions!$D$51))</f>
        <v>-1213.0621834008157</v>
      </c>
      <c r="S330" s="5">
        <f>S318+(S318*Assumptions!$D$51)</f>
        <v>0</v>
      </c>
      <c r="T330" s="5">
        <f t="shared" si="97"/>
        <v>0</v>
      </c>
      <c r="U330" s="22">
        <f t="shared" si="89"/>
        <v>-5872.858383068251</v>
      </c>
      <c r="V330" s="5">
        <f>MAX(Assumptions!$E$18:$E$19)-U330</f>
        <v>8714.4913948669473</v>
      </c>
      <c r="W330" s="5">
        <f t="shared" si="90"/>
        <v>-2198.4576329329379</v>
      </c>
      <c r="X330" s="5">
        <f t="shared" si="95"/>
        <v>-5872.858383068251</v>
      </c>
      <c r="Y330" s="5">
        <f>C330*Assumptions!$D$44*-1</f>
        <v>55.500338196796108</v>
      </c>
      <c r="Z330" s="5">
        <f t="shared" si="91"/>
        <v>698.6757170625549</v>
      </c>
      <c r="AA330" s="5">
        <f t="shared" si="98"/>
        <v>1064929.7770109095</v>
      </c>
      <c r="AB330" s="3">
        <f>Assumptions!$E$45</f>
        <v>6.9899151946608562E-3</v>
      </c>
      <c r="AC330" s="5">
        <f t="shared" si="99"/>
        <v>1073072.2215575473</v>
      </c>
      <c r="AD330" s="5">
        <f>AC330*Assumptions!$E$43</f>
        <v>961.01719077419182</v>
      </c>
      <c r="AE330" s="2">
        <f>AD330*Assumptions!$D$44*-1</f>
        <v>-144.15257861612878</v>
      </c>
      <c r="AF330" s="2">
        <f>AC330*Assumptions!$E$46*-1</f>
        <v>-35.762518063785997</v>
      </c>
      <c r="AG330" s="22">
        <f t="shared" si="100"/>
        <v>1072892.3064608674</v>
      </c>
      <c r="AH330" s="5">
        <f>Model_30y[[#This Row],[Mortgage Payment]]+Model_30y[[#This Row],[Total Upkeep]]+Model_30y[[#This Row],[Monthly Investment]]</f>
        <v>-7372.6402989386334</v>
      </c>
      <c r="AI330" s="5">
        <f>Model_Renter!D330*-1</f>
        <v>7427.24571680587</v>
      </c>
      <c r="AJ330" s="5">
        <f t="shared" si="101"/>
        <v>54.605417867236611</v>
      </c>
    </row>
    <row r="331" spans="1:36" x14ac:dyDescent="0.25">
      <c r="A331" s="17">
        <f t="shared" si="96"/>
        <v>329</v>
      </c>
      <c r="B331" s="17">
        <f t="shared" si="92"/>
        <v>28</v>
      </c>
      <c r="C331" s="23">
        <f>IFERROR(IPMT(Assumptions!$D$16/12,Model_30y!A331, 360,Assumptions!$D$8), 0)</f>
        <v>-359.76290452689659</v>
      </c>
      <c r="D331" s="2">
        <f>IFERROR(PPMT(Assumptions!$D$16/12, Model_30y!A331, 360, Assumptions!$D$8), 0)</f>
        <v>-1838.6947284060413</v>
      </c>
      <c r="E331" s="2">
        <f t="shared" si="86"/>
        <v>-2198.4576329329379</v>
      </c>
      <c r="F331" s="2">
        <f>IF(I330&gt;1, Assumptions!$E$18, 0)*-1</f>
        <v>-2198.4576329329379</v>
      </c>
      <c r="G331" s="24">
        <f t="shared" si="87"/>
        <v>1</v>
      </c>
      <c r="H331" s="20">
        <f t="shared" si="93"/>
        <v>277595.31892003171</v>
      </c>
      <c r="I331" s="2">
        <f>MAX(Assumptions!$D$8-SUM(Model_30y!H331), 0)</f>
        <v>62404.681079968286</v>
      </c>
      <c r="J331" s="2">
        <f>J330*(1+(Assumptions!$E$51))</f>
        <v>1619305.8302843883</v>
      </c>
      <c r="K331" s="22">
        <f t="shared" si="88"/>
        <v>1556901.1492044199</v>
      </c>
      <c r="L331" s="5">
        <f t="shared" si="94"/>
        <v>362595.31892003148</v>
      </c>
      <c r="M331" s="63">
        <f>L331/Assumptions!$D$6</f>
        <v>0.85316545628242701</v>
      </c>
      <c r="N331" s="24">
        <f t="shared" si="85"/>
        <v>0</v>
      </c>
      <c r="O331" s="5">
        <f>N331*Assumptions!$E$25*-1</f>
        <v>0</v>
      </c>
      <c r="P331" s="20">
        <f>Assumptions!$E$35*J331*-1</f>
        <v>-3335.5048811875968</v>
      </c>
      <c r="Q331" s="5">
        <f>J331*Assumptions!$E$36*-1</f>
        <v>-1343.275905003858</v>
      </c>
      <c r="R331" s="5">
        <f>(R319+(Model_30y!R319*Assumptions!$D$51))</f>
        <v>-1213.0621834008157</v>
      </c>
      <c r="S331" s="5">
        <f>S319+(S319*Assumptions!$D$51)</f>
        <v>0</v>
      </c>
      <c r="T331" s="5">
        <f t="shared" si="97"/>
        <v>0</v>
      </c>
      <c r="U331" s="22">
        <f t="shared" si="89"/>
        <v>-5891.8429695922714</v>
      </c>
      <c r="V331" s="5">
        <f>MAX(Assumptions!$E$18:$E$19)-U331</f>
        <v>8733.4759813909677</v>
      </c>
      <c r="W331" s="5">
        <f t="shared" si="90"/>
        <v>-2198.4576329329379</v>
      </c>
      <c r="X331" s="5">
        <f t="shared" si="95"/>
        <v>-5891.8429695922714</v>
      </c>
      <c r="Y331" s="5">
        <f>C331*Assumptions!$D$44*-1</f>
        <v>53.964435679034487</v>
      </c>
      <c r="Z331" s="5">
        <f t="shared" si="91"/>
        <v>697.13981454479335</v>
      </c>
      <c r="AA331" s="5">
        <f t="shared" si="98"/>
        <v>1072892.3064608674</v>
      </c>
      <c r="AB331" s="3">
        <f>Assumptions!$E$45</f>
        <v>6.9899151946608562E-3</v>
      </c>
      <c r="AC331" s="5">
        <f t="shared" si="99"/>
        <v>1081088.8725105776</v>
      </c>
      <c r="AD331" s="5">
        <f>AC331*Assumptions!$E$43</f>
        <v>968.19670695541947</v>
      </c>
      <c r="AE331" s="2">
        <f>AD331*Assumptions!$D$44*-1</f>
        <v>-145.22950604331291</v>
      </c>
      <c r="AF331" s="2">
        <f>AC331*Assumptions!$E$46*-1</f>
        <v>-36.029690784092438</v>
      </c>
      <c r="AG331" s="22">
        <f t="shared" si="100"/>
        <v>1080907.6133137501</v>
      </c>
      <c r="AH331" s="5">
        <f>Model_30y[[#This Row],[Mortgage Payment]]+Model_30y[[#This Row],[Total Upkeep]]+Model_30y[[#This Row],[Monthly Investment]]</f>
        <v>-7393.160787980416</v>
      </c>
      <c r="AI331" s="5">
        <f>Model_Renter!D331*-1</f>
        <v>7427.24571680587</v>
      </c>
      <c r="AJ331" s="5">
        <f t="shared" si="101"/>
        <v>34.084928825453972</v>
      </c>
    </row>
    <row r="332" spans="1:36" x14ac:dyDescent="0.25">
      <c r="A332" s="17">
        <f t="shared" si="96"/>
        <v>330</v>
      </c>
      <c r="B332" s="17">
        <f t="shared" si="92"/>
        <v>28</v>
      </c>
      <c r="C332" s="23">
        <f>IFERROR(IPMT(Assumptions!$D$16/12,Model_30y!A332, 360,Assumptions!$D$8), 0)</f>
        <v>-349.46621404782275</v>
      </c>
      <c r="D332" s="2">
        <f>IFERROR(PPMT(Assumptions!$D$16/12, Model_30y!A332, 360, Assumptions!$D$8), 0)</f>
        <v>-1848.9914188851151</v>
      </c>
      <c r="E332" s="2">
        <f t="shared" si="86"/>
        <v>-2198.4576329329379</v>
      </c>
      <c r="F332" s="2">
        <f>IF(I331&gt;1, Assumptions!$E$18, 0)*-1</f>
        <v>-2198.4576329329379</v>
      </c>
      <c r="G332" s="24">
        <f t="shared" si="87"/>
        <v>1</v>
      </c>
      <c r="H332" s="20">
        <f t="shared" si="93"/>
        <v>279444.31033891684</v>
      </c>
      <c r="I332" s="2">
        <f>MAX(Assumptions!$D$8-SUM(Model_30y!H332), 0)</f>
        <v>60555.689661083161</v>
      </c>
      <c r="J332" s="2">
        <f>J331*(1+(Assumptions!$E$51))</f>
        <v>1625903.0826805504</v>
      </c>
      <c r="K332" s="22">
        <f t="shared" si="88"/>
        <v>1565347.3930194671</v>
      </c>
      <c r="L332" s="5">
        <f t="shared" si="94"/>
        <v>364444.31033891661</v>
      </c>
      <c r="M332" s="63">
        <f>L332/Assumptions!$D$6</f>
        <v>0.85751602432686258</v>
      </c>
      <c r="N332" s="24">
        <f t="shared" si="85"/>
        <v>0</v>
      </c>
      <c r="O332" s="5">
        <f>N332*Assumptions!$E$25*-1</f>
        <v>0</v>
      </c>
      <c r="P332" s="20">
        <f>Assumptions!$E$35*J332*-1</f>
        <v>-3349.0941409545185</v>
      </c>
      <c r="Q332" s="5">
        <f>J332*Assumptions!$E$36*-1</f>
        <v>-1348.748577316436</v>
      </c>
      <c r="R332" s="5">
        <f>(R320+(Model_30y!R320*Assumptions!$D$51))</f>
        <v>-1213.0621834008157</v>
      </c>
      <c r="S332" s="5">
        <f>S320+(S320*Assumptions!$D$51)</f>
        <v>0</v>
      </c>
      <c r="T332" s="5">
        <f t="shared" si="97"/>
        <v>0</v>
      </c>
      <c r="U332" s="22">
        <f t="shared" si="89"/>
        <v>-5910.9049016717709</v>
      </c>
      <c r="V332" s="5">
        <f>MAX(Assumptions!$E$18:$E$19)-U332</f>
        <v>8752.5379134704672</v>
      </c>
      <c r="W332" s="5">
        <f t="shared" si="90"/>
        <v>-2198.4576329329379</v>
      </c>
      <c r="X332" s="5">
        <f t="shared" si="95"/>
        <v>-5910.9049016717709</v>
      </c>
      <c r="Y332" s="5">
        <f>C332*Assumptions!$D$44*-1</f>
        <v>52.419932107173409</v>
      </c>
      <c r="Z332" s="5">
        <f t="shared" si="91"/>
        <v>695.59531097293223</v>
      </c>
      <c r="AA332" s="5">
        <f t="shared" si="98"/>
        <v>1080907.6133137501</v>
      </c>
      <c r="AB332" s="3">
        <f>Assumptions!$E$45</f>
        <v>6.9899151946608562E-3</v>
      </c>
      <c r="AC332" s="5">
        <f t="shared" si="99"/>
        <v>1089158.6611750496</v>
      </c>
      <c r="AD332" s="5">
        <f>AC332*Assumptions!$E$43</f>
        <v>975.42381196911163</v>
      </c>
      <c r="AE332" s="2">
        <f>AD332*Assumptions!$D$44*-1</f>
        <v>-146.31357179536673</v>
      </c>
      <c r="AF332" s="2">
        <f>AC332*Assumptions!$E$46*-1</f>
        <v>-36.298634436799453</v>
      </c>
      <c r="AG332" s="22">
        <f t="shared" si="100"/>
        <v>1088976.0489688173</v>
      </c>
      <c r="AH332" s="5">
        <f>Model_30y[[#This Row],[Mortgage Payment]]+Model_30y[[#This Row],[Total Upkeep]]+Model_30y[[#This Row],[Monthly Investment]]</f>
        <v>-7413.7672236317758</v>
      </c>
      <c r="AI332" s="5">
        <f>Model_Renter!D332*-1</f>
        <v>7427.24571680587</v>
      </c>
      <c r="AJ332" s="5">
        <f t="shared" si="101"/>
        <v>13.478493174094183</v>
      </c>
    </row>
    <row r="333" spans="1:36" x14ac:dyDescent="0.25">
      <c r="A333" s="17">
        <f t="shared" si="96"/>
        <v>331</v>
      </c>
      <c r="B333" s="17">
        <f t="shared" si="92"/>
        <v>28</v>
      </c>
      <c r="C333" s="23">
        <f>IFERROR(IPMT(Assumptions!$D$16/12,Model_30y!A333, 360,Assumptions!$D$8), 0)</f>
        <v>-339.11186210206614</v>
      </c>
      <c r="D333" s="2">
        <f>IFERROR(PPMT(Assumptions!$D$16/12, Model_30y!A333, 360, Assumptions!$D$8), 0)</f>
        <v>-1859.345770830872</v>
      </c>
      <c r="E333" s="2">
        <f t="shared" si="86"/>
        <v>-2198.4576329329379</v>
      </c>
      <c r="F333" s="2">
        <f>IF(I332&gt;1, Assumptions!$E$18, 0)*-1</f>
        <v>-2198.4576329329379</v>
      </c>
      <c r="G333" s="24">
        <f t="shared" si="87"/>
        <v>1</v>
      </c>
      <c r="H333" s="20">
        <f t="shared" si="93"/>
        <v>281303.65610974771</v>
      </c>
      <c r="I333" s="2">
        <f>MAX(Assumptions!$D$8-SUM(Model_30y!H333), 0)</f>
        <v>58696.34389025229</v>
      </c>
      <c r="J333" s="2">
        <f>J332*(1+(Assumptions!$E$51))</f>
        <v>1632527.2130996063</v>
      </c>
      <c r="K333" s="22">
        <f t="shared" si="88"/>
        <v>1573830.869209354</v>
      </c>
      <c r="L333" s="5">
        <f t="shared" si="94"/>
        <v>366303.65610974748</v>
      </c>
      <c r="M333" s="63">
        <f>L333/Assumptions!$D$6</f>
        <v>0.86189095555234696</v>
      </c>
      <c r="N333" s="24">
        <f t="shared" si="85"/>
        <v>0</v>
      </c>
      <c r="O333" s="5">
        <f>N333*Assumptions!$E$25*-1</f>
        <v>0</v>
      </c>
      <c r="P333" s="20">
        <f>Assumptions!$E$35*J333*-1</f>
        <v>-3362.7387650478586</v>
      </c>
      <c r="Q333" s="5">
        <f>J333*Assumptions!$E$36*-1</f>
        <v>-1354.2435459734427</v>
      </c>
      <c r="R333" s="5">
        <f>(R321+(Model_30y!R321*Assumptions!$D$51))</f>
        <v>-1213.0621834008157</v>
      </c>
      <c r="S333" s="5">
        <f>S321+(S321*Assumptions!$D$51)</f>
        <v>0</v>
      </c>
      <c r="T333" s="5">
        <f t="shared" si="97"/>
        <v>0</v>
      </c>
      <c r="U333" s="22">
        <f t="shared" si="89"/>
        <v>-5930.0444944221163</v>
      </c>
      <c r="V333" s="5">
        <f>MAX(Assumptions!$E$18:$E$19)-U333</f>
        <v>8771.6775062208126</v>
      </c>
      <c r="W333" s="5">
        <f t="shared" si="90"/>
        <v>-2198.4576329329379</v>
      </c>
      <c r="X333" s="5">
        <f t="shared" si="95"/>
        <v>-5930.0444944221163</v>
      </c>
      <c r="Y333" s="5">
        <f>C333*Assumptions!$D$44*-1</f>
        <v>50.86677931530992</v>
      </c>
      <c r="Z333" s="5">
        <f t="shared" si="91"/>
        <v>694.04215818106877</v>
      </c>
      <c r="AA333" s="5">
        <f t="shared" si="98"/>
        <v>1088976.0489688173</v>
      </c>
      <c r="AB333" s="3">
        <f>Assumptions!$E$45</f>
        <v>6.9899151946608562E-3</v>
      </c>
      <c r="AC333" s="5">
        <f t="shared" si="99"/>
        <v>1097281.9413583074</v>
      </c>
      <c r="AD333" s="5">
        <f>AC333*Assumptions!$E$43</f>
        <v>982.6988226764571</v>
      </c>
      <c r="AE333" s="2">
        <f>AD333*Assumptions!$D$44*-1</f>
        <v>-147.40482340146855</v>
      </c>
      <c r="AF333" s="2">
        <f>AC333*Assumptions!$E$46*-1</f>
        <v>-36.569360813323563</v>
      </c>
      <c r="AG333" s="22">
        <f t="shared" si="100"/>
        <v>1097097.9671740925</v>
      </c>
      <c r="AH333" s="5">
        <f>Model_30y[[#This Row],[Mortgage Payment]]+Model_30y[[#This Row],[Total Upkeep]]+Model_30y[[#This Row],[Monthly Investment]]</f>
        <v>-7434.459969173985</v>
      </c>
      <c r="AI333" s="5">
        <f>Model_Renter!D333*-1</f>
        <v>7427.24571680587</v>
      </c>
      <c r="AJ333" s="5">
        <f t="shared" si="101"/>
        <v>-7.2142523681150124</v>
      </c>
    </row>
    <row r="334" spans="1:36" x14ac:dyDescent="0.25">
      <c r="A334" s="17">
        <f t="shared" si="96"/>
        <v>332</v>
      </c>
      <c r="B334" s="17">
        <f t="shared" si="92"/>
        <v>28</v>
      </c>
      <c r="C334" s="23">
        <f>IFERROR(IPMT(Assumptions!$D$16/12,Model_30y!A334, 360,Assumptions!$D$8), 0)</f>
        <v>-328.69952578541319</v>
      </c>
      <c r="D334" s="2">
        <f>IFERROR(PPMT(Assumptions!$D$16/12, Model_30y!A334, 360, Assumptions!$D$8), 0)</f>
        <v>-1869.7581071475245</v>
      </c>
      <c r="E334" s="2">
        <f t="shared" si="86"/>
        <v>-2198.4576329329375</v>
      </c>
      <c r="F334" s="2">
        <f>IF(I333&gt;1, Assumptions!$E$18, 0)*-1</f>
        <v>-2198.4576329329379</v>
      </c>
      <c r="G334" s="24">
        <f t="shared" si="87"/>
        <v>1</v>
      </c>
      <c r="H334" s="20">
        <f t="shared" si="93"/>
        <v>283173.41421689524</v>
      </c>
      <c r="I334" s="2">
        <f>MAX(Assumptions!$D$8-SUM(Model_30y!H334), 0)</f>
        <v>56826.585783104762</v>
      </c>
      <c r="J334" s="2">
        <f>J333*(1+(Assumptions!$E$51))</f>
        <v>1639178.3310459487</v>
      </c>
      <c r="K334" s="22">
        <f t="shared" si="88"/>
        <v>1582351.745262844</v>
      </c>
      <c r="L334" s="5">
        <f t="shared" si="94"/>
        <v>368173.41421689501</v>
      </c>
      <c r="M334" s="63">
        <f>L334/Assumptions!$D$6</f>
        <v>0.86629038639269418</v>
      </c>
      <c r="N334" s="24">
        <f t="shared" si="85"/>
        <v>0</v>
      </c>
      <c r="O334" s="5">
        <f>N334*Assumptions!$E$25*-1</f>
        <v>0</v>
      </c>
      <c r="P334" s="20">
        <f>Assumptions!$E$35*J334*-1</f>
        <v>-3376.4389790287364</v>
      </c>
      <c r="Q334" s="5">
        <f>J334*Assumptions!$E$36*-1</f>
        <v>-1359.7609018129456</v>
      </c>
      <c r="R334" s="5">
        <f>(R322+(Model_30y!R322*Assumptions!$D$51))</f>
        <v>-1213.0621834008157</v>
      </c>
      <c r="S334" s="5">
        <f>S322+(S322*Assumptions!$D$51)</f>
        <v>0</v>
      </c>
      <c r="T334" s="5">
        <f t="shared" si="97"/>
        <v>0</v>
      </c>
      <c r="U334" s="22">
        <f t="shared" si="89"/>
        <v>-5949.2620642424972</v>
      </c>
      <c r="V334" s="5">
        <f>MAX(Assumptions!$E$18:$E$19)-U334</f>
        <v>8790.8950760411935</v>
      </c>
      <c r="W334" s="5">
        <f t="shared" si="90"/>
        <v>-2198.4576329329379</v>
      </c>
      <c r="X334" s="5">
        <f t="shared" si="95"/>
        <v>-5949.2620642424972</v>
      </c>
      <c r="Y334" s="5">
        <f>C334*Assumptions!$D$44*-1</f>
        <v>49.304928867811974</v>
      </c>
      <c r="Z334" s="5">
        <f t="shared" si="91"/>
        <v>692.48030773357084</v>
      </c>
      <c r="AA334" s="5">
        <f t="shared" si="98"/>
        <v>1097097.9671740925</v>
      </c>
      <c r="AB334" s="3">
        <f>Assumptions!$E$45</f>
        <v>6.9899151946608562E-3</v>
      </c>
      <c r="AC334" s="5">
        <f t="shared" si="99"/>
        <v>1105459.069232608</v>
      </c>
      <c r="AD334" s="5">
        <f>AC334*Assumptions!$E$43</f>
        <v>990.02205805660265</v>
      </c>
      <c r="AE334" s="2">
        <f>AD334*Assumptions!$D$44*-1</f>
        <v>-148.50330870849038</v>
      </c>
      <c r="AF334" s="2">
        <f>AC334*Assumptions!$E$46*-1</f>
        <v>-36.841881783897286</v>
      </c>
      <c r="AG334" s="22">
        <f t="shared" si="100"/>
        <v>1105273.7240421155</v>
      </c>
      <c r="AH334" s="5">
        <f>Model_30y[[#This Row],[Mortgage Payment]]+Model_30y[[#This Row],[Total Upkeep]]+Model_30y[[#This Row],[Monthly Investment]]</f>
        <v>-7455.2393894418638</v>
      </c>
      <c r="AI334" s="5">
        <f>Model_Renter!D334*-1</f>
        <v>7427.24571680587</v>
      </c>
      <c r="AJ334" s="5">
        <f t="shared" si="101"/>
        <v>-27.993672635993789</v>
      </c>
    </row>
    <row r="335" spans="1:36" x14ac:dyDescent="0.25">
      <c r="A335" s="17">
        <f t="shared" si="96"/>
        <v>333</v>
      </c>
      <c r="B335" s="17">
        <f t="shared" si="92"/>
        <v>28</v>
      </c>
      <c r="C335" s="23">
        <f>IFERROR(IPMT(Assumptions!$D$16/12,Model_30y!A335, 360,Assumptions!$D$8), 0)</f>
        <v>-318.22888038538713</v>
      </c>
      <c r="D335" s="2">
        <f>IFERROR(PPMT(Assumptions!$D$16/12, Model_30y!A335, 360, Assumptions!$D$8), 0)</f>
        <v>-1880.2287525475506</v>
      </c>
      <c r="E335" s="2">
        <f t="shared" si="86"/>
        <v>-2198.4576329329375</v>
      </c>
      <c r="F335" s="2">
        <f>IF(I334&gt;1, Assumptions!$E$18, 0)*-1</f>
        <v>-2198.4576329329379</v>
      </c>
      <c r="G335" s="24">
        <f t="shared" si="87"/>
        <v>1</v>
      </c>
      <c r="H335" s="20">
        <f t="shared" si="93"/>
        <v>285053.64296944276</v>
      </c>
      <c r="I335" s="2">
        <f>MAX(Assumptions!$D$8-SUM(Model_30y!H335), 0)</f>
        <v>54946.357030557236</v>
      </c>
      <c r="J335" s="2">
        <f>J334*(1+(Assumptions!$E$51))</f>
        <v>1645856.546470104</v>
      </c>
      <c r="K335" s="22">
        <f t="shared" si="88"/>
        <v>1590910.1894395468</v>
      </c>
      <c r="L335" s="5">
        <f t="shared" si="94"/>
        <v>370053.64296944253</v>
      </c>
      <c r="M335" s="63">
        <f>L335/Assumptions!$D$6</f>
        <v>0.8707144540457471</v>
      </c>
      <c r="N335" s="24">
        <f t="shared" si="85"/>
        <v>0</v>
      </c>
      <c r="O335" s="5">
        <f>N335*Assumptions!$E$25*-1</f>
        <v>0</v>
      </c>
      <c r="P335" s="20">
        <f>Assumptions!$E$35*J335*-1</f>
        <v>-3390.1950093772348</v>
      </c>
      <c r="Q335" s="5">
        <f>J335*Assumptions!$E$36*-1</f>
        <v>-1365.3007360430968</v>
      </c>
      <c r="R335" s="5">
        <f>(R323+(Model_30y!R323*Assumptions!$D$51))</f>
        <v>-1213.0621834008157</v>
      </c>
      <c r="S335" s="5">
        <f>S323+(S323*Assumptions!$D$51)</f>
        <v>0</v>
      </c>
      <c r="T335" s="5">
        <f t="shared" si="97"/>
        <v>0</v>
      </c>
      <c r="U335" s="22">
        <f t="shared" si="89"/>
        <v>-5968.5579288211466</v>
      </c>
      <c r="V335" s="5">
        <f>MAX(Assumptions!$E$18:$E$19)-U335</f>
        <v>8810.1909406198429</v>
      </c>
      <c r="W335" s="5">
        <f t="shared" si="90"/>
        <v>-2198.4576329329379</v>
      </c>
      <c r="X335" s="5">
        <f t="shared" si="95"/>
        <v>-5968.5579288211466</v>
      </c>
      <c r="Y335" s="5">
        <f>C335*Assumptions!$D$44*-1</f>
        <v>47.734332057808068</v>
      </c>
      <c r="Z335" s="5">
        <f t="shared" si="91"/>
        <v>690.90971092356688</v>
      </c>
      <c r="AA335" s="5">
        <f t="shared" si="98"/>
        <v>1105273.7240421155</v>
      </c>
      <c r="AB335" s="3">
        <f>Assumptions!$E$45</f>
        <v>6.9899151946608562E-3</v>
      </c>
      <c r="AC335" s="5">
        <f t="shared" si="99"/>
        <v>1113690.4033509805</v>
      </c>
      <c r="AD335" s="5">
        <f>AC335*Assumptions!$E$43</f>
        <v>997.39383922085665</v>
      </c>
      <c r="AE335" s="2">
        <f>AD335*Assumptions!$D$44*-1</f>
        <v>-149.6090758831285</v>
      </c>
      <c r="AF335" s="2">
        <f>AC335*Assumptions!$E$46*-1</f>
        <v>-37.116209298097658</v>
      </c>
      <c r="AG335" s="22">
        <f t="shared" si="100"/>
        <v>1113503.6780657992</v>
      </c>
      <c r="AH335" s="5">
        <f>Model_30y[[#This Row],[Mortgage Payment]]+Model_30y[[#This Row],[Total Upkeep]]+Model_30y[[#This Row],[Monthly Investment]]</f>
        <v>-7476.1058508305168</v>
      </c>
      <c r="AI335" s="5">
        <f>Model_Renter!D335*-1</f>
        <v>7427.24571680587</v>
      </c>
      <c r="AJ335" s="5">
        <f t="shared" si="101"/>
        <v>-48.860134024646868</v>
      </c>
    </row>
    <row r="336" spans="1:36" x14ac:dyDescent="0.25">
      <c r="A336" s="17">
        <f t="shared" si="96"/>
        <v>334</v>
      </c>
      <c r="B336" s="17">
        <f t="shared" si="92"/>
        <v>28</v>
      </c>
      <c r="C336" s="23">
        <f>IFERROR(IPMT(Assumptions!$D$16/12,Model_30y!A336, 360,Assumptions!$D$8), 0)</f>
        <v>-307.69959937112083</v>
      </c>
      <c r="D336" s="2">
        <f>IFERROR(PPMT(Assumptions!$D$16/12, Model_30y!A336, 360, Assumptions!$D$8), 0)</f>
        <v>-1890.758033561817</v>
      </c>
      <c r="E336" s="2">
        <f t="shared" si="86"/>
        <v>-2198.4576329329379</v>
      </c>
      <c r="F336" s="2">
        <f>IF(I335&gt;1, Assumptions!$E$18, 0)*-1</f>
        <v>-2198.4576329329379</v>
      </c>
      <c r="G336" s="24">
        <f t="shared" si="87"/>
        <v>1</v>
      </c>
      <c r="H336" s="20">
        <f t="shared" si="93"/>
        <v>286944.40100300458</v>
      </c>
      <c r="I336" s="2">
        <f>MAX(Assumptions!$D$8-SUM(Model_30y!H336), 0)</f>
        <v>53055.598996995424</v>
      </c>
      <c r="J336" s="2">
        <f>J335*(1+(Assumptions!$E$51))</f>
        <v>1652561.9697705512</v>
      </c>
      <c r="K336" s="22">
        <f t="shared" si="88"/>
        <v>1599506.3707735557</v>
      </c>
      <c r="L336" s="5">
        <f t="shared" si="94"/>
        <v>371944.40100300434</v>
      </c>
      <c r="M336" s="63">
        <f>L336/Assumptions!$D$6</f>
        <v>0.87516329647765723</v>
      </c>
      <c r="N336" s="24">
        <f t="shared" si="85"/>
        <v>0</v>
      </c>
      <c r="O336" s="5">
        <f>N336*Assumptions!$E$25*-1</f>
        <v>0</v>
      </c>
      <c r="P336" s="20">
        <f>Assumptions!$E$35*J336*-1</f>
        <v>-3404.0070834961443</v>
      </c>
      <c r="Q336" s="5">
        <f>J336*Assumptions!$E$36*-1</f>
        <v>-1370.8631402436426</v>
      </c>
      <c r="R336" s="5">
        <f>(R324+(Model_30y!R324*Assumptions!$D$51))</f>
        <v>-1213.0621834008157</v>
      </c>
      <c r="S336" s="5">
        <f>S324+(S324*Assumptions!$D$51)</f>
        <v>0</v>
      </c>
      <c r="T336" s="5">
        <f t="shared" si="97"/>
        <v>0</v>
      </c>
      <c r="U336" s="22">
        <f t="shared" si="89"/>
        <v>-5987.9324071406027</v>
      </c>
      <c r="V336" s="5">
        <f>MAX(Assumptions!$E$18:$E$19)-U336</f>
        <v>8829.565418939299</v>
      </c>
      <c r="W336" s="5">
        <f t="shared" si="90"/>
        <v>-2198.4576329329379</v>
      </c>
      <c r="X336" s="5">
        <f t="shared" si="95"/>
        <v>-5987.9324071406027</v>
      </c>
      <c r="Y336" s="5">
        <f>C336*Assumptions!$D$44*-1</f>
        <v>46.154939905668122</v>
      </c>
      <c r="Z336" s="5">
        <f t="shared" si="91"/>
        <v>689.33031877142696</v>
      </c>
      <c r="AA336" s="5">
        <f t="shared" si="98"/>
        <v>1113503.6780657992</v>
      </c>
      <c r="AB336" s="3">
        <f>Assumptions!$E$45</f>
        <v>6.9899151946608562E-3</v>
      </c>
      <c r="AC336" s="5">
        <f t="shared" si="99"/>
        <v>1121976.3046631936</v>
      </c>
      <c r="AD336" s="5">
        <f>AC336*Assumptions!$E$43</f>
        <v>1004.8144894269884</v>
      </c>
      <c r="AE336" s="2">
        <f>AD336*Assumptions!$D$44*-1</f>
        <v>-150.72217341404826</v>
      </c>
      <c r="AF336" s="2">
        <f>AC336*Assumptions!$E$46*-1</f>
        <v>-37.392355385378401</v>
      </c>
      <c r="AG336" s="22">
        <f t="shared" si="100"/>
        <v>1121788.1901343942</v>
      </c>
      <c r="AH336" s="5">
        <f>Model_30y[[#This Row],[Mortgage Payment]]+Model_30y[[#This Row],[Total Upkeep]]+Model_30y[[#This Row],[Monthly Investment]]</f>
        <v>-7497.0597213021128</v>
      </c>
      <c r="AI336" s="5">
        <f>Model_Renter!D336*-1</f>
        <v>7427.24571680587</v>
      </c>
      <c r="AJ336" s="5">
        <f t="shared" si="101"/>
        <v>-69.814004496242887</v>
      </c>
    </row>
    <row r="337" spans="1:36" x14ac:dyDescent="0.25">
      <c r="A337" s="17">
        <f t="shared" si="96"/>
        <v>335</v>
      </c>
      <c r="B337" s="17">
        <f t="shared" si="92"/>
        <v>28</v>
      </c>
      <c r="C337" s="23">
        <f>IFERROR(IPMT(Assumptions!$D$16/12,Model_30y!A337, 360,Assumptions!$D$8), 0)</f>
        <v>-297.11135438317473</v>
      </c>
      <c r="D337" s="2">
        <f>IFERROR(PPMT(Assumptions!$D$16/12, Model_30y!A337, 360, Assumptions!$D$8), 0)</f>
        <v>-1901.3462785497632</v>
      </c>
      <c r="E337" s="2">
        <f t="shared" si="86"/>
        <v>-2198.4576329329379</v>
      </c>
      <c r="F337" s="2">
        <f>IF(I336&gt;1, Assumptions!$E$18, 0)*-1</f>
        <v>-2198.4576329329379</v>
      </c>
      <c r="G337" s="24">
        <f t="shared" si="87"/>
        <v>1</v>
      </c>
      <c r="H337" s="20">
        <f t="shared" si="93"/>
        <v>288845.74728155433</v>
      </c>
      <c r="I337" s="2">
        <f>MAX(Assumptions!$D$8-SUM(Model_30y!H337), 0)</f>
        <v>51154.25271844567</v>
      </c>
      <c r="J337" s="2">
        <f>J336*(1+(Assumptions!$E$51))</f>
        <v>1659294.7117955461</v>
      </c>
      <c r="K337" s="22">
        <f t="shared" si="88"/>
        <v>1608140.4590771005</v>
      </c>
      <c r="L337" s="5">
        <f t="shared" si="94"/>
        <v>373845.7472815541</v>
      </c>
      <c r="M337" s="63">
        <f>L337/Assumptions!$D$6</f>
        <v>0.87963705242718615</v>
      </c>
      <c r="N337" s="24">
        <f t="shared" si="85"/>
        <v>0</v>
      </c>
      <c r="O337" s="5">
        <f>N337*Assumptions!$E$25*-1</f>
        <v>0</v>
      </c>
      <c r="P337" s="20">
        <f>Assumptions!$E$35*J337*-1</f>
        <v>-3417.8754297147234</v>
      </c>
      <c r="Q337" s="5">
        <f>J337*Assumptions!$E$36*-1</f>
        <v>-1376.4482063674359</v>
      </c>
      <c r="R337" s="5">
        <f>(R325+(Model_30y!R325*Assumptions!$D$51))</f>
        <v>-1213.0621834008157</v>
      </c>
      <c r="S337" s="5">
        <f>S325+(S325*Assumptions!$D$51)</f>
        <v>0</v>
      </c>
      <c r="T337" s="5">
        <f t="shared" si="97"/>
        <v>0</v>
      </c>
      <c r="U337" s="22">
        <f t="shared" si="89"/>
        <v>-6007.3858194829754</v>
      </c>
      <c r="V337" s="5">
        <f>MAX(Assumptions!$E$18:$E$19)-U337</f>
        <v>8849.0188312816717</v>
      </c>
      <c r="W337" s="5">
        <f t="shared" si="90"/>
        <v>-2198.4576329329379</v>
      </c>
      <c r="X337" s="5">
        <f t="shared" si="95"/>
        <v>-6007.3858194829754</v>
      </c>
      <c r="Y337" s="5">
        <f>C337*Assumptions!$D$44*-1</f>
        <v>44.566703157476205</v>
      </c>
      <c r="Z337" s="5">
        <f t="shared" si="91"/>
        <v>687.74208202323507</v>
      </c>
      <c r="AA337" s="5">
        <f t="shared" si="98"/>
        <v>1121788.1901343942</v>
      </c>
      <c r="AB337" s="3">
        <f>Assumptions!$E$45</f>
        <v>6.9899151946608562E-3</v>
      </c>
      <c r="AC337" s="5">
        <f t="shared" si="99"/>
        <v>1130317.1365318289</v>
      </c>
      <c r="AD337" s="5">
        <f>AC337*Assumptions!$E$43</f>
        <v>1012.2843340936233</v>
      </c>
      <c r="AE337" s="2">
        <f>AD337*Assumptions!$D$44*-1</f>
        <v>-151.84265011404349</v>
      </c>
      <c r="AF337" s="2">
        <f>AC337*Assumptions!$E$46*-1</f>
        <v>-37.670332155605578</v>
      </c>
      <c r="AG337" s="22">
        <f t="shared" si="100"/>
        <v>1130127.6235495592</v>
      </c>
      <c r="AH337" s="5">
        <f>Model_30y[[#This Row],[Mortgage Payment]]+Model_30y[[#This Row],[Total Upkeep]]+Model_30y[[#This Row],[Monthly Investment]]</f>
        <v>-7518.1013703926783</v>
      </c>
      <c r="AI337" s="5">
        <f>Model_Renter!D337*-1</f>
        <v>7427.24571680587</v>
      </c>
      <c r="AJ337" s="5">
        <f t="shared" si="101"/>
        <v>-90.85565358680833</v>
      </c>
    </row>
    <row r="338" spans="1:36" x14ac:dyDescent="0.25">
      <c r="A338" s="17">
        <f t="shared" si="96"/>
        <v>336</v>
      </c>
      <c r="B338" s="17">
        <f t="shared" si="92"/>
        <v>28</v>
      </c>
      <c r="C338" s="23">
        <f>IFERROR(IPMT(Assumptions!$D$16/12,Model_30y!A338, 360,Assumptions!$D$8), 0)</f>
        <v>-286.46381522329597</v>
      </c>
      <c r="D338" s="2">
        <f>IFERROR(PPMT(Assumptions!$D$16/12, Model_30y!A338, 360, Assumptions!$D$8), 0)</f>
        <v>-1911.9938177096419</v>
      </c>
      <c r="E338" s="2">
        <f t="shared" si="86"/>
        <v>-2198.4576329329379</v>
      </c>
      <c r="F338" s="2">
        <f>IF(I337&gt;1, Assumptions!$E$18, 0)*-1</f>
        <v>-2198.4576329329379</v>
      </c>
      <c r="G338" s="24">
        <f t="shared" si="87"/>
        <v>1</v>
      </c>
      <c r="H338" s="20">
        <f t="shared" si="93"/>
        <v>290757.74109926395</v>
      </c>
      <c r="I338" s="2">
        <f>MAX(Assumptions!$D$8-SUM(Model_30y!H338), 0)</f>
        <v>49242.258900736051</v>
      </c>
      <c r="J338" s="2">
        <f>J337*(1+(Assumptions!$E$51))</f>
        <v>1666054.8838449542</v>
      </c>
      <c r="K338" s="22">
        <f t="shared" si="88"/>
        <v>1616812.6249442182</v>
      </c>
      <c r="L338" s="5">
        <f t="shared" si="94"/>
        <v>375757.74109926372</v>
      </c>
      <c r="M338" s="63">
        <f>L338/Assumptions!$D$6</f>
        <v>0.88413586141003231</v>
      </c>
      <c r="N338" s="24">
        <f t="shared" ref="N338:N401" si="102">IF(M338&lt;0.2, 1, 0)</f>
        <v>0</v>
      </c>
      <c r="O338" s="5">
        <f>N338*Assumptions!$E$25*-1</f>
        <v>0</v>
      </c>
      <c r="P338" s="20">
        <f>Assumptions!$E$35*J338*-1</f>
        <v>-3431.8002772924715</v>
      </c>
      <c r="Q338" s="5">
        <f>J338*Assumptions!$E$36*-1</f>
        <v>-1382.0560267419576</v>
      </c>
      <c r="R338" s="5">
        <f>(R326+(Model_30y!R326*Assumptions!$D$51))</f>
        <v>-1213.0621834008157</v>
      </c>
      <c r="S338" s="5">
        <f>S326+(S326*Assumptions!$D$51)</f>
        <v>0</v>
      </c>
      <c r="T338" s="5">
        <f t="shared" si="97"/>
        <v>0</v>
      </c>
      <c r="U338" s="22">
        <f t="shared" si="89"/>
        <v>-6026.918487435245</v>
      </c>
      <c r="V338" s="5">
        <f>MAX(Assumptions!$E$18:$E$19)-U338</f>
        <v>8868.5514992339413</v>
      </c>
      <c r="W338" s="5">
        <f t="shared" si="90"/>
        <v>-2198.4576329329379</v>
      </c>
      <c r="X338" s="5">
        <f t="shared" si="95"/>
        <v>-6026.918487435245</v>
      </c>
      <c r="Y338" s="5">
        <f>C338*Assumptions!$D$44*-1</f>
        <v>42.969572283494394</v>
      </c>
      <c r="Z338" s="5">
        <f t="shared" si="91"/>
        <v>686.14495114925319</v>
      </c>
      <c r="AA338" s="5">
        <f t="shared" si="98"/>
        <v>1130127.6235495592</v>
      </c>
      <c r="AB338" s="3">
        <f>Assumptions!$E$45</f>
        <v>6.9899151946608562E-3</v>
      </c>
      <c r="AC338" s="5">
        <f t="shared" si="99"/>
        <v>1138713.2647484636</v>
      </c>
      <c r="AD338" s="5">
        <f>AC338*Assumptions!$E$43</f>
        <v>1019.803700814736</v>
      </c>
      <c r="AE338" s="2">
        <f>AD338*Assumptions!$D$44*-1</f>
        <v>-152.97055512221038</v>
      </c>
      <c r="AF338" s="2">
        <f>AC338*Assumptions!$E$46*-1</f>
        <v>-37.950151799596952</v>
      </c>
      <c r="AG338" s="22">
        <f t="shared" si="100"/>
        <v>1138522.3440415419</v>
      </c>
      <c r="AH338" s="5">
        <f>Model_30y[[#This Row],[Mortgage Payment]]+Model_30y[[#This Row],[Total Upkeep]]+Model_30y[[#This Row],[Monthly Investment]]</f>
        <v>-7539.2311692189296</v>
      </c>
      <c r="AI338" s="5">
        <f>Model_Renter!D338*-1</f>
        <v>7427.24571680587</v>
      </c>
      <c r="AJ338" s="5">
        <f t="shared" si="101"/>
        <v>-111.98545241305965</v>
      </c>
    </row>
    <row r="339" spans="1:36" x14ac:dyDescent="0.25">
      <c r="A339" s="17">
        <f t="shared" si="96"/>
        <v>337</v>
      </c>
      <c r="B339" s="17">
        <f t="shared" si="92"/>
        <v>29</v>
      </c>
      <c r="C339" s="23">
        <f>IFERROR(IPMT(Assumptions!$D$16/12,Model_30y!A339, 360,Assumptions!$D$8), 0)</f>
        <v>-275.75664984412202</v>
      </c>
      <c r="D339" s="2">
        <f>IFERROR(PPMT(Assumptions!$D$16/12, Model_30y!A339, 360, Assumptions!$D$8), 0)</f>
        <v>-1922.700983088816</v>
      </c>
      <c r="E339" s="2">
        <f t="shared" si="86"/>
        <v>-2198.4576329329379</v>
      </c>
      <c r="F339" s="2">
        <f>IF(I338&gt;1, Assumptions!$E$18, 0)*-1</f>
        <v>-2198.4576329329379</v>
      </c>
      <c r="G339" s="24">
        <f t="shared" si="87"/>
        <v>1</v>
      </c>
      <c r="H339" s="20">
        <f t="shared" si="93"/>
        <v>292680.44208235276</v>
      </c>
      <c r="I339" s="2">
        <f>MAX(Assumptions!$D$8-SUM(Model_30y!H339), 0)</f>
        <v>47319.557917647238</v>
      </c>
      <c r="J339" s="2">
        <f>J338*(1+(Assumptions!$E$51))</f>
        <v>1672842.5976720904</v>
      </c>
      <c r="K339" s="22">
        <f t="shared" si="88"/>
        <v>1625523.0397544431</v>
      </c>
      <c r="L339" s="5">
        <f t="shared" si="94"/>
        <v>377680.44208235253</v>
      </c>
      <c r="M339" s="63">
        <f>L339/Assumptions!$D$6</f>
        <v>0.8886598637231824</v>
      </c>
      <c r="N339" s="24">
        <f t="shared" si="102"/>
        <v>0</v>
      </c>
      <c r="O339" s="5">
        <f>N339*Assumptions!$E$25*-1</f>
        <v>0</v>
      </c>
      <c r="P339" s="20">
        <f>Assumptions!$E$35*J339*-1</f>
        <v>-3445.7818564229196</v>
      </c>
      <c r="Q339" s="5">
        <f>J339*Assumptions!$E$36*-1</f>
        <v>-1387.6866940708414</v>
      </c>
      <c r="R339" s="5">
        <f>(R327+(Model_30y!R327*Assumptions!$D$51))</f>
        <v>-1273.7152925708565</v>
      </c>
      <c r="S339" s="5">
        <f>S327+(S327*Assumptions!$D$51)</f>
        <v>0</v>
      </c>
      <c r="T339" s="5">
        <f t="shared" si="97"/>
        <v>0</v>
      </c>
      <c r="U339" s="22">
        <f t="shared" si="89"/>
        <v>-6107.1838430646167</v>
      </c>
      <c r="V339" s="5">
        <f>MAX(Assumptions!$E$18:$E$19)-U339</f>
        <v>8948.816854863313</v>
      </c>
      <c r="W339" s="5">
        <f t="shared" si="90"/>
        <v>-2198.4576329329379</v>
      </c>
      <c r="X339" s="5">
        <f t="shared" si="95"/>
        <v>-6107.1838430646167</v>
      </c>
      <c r="Y339" s="5">
        <f>C339*Assumptions!$D$44*-1</f>
        <v>41.363497476618299</v>
      </c>
      <c r="Z339" s="5">
        <f t="shared" si="91"/>
        <v>684.53887634237708</v>
      </c>
      <c r="AA339" s="5">
        <f t="shared" si="98"/>
        <v>1138522.3440415419</v>
      </c>
      <c r="AB339" s="3">
        <f>Assumptions!$E$45</f>
        <v>6.9899151946608562E-3</v>
      </c>
      <c r="AC339" s="5">
        <f t="shared" si="99"/>
        <v>1147165.0575499611</v>
      </c>
      <c r="AD339" s="5">
        <f>AC339*Assumptions!$E$43</f>
        <v>1027.3729193742392</v>
      </c>
      <c r="AE339" s="2">
        <f>AD339*Assumptions!$D$44*-1</f>
        <v>-154.10593790613589</v>
      </c>
      <c r="AF339" s="2">
        <f>AC339*Assumptions!$E$46*-1</f>
        <v>-38.231826589664863</v>
      </c>
      <c r="AG339" s="22">
        <f t="shared" si="100"/>
        <v>1146972.7197854654</v>
      </c>
      <c r="AH339" s="5">
        <f>Model_30y[[#This Row],[Mortgage Payment]]+Model_30y[[#This Row],[Total Upkeep]]+Model_30y[[#This Row],[Monthly Investment]]</f>
        <v>-7621.1025996551771</v>
      </c>
      <c r="AI339" s="5">
        <f>Model_Renter!D339*-1</f>
        <v>7705.0247066144102</v>
      </c>
      <c r="AJ339" s="5">
        <f t="shared" si="101"/>
        <v>83.922106959233133</v>
      </c>
    </row>
    <row r="340" spans="1:36" x14ac:dyDescent="0.25">
      <c r="A340" s="17">
        <f t="shared" si="96"/>
        <v>338</v>
      </c>
      <c r="B340" s="17">
        <f t="shared" si="92"/>
        <v>29</v>
      </c>
      <c r="C340" s="23">
        <f>IFERROR(IPMT(Assumptions!$D$16/12,Model_30y!A340, 360,Assumptions!$D$8), 0)</f>
        <v>-264.98952433882459</v>
      </c>
      <c r="D340" s="2">
        <f>IFERROR(PPMT(Assumptions!$D$16/12, Model_30y!A340, 360, Assumptions!$D$8), 0)</f>
        <v>-1933.4681085941133</v>
      </c>
      <c r="E340" s="2">
        <f t="shared" si="86"/>
        <v>-2198.4576329329379</v>
      </c>
      <c r="F340" s="2">
        <f>IF(I339&gt;1, Assumptions!$E$18, 0)*-1</f>
        <v>-2198.4576329329379</v>
      </c>
      <c r="G340" s="24">
        <f t="shared" si="87"/>
        <v>1</v>
      </c>
      <c r="H340" s="20">
        <f t="shared" si="93"/>
        <v>294613.91019094689</v>
      </c>
      <c r="I340" s="2">
        <f>MAX(Assumptions!$D$8-SUM(Model_30y!H340), 0)</f>
        <v>45386.089809053112</v>
      </c>
      <c r="J340" s="2">
        <f>J339*(1+(Assumptions!$E$51))</f>
        <v>1679657.9654855663</v>
      </c>
      <c r="K340" s="22">
        <f t="shared" si="88"/>
        <v>1634271.8756765132</v>
      </c>
      <c r="L340" s="5">
        <f t="shared" si="94"/>
        <v>379613.91019094666</v>
      </c>
      <c r="M340" s="63">
        <f>L340/Assumptions!$D$6</f>
        <v>0.8932092004492862</v>
      </c>
      <c r="N340" s="24">
        <f t="shared" si="102"/>
        <v>0</v>
      </c>
      <c r="O340" s="5">
        <f>N340*Assumptions!$E$25*-1</f>
        <v>0</v>
      </c>
      <c r="P340" s="20">
        <f>Assumptions!$E$35*J340*-1</f>
        <v>-3459.8203982374362</v>
      </c>
      <c r="Q340" s="5">
        <f>J340*Assumptions!$E$36*-1</f>
        <v>-1393.3403014354078</v>
      </c>
      <c r="R340" s="5">
        <f>(R328+(Model_30y!R328*Assumptions!$D$51))</f>
        <v>-1273.7152925708565</v>
      </c>
      <c r="S340" s="5">
        <f>S328+(S328*Assumptions!$D$51)</f>
        <v>0</v>
      </c>
      <c r="T340" s="5">
        <f t="shared" si="97"/>
        <v>0</v>
      </c>
      <c r="U340" s="22">
        <f t="shared" si="89"/>
        <v>-6126.8759922437002</v>
      </c>
      <c r="V340" s="5">
        <f>MAX(Assumptions!$E$18:$E$19)-U340</f>
        <v>8968.5090040423966</v>
      </c>
      <c r="W340" s="5">
        <f t="shared" si="90"/>
        <v>-2198.4576329329379</v>
      </c>
      <c r="X340" s="5">
        <f t="shared" si="95"/>
        <v>-6126.8759922437002</v>
      </c>
      <c r="Y340" s="5">
        <f>C340*Assumptions!$D$44*-1</f>
        <v>39.748428650823691</v>
      </c>
      <c r="Z340" s="5">
        <f t="shared" si="91"/>
        <v>682.92380751658254</v>
      </c>
      <c r="AA340" s="5">
        <f t="shared" si="98"/>
        <v>1146972.7197854654</v>
      </c>
      <c r="AB340" s="3">
        <f>Assumptions!$E$45</f>
        <v>6.9899151946608562E-3</v>
      </c>
      <c r="AC340" s="5">
        <f t="shared" si="99"/>
        <v>1155672.8856348719</v>
      </c>
      <c r="AD340" s="5">
        <f>AC340*Assumptions!$E$43</f>
        <v>1034.9923217606722</v>
      </c>
      <c r="AE340" s="2">
        <f>AD340*Assumptions!$D$44*-1</f>
        <v>-155.24884826410081</v>
      </c>
      <c r="AF340" s="2">
        <f>AC340*Assumptions!$E$46*-1</f>
        <v>-38.515368880162868</v>
      </c>
      <c r="AG340" s="22">
        <f t="shared" si="100"/>
        <v>1155479.1214177276</v>
      </c>
      <c r="AH340" s="5">
        <f>Model_30y[[#This Row],[Mortgage Payment]]+Model_30y[[#This Row],[Total Upkeep]]+Model_30y[[#This Row],[Monthly Investment]]</f>
        <v>-7642.4098176600555</v>
      </c>
      <c r="AI340" s="5">
        <f>Model_Renter!D340*-1</f>
        <v>7705.0247066144102</v>
      </c>
      <c r="AJ340" s="5">
        <f t="shared" si="101"/>
        <v>62.614888954354683</v>
      </c>
    </row>
    <row r="341" spans="1:36" x14ac:dyDescent="0.25">
      <c r="A341" s="17">
        <f t="shared" si="96"/>
        <v>339</v>
      </c>
      <c r="B341" s="17">
        <f t="shared" si="92"/>
        <v>29</v>
      </c>
      <c r="C341" s="23">
        <f>IFERROR(IPMT(Assumptions!$D$16/12,Model_30y!A341, 360,Assumptions!$D$8), 0)</f>
        <v>-254.16210293069756</v>
      </c>
      <c r="D341" s="2">
        <f>IFERROR(PPMT(Assumptions!$D$16/12, Model_30y!A341, 360, Assumptions!$D$8), 0)</f>
        <v>-1944.2955300022402</v>
      </c>
      <c r="E341" s="2">
        <f t="shared" si="86"/>
        <v>-2198.4576329329379</v>
      </c>
      <c r="F341" s="2">
        <f>IF(I340&gt;1, Assumptions!$E$18, 0)*-1</f>
        <v>-2198.4576329329379</v>
      </c>
      <c r="G341" s="24">
        <f t="shared" si="87"/>
        <v>1</v>
      </c>
      <c r="H341" s="20">
        <f t="shared" si="93"/>
        <v>296558.2057209491</v>
      </c>
      <c r="I341" s="2">
        <f>MAX(Assumptions!$D$8-SUM(Model_30y!H341), 0)</f>
        <v>43441.794279050897</v>
      </c>
      <c r="J341" s="2">
        <f>J340*(1+(Assumptions!$E$51))</f>
        <v>1686501.0999511455</v>
      </c>
      <c r="K341" s="22">
        <f t="shared" si="88"/>
        <v>1643059.3056720947</v>
      </c>
      <c r="L341" s="5">
        <f t="shared" si="94"/>
        <v>381558.20572094887</v>
      </c>
      <c r="M341" s="63">
        <f>L341/Assumptions!$D$6</f>
        <v>0.89778401346105619</v>
      </c>
      <c r="N341" s="24">
        <f t="shared" si="102"/>
        <v>0</v>
      </c>
      <c r="O341" s="5">
        <f>N341*Assumptions!$E$25*-1</f>
        <v>0</v>
      </c>
      <c r="P341" s="20">
        <f>Assumptions!$E$35*J341*-1</f>
        <v>-3473.916134809047</v>
      </c>
      <c r="Q341" s="5">
        <f>J341*Assumptions!$E$36*-1</f>
        <v>-1399.0169422962017</v>
      </c>
      <c r="R341" s="5">
        <f>(R329+(Model_30y!R329*Assumptions!$D$51))</f>
        <v>-1273.7152925708565</v>
      </c>
      <c r="S341" s="5">
        <f>S329+(S329*Assumptions!$D$51)</f>
        <v>0</v>
      </c>
      <c r="T341" s="5">
        <f t="shared" si="97"/>
        <v>0</v>
      </c>
      <c r="U341" s="22">
        <f t="shared" si="89"/>
        <v>-6146.6483696761043</v>
      </c>
      <c r="V341" s="5">
        <f>MAX(Assumptions!$E$18:$E$19)-U341</f>
        <v>8988.2813814748006</v>
      </c>
      <c r="W341" s="5">
        <f t="shared" si="90"/>
        <v>-2198.4576329329379</v>
      </c>
      <c r="X341" s="5">
        <f t="shared" si="95"/>
        <v>-6146.6483696761043</v>
      </c>
      <c r="Y341" s="5">
        <f>C341*Assumptions!$D$44*-1</f>
        <v>38.124315439604629</v>
      </c>
      <c r="Z341" s="5">
        <f t="shared" si="91"/>
        <v>681.29969430536346</v>
      </c>
      <c r="AA341" s="5">
        <f t="shared" si="98"/>
        <v>1155479.1214177276</v>
      </c>
      <c r="AB341" s="3">
        <f>Assumptions!$E$45</f>
        <v>6.9899151946608562E-3</v>
      </c>
      <c r="AC341" s="5">
        <f t="shared" si="99"/>
        <v>1164237.1221799441</v>
      </c>
      <c r="AD341" s="5">
        <f>AC341*Assumptions!$E$43</f>
        <v>1042.6622421819882</v>
      </c>
      <c r="AE341" s="2">
        <f>AD341*Assumptions!$D$44*-1</f>
        <v>-156.39933632729822</v>
      </c>
      <c r="AF341" s="2">
        <f>AC341*Assumptions!$E$46*-1</f>
        <v>-38.800791108035959</v>
      </c>
      <c r="AG341" s="22">
        <f t="shared" si="100"/>
        <v>1164041.9220525087</v>
      </c>
      <c r="AH341" s="5">
        <f>Model_30y[[#This Row],[Mortgage Payment]]+Model_30y[[#This Row],[Total Upkeep]]+Model_30y[[#This Row],[Monthly Investment]]</f>
        <v>-7663.8063083036786</v>
      </c>
      <c r="AI341" s="5">
        <f>Model_Renter!D341*-1</f>
        <v>7705.0247066144102</v>
      </c>
      <c r="AJ341" s="5">
        <f t="shared" si="101"/>
        <v>41.218398310731573</v>
      </c>
    </row>
    <row r="342" spans="1:36" x14ac:dyDescent="0.25">
      <c r="A342" s="17">
        <f t="shared" si="96"/>
        <v>340</v>
      </c>
      <c r="B342" s="17">
        <f t="shared" si="92"/>
        <v>29</v>
      </c>
      <c r="C342" s="23">
        <f>IFERROR(IPMT(Assumptions!$D$16/12,Model_30y!A342, 360,Assumptions!$D$8), 0)</f>
        <v>-243.27404796268507</v>
      </c>
      <c r="D342" s="2">
        <f>IFERROR(PPMT(Assumptions!$D$16/12, Model_30y!A342, 360, Assumptions!$D$8), 0)</f>
        <v>-1955.1835849702529</v>
      </c>
      <c r="E342" s="2">
        <f t="shared" si="86"/>
        <v>-2198.4576329329379</v>
      </c>
      <c r="F342" s="2">
        <f>IF(I341&gt;1, Assumptions!$E$18, 0)*-1</f>
        <v>-2198.4576329329379</v>
      </c>
      <c r="G342" s="24">
        <f t="shared" si="87"/>
        <v>1</v>
      </c>
      <c r="H342" s="20">
        <f t="shared" si="93"/>
        <v>298513.38930591935</v>
      </c>
      <c r="I342" s="2">
        <f>MAX(Assumptions!$D$8-SUM(Model_30y!H342), 0)</f>
        <v>41486.610694080649</v>
      </c>
      <c r="J342" s="2">
        <f>J341*(1+(Assumptions!$E$51))</f>
        <v>1693372.1141936055</v>
      </c>
      <c r="K342" s="22">
        <f t="shared" si="88"/>
        <v>1651885.5034995249</v>
      </c>
      <c r="L342" s="5">
        <f t="shared" si="94"/>
        <v>383513.38930591912</v>
      </c>
      <c r="M342" s="63">
        <f>L342/Assumptions!$D$6</f>
        <v>0.90238444542569207</v>
      </c>
      <c r="N342" s="24">
        <f t="shared" si="102"/>
        <v>0</v>
      </c>
      <c r="O342" s="5">
        <f>N342*Assumptions!$E$25*-1</f>
        <v>0</v>
      </c>
      <c r="P342" s="20">
        <f>Assumptions!$E$35*J342*-1</f>
        <v>-3488.0692991562719</v>
      </c>
      <c r="Q342" s="5">
        <f>J342*Assumptions!$E$36*-1</f>
        <v>-1404.7167104945377</v>
      </c>
      <c r="R342" s="5">
        <f>(R330+(Model_30y!R330*Assumptions!$D$51))</f>
        <v>-1273.7152925708565</v>
      </c>
      <c r="S342" s="5">
        <f>S330+(S330*Assumptions!$D$51)</f>
        <v>0</v>
      </c>
      <c r="T342" s="5">
        <f t="shared" si="97"/>
        <v>0</v>
      </c>
      <c r="U342" s="22">
        <f t="shared" si="89"/>
        <v>-6166.5013022216663</v>
      </c>
      <c r="V342" s="5">
        <f>MAX(Assumptions!$E$18:$E$19)-U342</f>
        <v>9008.1343140203626</v>
      </c>
      <c r="W342" s="5">
        <f t="shared" si="90"/>
        <v>-2198.4576329329379</v>
      </c>
      <c r="X342" s="5">
        <f t="shared" si="95"/>
        <v>-6166.5013022216663</v>
      </c>
      <c r="Y342" s="5">
        <f>C342*Assumptions!$D$44*-1</f>
        <v>36.491107194402758</v>
      </c>
      <c r="Z342" s="5">
        <f t="shared" si="91"/>
        <v>679.66648606016156</v>
      </c>
      <c r="AA342" s="5">
        <f t="shared" si="98"/>
        <v>1164041.9220525087</v>
      </c>
      <c r="AB342" s="3">
        <f>Assumptions!$E$45</f>
        <v>6.9899151946608562E-3</v>
      </c>
      <c r="AC342" s="5">
        <f t="shared" si="99"/>
        <v>1172858.142856746</v>
      </c>
      <c r="AD342" s="5">
        <f>AC342*Assumptions!$E$43</f>
        <v>1050.383017080439</v>
      </c>
      <c r="AE342" s="2">
        <f>AD342*Assumptions!$D$44*-1</f>
        <v>-157.55745256206583</v>
      </c>
      <c r="AF342" s="2">
        <f>AC342*Assumptions!$E$46*-1</f>
        <v>-39.088105793374559</v>
      </c>
      <c r="AG342" s="22">
        <f t="shared" si="100"/>
        <v>1172661.4972983906</v>
      </c>
      <c r="AH342" s="5">
        <f>Model_30y[[#This Row],[Mortgage Payment]]+Model_30y[[#This Row],[Total Upkeep]]+Model_30y[[#This Row],[Monthly Investment]]</f>
        <v>-7685.2924490944424</v>
      </c>
      <c r="AI342" s="5">
        <f>Model_Renter!D342*-1</f>
        <v>7705.0247066144102</v>
      </c>
      <c r="AJ342" s="5">
        <f t="shared" si="101"/>
        <v>19.732257519967789</v>
      </c>
    </row>
    <row r="343" spans="1:36" x14ac:dyDescent="0.25">
      <c r="A343" s="17">
        <f t="shared" si="96"/>
        <v>341</v>
      </c>
      <c r="B343" s="17">
        <f t="shared" si="92"/>
        <v>29</v>
      </c>
      <c r="C343" s="23">
        <f>IFERROR(IPMT(Assumptions!$D$16/12,Model_30y!A343, 360,Assumptions!$D$8), 0)</f>
        <v>-232.32501988685155</v>
      </c>
      <c r="D343" s="2">
        <f>IFERROR(PPMT(Assumptions!$D$16/12, Model_30y!A343, 360, Assumptions!$D$8), 0)</f>
        <v>-1966.1326130460864</v>
      </c>
      <c r="E343" s="2">
        <f t="shared" si="86"/>
        <v>-2198.4576329329379</v>
      </c>
      <c r="F343" s="2">
        <f>IF(I342&gt;1, Assumptions!$E$18, 0)*-1</f>
        <v>-2198.4576329329379</v>
      </c>
      <c r="G343" s="24">
        <f t="shared" si="87"/>
        <v>1</v>
      </c>
      <c r="H343" s="20">
        <f t="shared" si="93"/>
        <v>300479.52191896545</v>
      </c>
      <c r="I343" s="2">
        <f>MAX(Assumptions!$D$8-SUM(Model_30y!H343), 0)</f>
        <v>39520.478081034555</v>
      </c>
      <c r="J343" s="2">
        <f>J342*(1+(Assumptions!$E$51))</f>
        <v>1700271.1217986085</v>
      </c>
      <c r="K343" s="22">
        <f t="shared" si="88"/>
        <v>1660750.643717574</v>
      </c>
      <c r="L343" s="5">
        <f t="shared" si="94"/>
        <v>385479.52191896521</v>
      </c>
      <c r="M343" s="63">
        <f>L343/Assumptions!$D$6</f>
        <v>0.90701063980932994</v>
      </c>
      <c r="N343" s="24">
        <f t="shared" si="102"/>
        <v>0</v>
      </c>
      <c r="O343" s="5">
        <f>N343*Assumptions!$E$25*-1</f>
        <v>0</v>
      </c>
      <c r="P343" s="20">
        <f>Assumptions!$E$35*J343*-1</f>
        <v>-3502.2801252469781</v>
      </c>
      <c r="Q343" s="5">
        <f>J343*Assumptions!$E$36*-1</f>
        <v>-1410.4397002540516</v>
      </c>
      <c r="R343" s="5">
        <f>(R331+(Model_30y!R331*Assumptions!$D$51))</f>
        <v>-1273.7152925708565</v>
      </c>
      <c r="S343" s="5">
        <f>S331+(S331*Assumptions!$D$51)</f>
        <v>0</v>
      </c>
      <c r="T343" s="5">
        <f t="shared" si="97"/>
        <v>0</v>
      </c>
      <c r="U343" s="22">
        <f t="shared" si="89"/>
        <v>-6186.4351180718859</v>
      </c>
      <c r="V343" s="5">
        <f>MAX(Assumptions!$E$18:$E$19)-U343</f>
        <v>9028.0681298705822</v>
      </c>
      <c r="W343" s="5">
        <f t="shared" si="90"/>
        <v>-2198.4576329329379</v>
      </c>
      <c r="X343" s="5">
        <f t="shared" si="95"/>
        <v>-6186.4351180718859</v>
      </c>
      <c r="Y343" s="5">
        <f>C343*Assumptions!$D$44*-1</f>
        <v>34.84875298302773</v>
      </c>
      <c r="Z343" s="5">
        <f t="shared" si="91"/>
        <v>678.02413184878651</v>
      </c>
      <c r="AA343" s="5">
        <f t="shared" si="98"/>
        <v>1172661.4972983906</v>
      </c>
      <c r="AB343" s="3">
        <f>Assumptions!$E$45</f>
        <v>6.9899151946608562E-3</v>
      </c>
      <c r="AC343" s="5">
        <f t="shared" si="99"/>
        <v>1181536.3258483992</v>
      </c>
      <c r="AD343" s="5">
        <f>AC343*Assumptions!$E$43</f>
        <v>1058.1549851475629</v>
      </c>
      <c r="AE343" s="2">
        <f>AD343*Assumptions!$D$44*-1</f>
        <v>-158.72324777213444</v>
      </c>
      <c r="AF343" s="2">
        <f>AC343*Assumptions!$E$46*-1</f>
        <v>-39.377325539972198</v>
      </c>
      <c r="AG343" s="22">
        <f t="shared" si="100"/>
        <v>1181338.2252750872</v>
      </c>
      <c r="AH343" s="5">
        <f>Model_30y[[#This Row],[Mortgage Payment]]+Model_30y[[#This Row],[Total Upkeep]]+Model_30y[[#This Row],[Monthly Investment]]</f>
        <v>-7706.8686191560373</v>
      </c>
      <c r="AI343" s="5">
        <f>Model_Renter!D343*-1</f>
        <v>7705.0247066144102</v>
      </c>
      <c r="AJ343" s="5">
        <f t="shared" si="101"/>
        <v>-1.8439125416271054</v>
      </c>
    </row>
    <row r="344" spans="1:36" x14ac:dyDescent="0.25">
      <c r="A344" s="17">
        <f t="shared" si="96"/>
        <v>342</v>
      </c>
      <c r="B344" s="17">
        <f t="shared" si="92"/>
        <v>29</v>
      </c>
      <c r="C344" s="23">
        <f>IFERROR(IPMT(Assumptions!$D$16/12,Model_30y!A344, 360,Assumptions!$D$8), 0)</f>
        <v>-221.31467725379349</v>
      </c>
      <c r="D344" s="2">
        <f>IFERROR(PPMT(Assumptions!$D$16/12, Model_30y!A344, 360, Assumptions!$D$8), 0)</f>
        <v>-1977.1429556791445</v>
      </c>
      <c r="E344" s="2">
        <f t="shared" si="86"/>
        <v>-2198.4576329329379</v>
      </c>
      <c r="F344" s="2">
        <f>IF(I343&gt;1, Assumptions!$E$18, 0)*-1</f>
        <v>-2198.4576329329379</v>
      </c>
      <c r="G344" s="24">
        <f t="shared" si="87"/>
        <v>1</v>
      </c>
      <c r="H344" s="20">
        <f t="shared" si="93"/>
        <v>302456.6648746446</v>
      </c>
      <c r="I344" s="2">
        <f>MAX(Assumptions!$D$8-SUM(Model_30y!H344), 0)</f>
        <v>37543.335125355399</v>
      </c>
      <c r="J344" s="2">
        <f>J343*(1+(Assumptions!$E$51))</f>
        <v>1707198.2368145785</v>
      </c>
      <c r="K344" s="22">
        <f t="shared" si="88"/>
        <v>1669654.901689223</v>
      </c>
      <c r="L344" s="5">
        <f t="shared" si="94"/>
        <v>387456.66487464437</v>
      </c>
      <c r="M344" s="63">
        <f>L344/Assumptions!$D$6</f>
        <v>0.91166274088151611</v>
      </c>
      <c r="N344" s="24">
        <f t="shared" si="102"/>
        <v>0</v>
      </c>
      <c r="O344" s="5">
        <f>N344*Assumptions!$E$25*-1</f>
        <v>0</v>
      </c>
      <c r="P344" s="20">
        <f>Assumptions!$E$35*J344*-1</f>
        <v>-3516.5488480022454</v>
      </c>
      <c r="Q344" s="5">
        <f>J344*Assumptions!$E$36*-1</f>
        <v>-1416.1860061822583</v>
      </c>
      <c r="R344" s="5">
        <f>(R332+(Model_30y!R332*Assumptions!$D$51))</f>
        <v>-1273.7152925708565</v>
      </c>
      <c r="S344" s="5">
        <f>S332+(S332*Assumptions!$D$51)</f>
        <v>0</v>
      </c>
      <c r="T344" s="5">
        <f t="shared" si="97"/>
        <v>0</v>
      </c>
      <c r="U344" s="22">
        <f t="shared" si="89"/>
        <v>-6206.45014675536</v>
      </c>
      <c r="V344" s="5">
        <f>MAX(Assumptions!$E$18:$E$19)-U344</f>
        <v>9048.0831585540564</v>
      </c>
      <c r="W344" s="5">
        <f t="shared" si="90"/>
        <v>-2198.4576329329379</v>
      </c>
      <c r="X344" s="5">
        <f t="shared" si="95"/>
        <v>-6206.45014675536</v>
      </c>
      <c r="Y344" s="5">
        <f>C344*Assumptions!$D$44*-1</f>
        <v>33.197201588069021</v>
      </c>
      <c r="Z344" s="5">
        <f t="shared" si="91"/>
        <v>676.37258045382782</v>
      </c>
      <c r="AA344" s="5">
        <f t="shared" si="98"/>
        <v>1181338.2252750872</v>
      </c>
      <c r="AB344" s="3">
        <f>Assumptions!$E$45</f>
        <v>6.9899151946608562E-3</v>
      </c>
      <c r="AC344" s="5">
        <f t="shared" si="99"/>
        <v>1190272.051866425</v>
      </c>
      <c r="AD344" s="5">
        <f>AC344*Assumptions!$E$43</f>
        <v>1065.9784873392705</v>
      </c>
      <c r="AE344" s="2">
        <f>AD344*Assumptions!$D$44*-1</f>
        <v>-159.89677310089056</v>
      </c>
      <c r="AF344" s="2">
        <f>AC344*Assumptions!$E$46*-1</f>
        <v>-39.668463035886937</v>
      </c>
      <c r="AG344" s="22">
        <f t="shared" si="100"/>
        <v>1190072.4866302882</v>
      </c>
      <c r="AH344" s="5">
        <f>Model_30y[[#This Row],[Mortgage Payment]]+Model_30y[[#This Row],[Total Upkeep]]+Model_30y[[#This Row],[Monthly Investment]]</f>
        <v>-7728.5351992344695</v>
      </c>
      <c r="AI344" s="5">
        <f>Model_Renter!D344*-1</f>
        <v>7705.0247066144102</v>
      </c>
      <c r="AJ344" s="5">
        <f t="shared" si="101"/>
        <v>-23.510492620059267</v>
      </c>
    </row>
    <row r="345" spans="1:36" x14ac:dyDescent="0.25">
      <c r="A345" s="17">
        <f t="shared" si="96"/>
        <v>343</v>
      </c>
      <c r="B345" s="17">
        <f t="shared" si="92"/>
        <v>29</v>
      </c>
      <c r="C345" s="23">
        <f>IFERROR(IPMT(Assumptions!$D$16/12,Model_30y!A345, 360,Assumptions!$D$8), 0)</f>
        <v>-210.24267670199026</v>
      </c>
      <c r="D345" s="2">
        <f>IFERROR(PPMT(Assumptions!$D$16/12, Model_30y!A345, 360, Assumptions!$D$8), 0)</f>
        <v>-1988.2149562309473</v>
      </c>
      <c r="E345" s="2">
        <f t="shared" si="86"/>
        <v>-2198.4576329329375</v>
      </c>
      <c r="F345" s="2">
        <f>IF(I344&gt;1, Assumptions!$E$18, 0)*-1</f>
        <v>-2198.4576329329379</v>
      </c>
      <c r="G345" s="24">
        <f t="shared" si="87"/>
        <v>1</v>
      </c>
      <c r="H345" s="20">
        <f t="shared" si="93"/>
        <v>304444.87983087555</v>
      </c>
      <c r="I345" s="2">
        <f>MAX(Assumptions!$D$8-SUM(Model_30y!H345), 0)</f>
        <v>35555.12016912445</v>
      </c>
      <c r="J345" s="2">
        <f>J344*(1+(Assumptions!$E$51))</f>
        <v>1714153.5737545874</v>
      </c>
      <c r="K345" s="22">
        <f t="shared" si="88"/>
        <v>1678598.4535854631</v>
      </c>
      <c r="L345" s="5">
        <f t="shared" si="94"/>
        <v>389444.87983087532</v>
      </c>
      <c r="M345" s="63">
        <f>L345/Assumptions!$D$6</f>
        <v>0.91634089371970662</v>
      </c>
      <c r="N345" s="24">
        <f t="shared" si="102"/>
        <v>0</v>
      </c>
      <c r="O345" s="5">
        <f>N345*Assumptions!$E$25*-1</f>
        <v>0</v>
      </c>
      <c r="P345" s="20">
        <f>Assumptions!$E$35*J345*-1</f>
        <v>-3530.875703300253</v>
      </c>
      <c r="Q345" s="5">
        <f>J345*Assumptions!$E$36*-1</f>
        <v>-1421.9557232721156</v>
      </c>
      <c r="R345" s="5">
        <f>(R333+(Model_30y!R333*Assumptions!$D$51))</f>
        <v>-1273.7152925708565</v>
      </c>
      <c r="S345" s="5">
        <f>S333+(S333*Assumptions!$D$51)</f>
        <v>0</v>
      </c>
      <c r="T345" s="5">
        <f t="shared" si="97"/>
        <v>0</v>
      </c>
      <c r="U345" s="22">
        <f t="shared" si="89"/>
        <v>-6226.5467191432253</v>
      </c>
      <c r="V345" s="5">
        <f>MAX(Assumptions!$E$18:$E$19)-U345</f>
        <v>9068.1797309419217</v>
      </c>
      <c r="W345" s="5">
        <f t="shared" si="90"/>
        <v>-2198.4576329329379</v>
      </c>
      <c r="X345" s="5">
        <f t="shared" si="95"/>
        <v>-6226.5467191432253</v>
      </c>
      <c r="Y345" s="5">
        <f>C345*Assumptions!$D$44*-1</f>
        <v>31.536401505298539</v>
      </c>
      <c r="Z345" s="5">
        <f t="shared" si="91"/>
        <v>674.71178037105733</v>
      </c>
      <c r="AA345" s="5">
        <f t="shared" si="98"/>
        <v>1190072.4866302882</v>
      </c>
      <c r="AB345" s="3">
        <f>Assumptions!$E$45</f>
        <v>6.9899151946608562E-3</v>
      </c>
      <c r="AC345" s="5">
        <f t="shared" si="99"/>
        <v>1199065.7041677041</v>
      </c>
      <c r="AD345" s="5">
        <f>AC345*Assumptions!$E$43</f>
        <v>1073.8538668910346</v>
      </c>
      <c r="AE345" s="2">
        <f>AD345*Assumptions!$D$44*-1</f>
        <v>-161.0780800336552</v>
      </c>
      <c r="AF345" s="2">
        <f>AC345*Assumptions!$E$46*-1</f>
        <v>-39.961531054006613</v>
      </c>
      <c r="AG345" s="22">
        <f t="shared" si="100"/>
        <v>1198864.6645566165</v>
      </c>
      <c r="AH345" s="5">
        <f>Model_30y[[#This Row],[Mortgage Payment]]+Model_30y[[#This Row],[Total Upkeep]]+Model_30y[[#This Row],[Monthly Investment]]</f>
        <v>-7750.2925717051057</v>
      </c>
      <c r="AI345" s="5">
        <f>Model_Renter!D345*-1</f>
        <v>7705.0247066144102</v>
      </c>
      <c r="AJ345" s="5">
        <f t="shared" si="101"/>
        <v>-45.267865090695523</v>
      </c>
    </row>
    <row r="346" spans="1:36" x14ac:dyDescent="0.25">
      <c r="A346" s="17">
        <f t="shared" si="96"/>
        <v>344</v>
      </c>
      <c r="B346" s="17">
        <f t="shared" si="92"/>
        <v>29</v>
      </c>
      <c r="C346" s="23">
        <f>IFERROR(IPMT(Assumptions!$D$16/12,Model_30y!A346, 360,Assumptions!$D$8), 0)</f>
        <v>-199.10867294709701</v>
      </c>
      <c r="D346" s="2">
        <f>IFERROR(PPMT(Assumptions!$D$16/12, Model_30y!A346, 360, Assumptions!$D$8), 0)</f>
        <v>-1999.348959985841</v>
      </c>
      <c r="E346" s="2">
        <f t="shared" si="86"/>
        <v>-2198.4576329329379</v>
      </c>
      <c r="F346" s="2">
        <f>IF(I345&gt;1, Assumptions!$E$18, 0)*-1</f>
        <v>-2198.4576329329379</v>
      </c>
      <c r="G346" s="24">
        <f t="shared" si="87"/>
        <v>1</v>
      </c>
      <c r="H346" s="20">
        <f t="shared" si="93"/>
        <v>306444.22879086138</v>
      </c>
      <c r="I346" s="2">
        <f>MAX(Assumptions!$D$8-SUM(Model_30y!H346), 0)</f>
        <v>33555.77120913862</v>
      </c>
      <c r="J346" s="2">
        <f>J345*(1+(Assumptions!$E$51))</f>
        <v>1721137.2475982469</v>
      </c>
      <c r="K346" s="22">
        <f t="shared" si="88"/>
        <v>1687581.4763891082</v>
      </c>
      <c r="L346" s="5">
        <f t="shared" si="94"/>
        <v>391444.22879086115</v>
      </c>
      <c r="M346" s="63">
        <f>L346/Assumptions!$D$6</f>
        <v>0.92104524421379097</v>
      </c>
      <c r="N346" s="24">
        <f t="shared" si="102"/>
        <v>0</v>
      </c>
      <c r="O346" s="5">
        <f>N346*Assumptions!$E$25*-1</f>
        <v>0</v>
      </c>
      <c r="P346" s="20">
        <f>Assumptions!$E$35*J346*-1</f>
        <v>-3545.2609279801745</v>
      </c>
      <c r="Q346" s="5">
        <f>J346*Assumptions!$E$36*-1</f>
        <v>-1427.7489469035934</v>
      </c>
      <c r="R346" s="5">
        <f>(R334+(Model_30y!R334*Assumptions!$D$51))</f>
        <v>-1273.7152925708565</v>
      </c>
      <c r="S346" s="5">
        <f>S334+(S334*Assumptions!$D$51)</f>
        <v>0</v>
      </c>
      <c r="T346" s="5">
        <f t="shared" si="97"/>
        <v>0</v>
      </c>
      <c r="U346" s="22">
        <f t="shared" si="89"/>
        <v>-6246.7251674546242</v>
      </c>
      <c r="V346" s="5">
        <f>MAX(Assumptions!$E$18:$E$19)-U346</f>
        <v>9088.3581792533205</v>
      </c>
      <c r="W346" s="5">
        <f t="shared" si="90"/>
        <v>-2198.4576329329379</v>
      </c>
      <c r="X346" s="5">
        <f t="shared" si="95"/>
        <v>-6246.7251674546242</v>
      </c>
      <c r="Y346" s="5">
        <f>C346*Assumptions!$D$44*-1</f>
        <v>29.866300942064548</v>
      </c>
      <c r="Z346" s="5">
        <f t="shared" si="91"/>
        <v>673.04167980782336</v>
      </c>
      <c r="AA346" s="5">
        <f t="shared" si="98"/>
        <v>1198864.6645566165</v>
      </c>
      <c r="AB346" s="3">
        <f>Assumptions!$E$45</f>
        <v>6.9899151946608562E-3</v>
      </c>
      <c r="AC346" s="5">
        <f t="shared" si="99"/>
        <v>1207917.6685715506</v>
      </c>
      <c r="AD346" s="5">
        <f>AC346*Assumptions!$E$43</f>
        <v>1081.7814693331798</v>
      </c>
      <c r="AE346" s="2">
        <f>AD346*Assumptions!$D$44*-1</f>
        <v>-162.26722039997696</v>
      </c>
      <c r="AF346" s="2">
        <f>AC346*Assumptions!$E$46*-1</f>
        <v>-40.256542452617843</v>
      </c>
      <c r="AG346" s="22">
        <f t="shared" si="100"/>
        <v>1207715.144808698</v>
      </c>
      <c r="AH346" s="5">
        <f>Model_30y[[#This Row],[Mortgage Payment]]+Model_30y[[#This Row],[Total Upkeep]]+Model_30y[[#This Row],[Monthly Investment]]</f>
        <v>-7772.1411205797385</v>
      </c>
      <c r="AI346" s="5">
        <f>Model_Renter!D346*-1</f>
        <v>7705.0247066144102</v>
      </c>
      <c r="AJ346" s="5">
        <f t="shared" si="101"/>
        <v>-67.11641396532832</v>
      </c>
    </row>
    <row r="347" spans="1:36" x14ac:dyDescent="0.25">
      <c r="A347" s="17">
        <f t="shared" si="96"/>
        <v>345</v>
      </c>
      <c r="B347" s="17">
        <f t="shared" si="92"/>
        <v>29</v>
      </c>
      <c r="C347" s="23">
        <f>IFERROR(IPMT(Assumptions!$D$16/12,Model_30y!A347, 360,Assumptions!$D$8), 0)</f>
        <v>-187.9123187711763</v>
      </c>
      <c r="D347" s="2">
        <f>IFERROR(PPMT(Assumptions!$D$16/12, Model_30y!A347, 360, Assumptions!$D$8), 0)</f>
        <v>-2010.5453141617616</v>
      </c>
      <c r="E347" s="2">
        <f t="shared" si="86"/>
        <v>-2198.4576329329379</v>
      </c>
      <c r="F347" s="2">
        <f>IF(I346&gt;1, Assumptions!$E$18, 0)*-1</f>
        <v>-2198.4576329329379</v>
      </c>
      <c r="G347" s="24">
        <f t="shared" si="87"/>
        <v>1</v>
      </c>
      <c r="H347" s="20">
        <f t="shared" si="93"/>
        <v>308454.77410502313</v>
      </c>
      <c r="I347" s="2">
        <f>MAX(Assumptions!$D$8-SUM(Model_30y!H347), 0)</f>
        <v>31545.225894976873</v>
      </c>
      <c r="J347" s="2">
        <f>J346*(1+(Assumptions!$E$51))</f>
        <v>1728149.3737936099</v>
      </c>
      <c r="K347" s="22">
        <f t="shared" si="88"/>
        <v>1696604.147898633</v>
      </c>
      <c r="L347" s="5">
        <f t="shared" si="94"/>
        <v>393454.77410502289</v>
      </c>
      <c r="M347" s="63">
        <f>L347/Assumptions!$D$6</f>
        <v>0.92577593907064215</v>
      </c>
      <c r="N347" s="24">
        <f t="shared" si="102"/>
        <v>0</v>
      </c>
      <c r="O347" s="5">
        <f>N347*Assumptions!$E$25*-1</f>
        <v>0</v>
      </c>
      <c r="P347" s="20">
        <f>Assumptions!$E$35*J347*-1</f>
        <v>-3559.7047598460977</v>
      </c>
      <c r="Q347" s="5">
        <f>J347*Assumptions!$E$36*-1</f>
        <v>-1433.5657728452522</v>
      </c>
      <c r="R347" s="5">
        <f>(R335+(Model_30y!R335*Assumptions!$D$51))</f>
        <v>-1273.7152925708565</v>
      </c>
      <c r="S347" s="5">
        <f>S335+(S335*Assumptions!$D$51)</f>
        <v>0</v>
      </c>
      <c r="T347" s="5">
        <f t="shared" si="97"/>
        <v>0</v>
      </c>
      <c r="U347" s="22">
        <f t="shared" si="89"/>
        <v>-6266.9858252622071</v>
      </c>
      <c r="V347" s="5">
        <f>MAX(Assumptions!$E$18:$E$19)-U347</f>
        <v>9108.6188370609034</v>
      </c>
      <c r="W347" s="5">
        <f t="shared" si="90"/>
        <v>-2198.4576329329379</v>
      </c>
      <c r="X347" s="5">
        <f t="shared" si="95"/>
        <v>-6266.9858252622071</v>
      </c>
      <c r="Y347" s="5">
        <f>C347*Assumptions!$D$44*-1</f>
        <v>28.186847815676444</v>
      </c>
      <c r="Z347" s="5">
        <f t="shared" si="91"/>
        <v>671.36222668143523</v>
      </c>
      <c r="AA347" s="5">
        <f t="shared" si="98"/>
        <v>1207715.144808698</v>
      </c>
      <c r="AB347" s="3">
        <f>Assumptions!$E$45</f>
        <v>6.9899151946608562E-3</v>
      </c>
      <c r="AC347" s="5">
        <f t="shared" si="99"/>
        <v>1216828.3334768999</v>
      </c>
      <c r="AD347" s="5">
        <f>AC347*Assumptions!$E$43</f>
        <v>1089.7616425062765</v>
      </c>
      <c r="AE347" s="2">
        <f>AD347*Assumptions!$D$44*-1</f>
        <v>-163.46424637594149</v>
      </c>
      <c r="AF347" s="2">
        <f>AC347*Assumptions!$E$46*-1</f>
        <v>-40.553510175978865</v>
      </c>
      <c r="AG347" s="22">
        <f t="shared" si="100"/>
        <v>1216624.3157203479</v>
      </c>
      <c r="AH347" s="5">
        <f>Model_30y[[#This Row],[Mortgage Payment]]+Model_30y[[#This Row],[Total Upkeep]]+Model_30y[[#This Row],[Monthly Investment]]</f>
        <v>-7794.0812315137091</v>
      </c>
      <c r="AI347" s="5">
        <f>Model_Renter!D347*-1</f>
        <v>7705.0247066144102</v>
      </c>
      <c r="AJ347" s="5">
        <f t="shared" si="101"/>
        <v>-89.056524899298893</v>
      </c>
    </row>
    <row r="348" spans="1:36" x14ac:dyDescent="0.25">
      <c r="A348" s="17">
        <f t="shared" si="96"/>
        <v>346</v>
      </c>
      <c r="B348" s="17">
        <f t="shared" si="92"/>
        <v>29</v>
      </c>
      <c r="C348" s="23">
        <f>IFERROR(IPMT(Assumptions!$D$16/12,Model_30y!A348, 360,Assumptions!$D$8), 0)</f>
        <v>-176.65326501187042</v>
      </c>
      <c r="D348" s="2">
        <f>IFERROR(PPMT(Assumptions!$D$16/12, Model_30y!A348, 360, Assumptions!$D$8), 0)</f>
        <v>-2021.8043679210675</v>
      </c>
      <c r="E348" s="2">
        <f t="shared" si="86"/>
        <v>-2198.4576329329379</v>
      </c>
      <c r="F348" s="2">
        <f>IF(I347&gt;1, Assumptions!$E$18, 0)*-1</f>
        <v>-2198.4576329329379</v>
      </c>
      <c r="G348" s="24">
        <f t="shared" si="87"/>
        <v>1</v>
      </c>
      <c r="H348" s="20">
        <f t="shared" si="93"/>
        <v>310476.57847294421</v>
      </c>
      <c r="I348" s="2">
        <f>MAX(Assumptions!$D$8-SUM(Model_30y!H348), 0)</f>
        <v>29523.421527055791</v>
      </c>
      <c r="J348" s="2">
        <f>J347*(1+(Assumptions!$E$51))</f>
        <v>1735190.0682590795</v>
      </c>
      <c r="K348" s="22">
        <f t="shared" si="88"/>
        <v>1705666.6467320237</v>
      </c>
      <c r="L348" s="5">
        <f t="shared" si="94"/>
        <v>395476.57847294398</v>
      </c>
      <c r="M348" s="63">
        <f>L348/Assumptions!$D$6</f>
        <v>0.93053312581869174</v>
      </c>
      <c r="N348" s="24">
        <f t="shared" si="102"/>
        <v>0</v>
      </c>
      <c r="O348" s="5">
        <f>N348*Assumptions!$E$25*-1</f>
        <v>0</v>
      </c>
      <c r="P348" s="20">
        <f>Assumptions!$E$35*J348*-1</f>
        <v>-3574.2074376709529</v>
      </c>
      <c r="Q348" s="5">
        <f>J348*Assumptions!$E$36*-1</f>
        <v>-1439.4062972558252</v>
      </c>
      <c r="R348" s="5">
        <f>(R336+(Model_30y!R336*Assumptions!$D$51))</f>
        <v>-1273.7152925708565</v>
      </c>
      <c r="S348" s="5">
        <f>S336+(S336*Assumptions!$D$51)</f>
        <v>0</v>
      </c>
      <c r="T348" s="5">
        <f t="shared" si="97"/>
        <v>0</v>
      </c>
      <c r="U348" s="22">
        <f t="shared" si="89"/>
        <v>-6287.3290274976353</v>
      </c>
      <c r="V348" s="5">
        <f>MAX(Assumptions!$E$18:$E$19)-U348</f>
        <v>9128.9620392963316</v>
      </c>
      <c r="W348" s="5">
        <f t="shared" si="90"/>
        <v>-2198.4576329329379</v>
      </c>
      <c r="X348" s="5">
        <f t="shared" si="95"/>
        <v>-6287.3290274976353</v>
      </c>
      <c r="Y348" s="5">
        <f>C348*Assumptions!$D$44*-1</f>
        <v>26.497989751780562</v>
      </c>
      <c r="Z348" s="5">
        <f t="shared" si="91"/>
        <v>669.67336861753938</v>
      </c>
      <c r="AA348" s="5">
        <f t="shared" si="98"/>
        <v>1216624.3157203479</v>
      </c>
      <c r="AB348" s="3">
        <f>Assumptions!$E$45</f>
        <v>6.9899151946608562E-3</v>
      </c>
      <c r="AC348" s="5">
        <f t="shared" si="99"/>
        <v>1225798.0898796129</v>
      </c>
      <c r="AD348" s="5">
        <f>AC348*Assumptions!$E$43</f>
        <v>1097.7947365766383</v>
      </c>
      <c r="AE348" s="2">
        <f>AD348*Assumptions!$D$44*-1</f>
        <v>-164.66921048649576</v>
      </c>
      <c r="AF348" s="2">
        <f>AC348*Assumptions!$E$46*-1</f>
        <v>-40.852447254896234</v>
      </c>
      <c r="AG348" s="22">
        <f t="shared" si="100"/>
        <v>1225592.5682218715</v>
      </c>
      <c r="AH348" s="5">
        <f>Model_30y[[#This Row],[Mortgage Payment]]+Model_30y[[#This Row],[Total Upkeep]]+Model_30y[[#This Row],[Monthly Investment]]</f>
        <v>-7816.1132918130334</v>
      </c>
      <c r="AI348" s="5">
        <f>Model_Renter!D348*-1</f>
        <v>7705.0247066144102</v>
      </c>
      <c r="AJ348" s="5">
        <f t="shared" si="101"/>
        <v>-111.08858519862315</v>
      </c>
    </row>
    <row r="349" spans="1:36" x14ac:dyDescent="0.25">
      <c r="A349" s="17">
        <f t="shared" si="96"/>
        <v>347</v>
      </c>
      <c r="B349" s="17">
        <f t="shared" si="92"/>
        <v>29</v>
      </c>
      <c r="C349" s="23">
        <f>IFERROR(IPMT(Assumptions!$D$16/12,Model_30y!A349, 360,Assumptions!$D$8), 0)</f>
        <v>-165.33116055151245</v>
      </c>
      <c r="D349" s="2">
        <f>IFERROR(PPMT(Assumptions!$D$16/12, Model_30y!A349, 360, Assumptions!$D$8), 0)</f>
        <v>-2033.1264723814254</v>
      </c>
      <c r="E349" s="2">
        <f t="shared" si="86"/>
        <v>-2198.4576329329379</v>
      </c>
      <c r="F349" s="2">
        <f>IF(I348&gt;1, Assumptions!$E$18, 0)*-1</f>
        <v>-2198.4576329329379</v>
      </c>
      <c r="G349" s="24">
        <f t="shared" si="87"/>
        <v>1</v>
      </c>
      <c r="H349" s="20">
        <f t="shared" si="93"/>
        <v>312509.70494532562</v>
      </c>
      <c r="I349" s="2">
        <f>MAX(Assumptions!$D$8-SUM(Model_30y!H349), 0)</f>
        <v>27490.295054674381</v>
      </c>
      <c r="J349" s="2">
        <f>J348*(1+(Assumptions!$E$51))</f>
        <v>1742259.4473853242</v>
      </c>
      <c r="K349" s="22">
        <f t="shared" si="88"/>
        <v>1714769.1523306498</v>
      </c>
      <c r="L349" s="5">
        <f t="shared" si="94"/>
        <v>397509.70494532539</v>
      </c>
      <c r="M349" s="63">
        <f>L349/Assumptions!$D$6</f>
        <v>0.93531695281253036</v>
      </c>
      <c r="N349" s="24">
        <f t="shared" si="102"/>
        <v>0</v>
      </c>
      <c r="O349" s="5">
        <f>N349*Assumptions!$E$25*-1</f>
        <v>0</v>
      </c>
      <c r="P349" s="20">
        <f>Assumptions!$E$35*J349*-1</f>
        <v>-3588.7692012004609</v>
      </c>
      <c r="Q349" s="5">
        <f>J349*Assumptions!$E$36*-1</f>
        <v>-1445.2706166858084</v>
      </c>
      <c r="R349" s="5">
        <f>(R337+(Model_30y!R337*Assumptions!$D$51))</f>
        <v>-1273.7152925708565</v>
      </c>
      <c r="S349" s="5">
        <f>S337+(S337*Assumptions!$D$51)</f>
        <v>0</v>
      </c>
      <c r="T349" s="5">
        <f t="shared" si="97"/>
        <v>0</v>
      </c>
      <c r="U349" s="22">
        <f t="shared" si="89"/>
        <v>-6307.7551104571248</v>
      </c>
      <c r="V349" s="5">
        <f>MAX(Assumptions!$E$18:$E$19)-U349</f>
        <v>9149.3881222558211</v>
      </c>
      <c r="W349" s="5">
        <f t="shared" si="90"/>
        <v>-2198.4576329329379</v>
      </c>
      <c r="X349" s="5">
        <f t="shared" si="95"/>
        <v>-6307.7551104571248</v>
      </c>
      <c r="Y349" s="5">
        <f>C349*Assumptions!$D$44*-1</f>
        <v>24.799674082726867</v>
      </c>
      <c r="Z349" s="5">
        <f t="shared" si="91"/>
        <v>667.97505294848565</v>
      </c>
      <c r="AA349" s="5">
        <f t="shared" si="98"/>
        <v>1225592.5682218715</v>
      </c>
      <c r="AB349" s="3">
        <f>Assumptions!$E$45</f>
        <v>6.9899151946608562E-3</v>
      </c>
      <c r="AC349" s="5">
        <f t="shared" si="99"/>
        <v>1234827.3313898975</v>
      </c>
      <c r="AD349" s="5">
        <f>AC349*Assumptions!$E$43</f>
        <v>1105.881104051924</v>
      </c>
      <c r="AE349" s="2">
        <f>AD349*Assumptions!$D$44*-1</f>
        <v>-165.88216560778861</v>
      </c>
      <c r="AF349" s="2">
        <f>AC349*Assumptions!$E$46*-1</f>
        <v>-41.153366807305432</v>
      </c>
      <c r="AG349" s="22">
        <f t="shared" si="100"/>
        <v>1234620.2958574824</v>
      </c>
      <c r="AH349" s="5">
        <f>Model_30y[[#This Row],[Mortgage Payment]]+Model_30y[[#This Row],[Total Upkeep]]+Model_30y[[#This Row],[Monthly Investment]]</f>
        <v>-7838.2376904415769</v>
      </c>
      <c r="AI349" s="5">
        <f>Model_Renter!D349*-1</f>
        <v>7705.0247066144102</v>
      </c>
      <c r="AJ349" s="5">
        <f t="shared" si="101"/>
        <v>-133.21298382716668</v>
      </c>
    </row>
    <row r="350" spans="1:36" x14ac:dyDescent="0.25">
      <c r="A350" s="17">
        <f t="shared" si="96"/>
        <v>348</v>
      </c>
      <c r="B350" s="17">
        <f t="shared" si="92"/>
        <v>29</v>
      </c>
      <c r="C350" s="23">
        <f>IFERROR(IPMT(Assumptions!$D$16/12,Model_30y!A350, 360,Assumptions!$D$8), 0)</f>
        <v>-153.94565230617647</v>
      </c>
      <c r="D350" s="2">
        <f>IFERROR(PPMT(Assumptions!$D$16/12, Model_30y!A350, 360, Assumptions!$D$8), 0)</f>
        <v>-2044.5119806267614</v>
      </c>
      <c r="E350" s="2">
        <f t="shared" si="86"/>
        <v>-2198.4576329329379</v>
      </c>
      <c r="F350" s="2">
        <f>IF(I349&gt;1, Assumptions!$E$18, 0)*-1</f>
        <v>-2198.4576329329379</v>
      </c>
      <c r="G350" s="24">
        <f t="shared" si="87"/>
        <v>1</v>
      </c>
      <c r="H350" s="20">
        <f t="shared" si="93"/>
        <v>314554.21692595241</v>
      </c>
      <c r="I350" s="2">
        <f>MAX(Assumptions!$D$8-SUM(Model_30y!H350), 0)</f>
        <v>25445.783074047591</v>
      </c>
      <c r="J350" s="2">
        <f>J349*(1+(Assumptions!$E$51))</f>
        <v>1749357.6280372026</v>
      </c>
      <c r="K350" s="22">
        <f t="shared" si="88"/>
        <v>1723911.844963155</v>
      </c>
      <c r="L350" s="5">
        <f t="shared" si="94"/>
        <v>399554.21692595218</v>
      </c>
      <c r="M350" s="63">
        <f>L350/Assumptions!$D$6</f>
        <v>0.94012756923753449</v>
      </c>
      <c r="N350" s="24">
        <f t="shared" si="102"/>
        <v>0</v>
      </c>
      <c r="O350" s="5">
        <f>N350*Assumptions!$E$25*-1</f>
        <v>0</v>
      </c>
      <c r="P350" s="20">
        <f>Assumptions!$E$35*J350*-1</f>
        <v>-3603.3902911570963</v>
      </c>
      <c r="Q350" s="5">
        <f>J350*Assumptions!$E$36*-1</f>
        <v>-1451.1588280790561</v>
      </c>
      <c r="R350" s="5">
        <f>(R338+(Model_30y!R338*Assumptions!$D$51))</f>
        <v>-1273.7152925708565</v>
      </c>
      <c r="S350" s="5">
        <f>S338+(S338*Assumptions!$D$51)</f>
        <v>0</v>
      </c>
      <c r="T350" s="5">
        <f t="shared" si="97"/>
        <v>0</v>
      </c>
      <c r="U350" s="22">
        <f t="shared" si="89"/>
        <v>-6328.2644118070093</v>
      </c>
      <c r="V350" s="5">
        <f>MAX(Assumptions!$E$18:$E$19)-U350</f>
        <v>9169.8974236057056</v>
      </c>
      <c r="W350" s="5">
        <f t="shared" si="90"/>
        <v>-2198.4576329329379</v>
      </c>
      <c r="X350" s="5">
        <f t="shared" si="95"/>
        <v>-6328.2644118070093</v>
      </c>
      <c r="Y350" s="5">
        <f>C350*Assumptions!$D$44*-1</f>
        <v>23.09184784592647</v>
      </c>
      <c r="Z350" s="5">
        <f t="shared" si="91"/>
        <v>666.26722671168534</v>
      </c>
      <c r="AA350" s="5">
        <f t="shared" si="98"/>
        <v>1234620.2958574824</v>
      </c>
      <c r="AB350" s="3">
        <f>Assumptions!$E$45</f>
        <v>6.9899151946608562E-3</v>
      </c>
      <c r="AC350" s="5">
        <f t="shared" si="99"/>
        <v>1243916.4542498449</v>
      </c>
      <c r="AD350" s="5">
        <f>AC350*Assumptions!$E$43</f>
        <v>1114.021099796842</v>
      </c>
      <c r="AE350" s="2">
        <f>AD350*Assumptions!$D$44*-1</f>
        <v>-167.10316496952629</v>
      </c>
      <c r="AF350" s="2">
        <f>AC350*Assumptions!$E$46*-1</f>
        <v>-41.456282038855299</v>
      </c>
      <c r="AG350" s="22">
        <f t="shared" si="100"/>
        <v>1243707.8948028365</v>
      </c>
      <c r="AH350" s="5">
        <f>Model_30y[[#This Row],[Mortgage Payment]]+Model_30y[[#This Row],[Total Upkeep]]+Model_30y[[#This Row],[Monthly Investment]]</f>
        <v>-7860.4548180282618</v>
      </c>
      <c r="AI350" s="5">
        <f>Model_Renter!D350*-1</f>
        <v>7705.0247066144102</v>
      </c>
      <c r="AJ350" s="5">
        <f t="shared" si="101"/>
        <v>-155.43011141385159</v>
      </c>
    </row>
    <row r="351" spans="1:36" x14ac:dyDescent="0.25">
      <c r="A351" s="17">
        <f t="shared" si="96"/>
        <v>349</v>
      </c>
      <c r="B351" s="17">
        <f t="shared" si="92"/>
        <v>30</v>
      </c>
      <c r="C351" s="23">
        <f>IFERROR(IPMT(Assumptions!$D$16/12,Model_30y!A351, 360,Assumptions!$D$8), 0)</f>
        <v>-142.49638521466662</v>
      </c>
      <c r="D351" s="2">
        <f>IFERROR(PPMT(Assumptions!$D$16/12, Model_30y!A351, 360, Assumptions!$D$8), 0)</f>
        <v>-2055.9612477182709</v>
      </c>
      <c r="E351" s="2">
        <f t="shared" si="86"/>
        <v>-2198.4576329329375</v>
      </c>
      <c r="F351" s="2">
        <f>IF(I350&gt;1, Assumptions!$E$18, 0)*-1</f>
        <v>-2198.4576329329379</v>
      </c>
      <c r="G351" s="24">
        <f t="shared" si="87"/>
        <v>1</v>
      </c>
      <c r="H351" s="20">
        <f t="shared" si="93"/>
        <v>316610.17817367066</v>
      </c>
      <c r="I351" s="2">
        <f>MAX(Assumptions!$D$8-SUM(Model_30y!H351), 0)</f>
        <v>23389.821826329338</v>
      </c>
      <c r="J351" s="2">
        <f>J350*(1+(Assumptions!$E$51))</f>
        <v>1756484.7275556957</v>
      </c>
      <c r="K351" s="22">
        <f t="shared" si="88"/>
        <v>1733094.9057293665</v>
      </c>
      <c r="L351" s="5">
        <f t="shared" si="94"/>
        <v>401610.17817367043</v>
      </c>
      <c r="M351" s="63">
        <f>L351/Assumptions!$D$6</f>
        <v>0.94496512511451869</v>
      </c>
      <c r="N351" s="24">
        <f t="shared" si="102"/>
        <v>0</v>
      </c>
      <c r="O351" s="5">
        <f>N351*Assumptions!$E$25*-1</f>
        <v>0</v>
      </c>
      <c r="P351" s="20">
        <f>Assumptions!$E$35*J351*-1</f>
        <v>-3618.0709492440669</v>
      </c>
      <c r="Q351" s="5">
        <f>J351*Assumptions!$E$36*-1</f>
        <v>-1457.0710287743843</v>
      </c>
      <c r="R351" s="5">
        <f>(R339+(Model_30y!R339*Assumptions!$D$51))</f>
        <v>-1337.4010571993992</v>
      </c>
      <c r="S351" s="5">
        <f>S339+(S339*Assumptions!$D$51)</f>
        <v>0</v>
      </c>
      <c r="T351" s="5">
        <f t="shared" si="97"/>
        <v>0</v>
      </c>
      <c r="U351" s="22">
        <f t="shared" si="89"/>
        <v>-6412.543035217851</v>
      </c>
      <c r="V351" s="5">
        <f>MAX(Assumptions!$E$18:$E$19)-U351</f>
        <v>9254.1760470165482</v>
      </c>
      <c r="W351" s="5">
        <f t="shared" si="90"/>
        <v>-2198.4576329329379</v>
      </c>
      <c r="X351" s="5">
        <f t="shared" si="95"/>
        <v>-6412.543035217851</v>
      </c>
      <c r="Y351" s="5">
        <f>C351*Assumptions!$D$44*-1</f>
        <v>21.374457782199993</v>
      </c>
      <c r="Z351" s="5">
        <f t="shared" si="91"/>
        <v>664.54983664795975</v>
      </c>
      <c r="AA351" s="5">
        <f t="shared" si="98"/>
        <v>1243707.8948028365</v>
      </c>
      <c r="AB351" s="3">
        <f>Assumptions!$E$45</f>
        <v>6.9899151946608562E-3</v>
      </c>
      <c r="AC351" s="5">
        <f t="shared" si="99"/>
        <v>1253065.8573510863</v>
      </c>
      <c r="AD351" s="5">
        <f>AC351*Assumptions!$E$43</f>
        <v>1122.2150810489643</v>
      </c>
      <c r="AE351" s="2">
        <f>AD351*Assumptions!$D$44*-1</f>
        <v>-168.33226215734464</v>
      </c>
      <c r="AF351" s="2">
        <f>AC351*Assumptions!$E$46*-1</f>
        <v>-41.761206243496503</v>
      </c>
      <c r="AG351" s="22">
        <f t="shared" si="100"/>
        <v>1252855.7638826855</v>
      </c>
      <c r="AH351" s="5">
        <f>Model_30y[[#This Row],[Mortgage Payment]]+Model_30y[[#This Row],[Total Upkeep]]+Model_30y[[#This Row],[Monthly Investment]]</f>
        <v>-7946.4508315028297</v>
      </c>
      <c r="AI351" s="5">
        <f>Model_Renter!D351*-1</f>
        <v>7993.1926306417899</v>
      </c>
      <c r="AJ351" s="5">
        <f t="shared" si="101"/>
        <v>46.741799138960232</v>
      </c>
    </row>
    <row r="352" spans="1:36" x14ac:dyDescent="0.25">
      <c r="A352" s="17">
        <f t="shared" si="96"/>
        <v>350</v>
      </c>
      <c r="B352" s="17">
        <f t="shared" si="92"/>
        <v>30</v>
      </c>
      <c r="C352" s="23">
        <f>IFERROR(IPMT(Assumptions!$D$16/12,Model_30y!A352, 360,Assumptions!$D$8), 0)</f>
        <v>-130.98300222744427</v>
      </c>
      <c r="D352" s="2">
        <f>IFERROR(PPMT(Assumptions!$D$16/12, Model_30y!A352, 360, Assumptions!$D$8), 0)</f>
        <v>-2067.4746307054938</v>
      </c>
      <c r="E352" s="2">
        <f t="shared" si="86"/>
        <v>-2198.4576329329379</v>
      </c>
      <c r="F352" s="2">
        <f>IF(I351&gt;1, Assumptions!$E$18, 0)*-1</f>
        <v>-2198.4576329329379</v>
      </c>
      <c r="G352" s="24">
        <f t="shared" si="87"/>
        <v>1</v>
      </c>
      <c r="H352" s="20">
        <f t="shared" si="93"/>
        <v>318677.65280437615</v>
      </c>
      <c r="I352" s="2">
        <f>MAX(Assumptions!$D$8-SUM(Model_30y!H352), 0)</f>
        <v>21322.34719562385</v>
      </c>
      <c r="J352" s="2">
        <f>J351*(1+(Assumptions!$E$51))</f>
        <v>1763640.8637598455</v>
      </c>
      <c r="K352" s="22">
        <f t="shared" si="88"/>
        <v>1742318.5165642216</v>
      </c>
      <c r="L352" s="5">
        <f t="shared" si="94"/>
        <v>403677.65280437592</v>
      </c>
      <c r="M352" s="63">
        <f>L352/Assumptions!$D$6</f>
        <v>0.94982977130441393</v>
      </c>
      <c r="N352" s="24">
        <f t="shared" si="102"/>
        <v>0</v>
      </c>
      <c r="O352" s="5">
        <f>N352*Assumptions!$E$25*-1</f>
        <v>0</v>
      </c>
      <c r="P352" s="20">
        <f>Assumptions!$E$35*J352*-1</f>
        <v>-3632.8114181493097</v>
      </c>
      <c r="Q352" s="5">
        <f>J352*Assumptions!$E$36*-1</f>
        <v>-1463.007316507179</v>
      </c>
      <c r="R352" s="5">
        <f>(R340+(Model_30y!R340*Assumptions!$D$51))</f>
        <v>-1337.4010571993992</v>
      </c>
      <c r="S352" s="5">
        <f>S340+(S340*Assumptions!$D$51)</f>
        <v>0</v>
      </c>
      <c r="T352" s="5">
        <f t="shared" si="97"/>
        <v>0</v>
      </c>
      <c r="U352" s="22">
        <f t="shared" si="89"/>
        <v>-6433.2197918558877</v>
      </c>
      <c r="V352" s="5">
        <f>MAX(Assumptions!$E$18:$E$19)-U352</f>
        <v>9274.8528036545849</v>
      </c>
      <c r="W352" s="5">
        <f t="shared" si="90"/>
        <v>-2198.4576329329379</v>
      </c>
      <c r="X352" s="5">
        <f t="shared" si="95"/>
        <v>-6433.2197918558877</v>
      </c>
      <c r="Y352" s="5">
        <f>C352*Assumptions!$D$44*-1</f>
        <v>19.647450334116641</v>
      </c>
      <c r="Z352" s="5">
        <f t="shared" si="91"/>
        <v>662.82282919987642</v>
      </c>
      <c r="AA352" s="5">
        <f t="shared" si="98"/>
        <v>1252855.7638826855</v>
      </c>
      <c r="AB352" s="3">
        <f>Assumptions!$E$45</f>
        <v>6.9899151946608562E-3</v>
      </c>
      <c r="AC352" s="5">
        <f t="shared" si="99"/>
        <v>1262275.9422525675</v>
      </c>
      <c r="AD352" s="5">
        <f>AC352*Assumptions!$E$43</f>
        <v>1130.4634074346441</v>
      </c>
      <c r="AE352" s="2">
        <f>AD352*Assumptions!$D$44*-1</f>
        <v>-169.5695111151966</v>
      </c>
      <c r="AF352" s="2">
        <f>AC352*Assumptions!$E$46*-1</f>
        <v>-42.06815280407389</v>
      </c>
      <c r="AG352" s="22">
        <f t="shared" si="100"/>
        <v>1262064.3045886483</v>
      </c>
      <c r="AH352" s="5">
        <f>Model_30y[[#This Row],[Mortgage Payment]]+Model_30y[[#This Row],[Total Upkeep]]+Model_30y[[#This Row],[Monthly Investment]]</f>
        <v>-7968.8545955889495</v>
      </c>
      <c r="AI352" s="5">
        <f>Model_Renter!D352*-1</f>
        <v>7993.1926306417899</v>
      </c>
      <c r="AJ352" s="5">
        <f t="shared" si="101"/>
        <v>24.338035052840496</v>
      </c>
    </row>
    <row r="353" spans="1:36" x14ac:dyDescent="0.25">
      <c r="A353" s="17">
        <f t="shared" si="96"/>
        <v>351</v>
      </c>
      <c r="B353" s="17">
        <f t="shared" si="92"/>
        <v>30</v>
      </c>
      <c r="C353" s="23">
        <f>IFERROR(IPMT(Assumptions!$D$16/12,Model_30y!A353, 360,Assumptions!$D$8), 0)</f>
        <v>-119.4051442954935</v>
      </c>
      <c r="D353" s="2">
        <f>IFERROR(PPMT(Assumptions!$D$16/12, Model_30y!A353, 360, Assumptions!$D$8), 0)</f>
        <v>-2079.0524886374442</v>
      </c>
      <c r="E353" s="2">
        <f t="shared" si="86"/>
        <v>-2198.4576329329375</v>
      </c>
      <c r="F353" s="2">
        <f>IF(I352&gt;1, Assumptions!$E$18, 0)*-1</f>
        <v>-2198.4576329329379</v>
      </c>
      <c r="G353" s="24">
        <f t="shared" si="87"/>
        <v>1</v>
      </c>
      <c r="H353" s="20">
        <f t="shared" si="93"/>
        <v>320756.7052930136</v>
      </c>
      <c r="I353" s="2">
        <f>MAX(Assumptions!$D$8-SUM(Model_30y!H353), 0)</f>
        <v>19243.294706986402</v>
      </c>
      <c r="J353" s="2">
        <f>J352*(1+(Assumptions!$E$51))</f>
        <v>1770826.1549487037</v>
      </c>
      <c r="K353" s="22">
        <f t="shared" si="88"/>
        <v>1751582.8602417172</v>
      </c>
      <c r="L353" s="5">
        <f t="shared" si="94"/>
        <v>405756.70529301337</v>
      </c>
      <c r="M353" s="63">
        <f>L353/Assumptions!$D$6</f>
        <v>0.95472165951297261</v>
      </c>
      <c r="N353" s="24">
        <f t="shared" si="102"/>
        <v>0</v>
      </c>
      <c r="O353" s="5">
        <f>N353*Assumptions!$E$25*-1</f>
        <v>0</v>
      </c>
      <c r="P353" s="20">
        <f>Assumptions!$E$35*J353*-1</f>
        <v>-3647.6119415495014</v>
      </c>
      <c r="Q353" s="5">
        <f>J353*Assumptions!$E$36*-1</f>
        <v>-1468.9677894110125</v>
      </c>
      <c r="R353" s="5">
        <f>(R341+(Model_30y!R341*Assumptions!$D$51))</f>
        <v>-1337.4010571993992</v>
      </c>
      <c r="S353" s="5">
        <f>S341+(S341*Assumptions!$D$51)</f>
        <v>0</v>
      </c>
      <c r="T353" s="5">
        <f t="shared" si="97"/>
        <v>0</v>
      </c>
      <c r="U353" s="22">
        <f t="shared" si="89"/>
        <v>-6453.9807881599136</v>
      </c>
      <c r="V353" s="5">
        <f>MAX(Assumptions!$E$18:$E$19)-U353</f>
        <v>9295.6137999586099</v>
      </c>
      <c r="W353" s="5">
        <f t="shared" si="90"/>
        <v>-2198.4576329329379</v>
      </c>
      <c r="X353" s="5">
        <f t="shared" si="95"/>
        <v>-6453.9807881599136</v>
      </c>
      <c r="Y353" s="5">
        <f>C353*Assumptions!$D$44*-1</f>
        <v>17.910771644324026</v>
      </c>
      <c r="Z353" s="5">
        <f t="shared" si="91"/>
        <v>661.0861505100828</v>
      </c>
      <c r="AA353" s="5">
        <f t="shared" si="98"/>
        <v>1262064.3045886483</v>
      </c>
      <c r="AB353" s="3">
        <f>Assumptions!$E$45</f>
        <v>6.9899151946608562E-3</v>
      </c>
      <c r="AC353" s="5">
        <f t="shared" si="99"/>
        <v>1271547.1131984415</v>
      </c>
      <c r="AD353" s="5">
        <f>AC353*Assumptions!$E$43</f>
        <v>1138.7664409850408</v>
      </c>
      <c r="AE353" s="2">
        <f>AD353*Assumptions!$D$44*-1</f>
        <v>-170.81496614775611</v>
      </c>
      <c r="AF353" s="2">
        <f>AC353*Assumptions!$E$46*-1</f>
        <v>-42.377135192922808</v>
      </c>
      <c r="AG353" s="22">
        <f t="shared" si="100"/>
        <v>1271333.9210971007</v>
      </c>
      <c r="AH353" s="5">
        <f>Model_30y[[#This Row],[Mortgage Payment]]+Model_30y[[#This Row],[Total Upkeep]]+Model_30y[[#This Row],[Monthly Investment]]</f>
        <v>-7991.3522705827681</v>
      </c>
      <c r="AI353" s="5">
        <f>Model_Renter!D353*-1</f>
        <v>7993.1926306417899</v>
      </c>
      <c r="AJ353" s="5">
        <f t="shared" si="101"/>
        <v>1.8403600590218048</v>
      </c>
    </row>
    <row r="354" spans="1:36" x14ac:dyDescent="0.25">
      <c r="A354" s="17">
        <f t="shared" si="96"/>
        <v>352</v>
      </c>
      <c r="B354" s="17">
        <f t="shared" si="92"/>
        <v>30</v>
      </c>
      <c r="C354" s="23">
        <f>IFERROR(IPMT(Assumptions!$D$16/12,Model_30y!A354, 360,Assumptions!$D$8), 0)</f>
        <v>-107.7624503591238</v>
      </c>
      <c r="D354" s="2">
        <f>IFERROR(PPMT(Assumptions!$D$16/12, Model_30y!A354, 360, Assumptions!$D$8), 0)</f>
        <v>-2090.6951825738142</v>
      </c>
      <c r="E354" s="2">
        <f t="shared" si="86"/>
        <v>-2198.4576329329379</v>
      </c>
      <c r="F354" s="2">
        <f>IF(I353&gt;1, Assumptions!$E$18, 0)*-1</f>
        <v>-2198.4576329329379</v>
      </c>
      <c r="G354" s="24">
        <f t="shared" si="87"/>
        <v>1</v>
      </c>
      <c r="H354" s="20">
        <f t="shared" si="93"/>
        <v>322847.4004755874</v>
      </c>
      <c r="I354" s="2">
        <f>MAX(Assumptions!$D$8-SUM(Model_30y!H354), 0)</f>
        <v>17152.599524412595</v>
      </c>
      <c r="J354" s="2">
        <f>J353*(1+(Assumptions!$E$51))</f>
        <v>1778040.7199032868</v>
      </c>
      <c r="K354" s="22">
        <f t="shared" si="88"/>
        <v>1760888.1203788742</v>
      </c>
      <c r="L354" s="5">
        <f t="shared" si="94"/>
        <v>407847.40047558717</v>
      </c>
      <c r="M354" s="63">
        <f>L354/Assumptions!$D$6</f>
        <v>0.95964094229549923</v>
      </c>
      <c r="N354" s="24">
        <f t="shared" si="102"/>
        <v>0</v>
      </c>
      <c r="O354" s="5">
        <f>N354*Assumptions!$E$25*-1</f>
        <v>0</v>
      </c>
      <c r="P354" s="20">
        <f>Assumptions!$E$35*J354*-1</f>
        <v>-3662.4727641140876</v>
      </c>
      <c r="Q354" s="5">
        <f>J354*Assumptions!$E$36*-1</f>
        <v>-1474.9525460192654</v>
      </c>
      <c r="R354" s="5">
        <f>(R342+(Model_30y!R342*Assumptions!$D$51))</f>
        <v>-1337.4010571993992</v>
      </c>
      <c r="S354" s="5">
        <f>S342+(S342*Assumptions!$D$51)</f>
        <v>0</v>
      </c>
      <c r="T354" s="5">
        <f t="shared" si="97"/>
        <v>0</v>
      </c>
      <c r="U354" s="22">
        <f t="shared" si="89"/>
        <v>-6474.8263673327519</v>
      </c>
      <c r="V354" s="5">
        <f>MAX(Assumptions!$E$18:$E$19)-U354</f>
        <v>9316.4593791314492</v>
      </c>
      <c r="W354" s="5">
        <f t="shared" si="90"/>
        <v>-2198.4576329329379</v>
      </c>
      <c r="X354" s="5">
        <f t="shared" si="95"/>
        <v>-6474.8263673327519</v>
      </c>
      <c r="Y354" s="5">
        <f>C354*Assumptions!$D$44*-1</f>
        <v>16.164367553868569</v>
      </c>
      <c r="Z354" s="5">
        <f t="shared" si="91"/>
        <v>659.33974641962834</v>
      </c>
      <c r="AA354" s="5">
        <f t="shared" si="98"/>
        <v>1271333.9210971007</v>
      </c>
      <c r="AB354" s="3">
        <f>Assumptions!$E$45</f>
        <v>6.9899151946608562E-3</v>
      </c>
      <c r="AC354" s="5">
        <f t="shared" si="99"/>
        <v>1280879.7771360846</v>
      </c>
      <c r="AD354" s="5">
        <f>AC354*Assumptions!$E$43</f>
        <v>1147.1245461522544</v>
      </c>
      <c r="AE354" s="2">
        <f>AD354*Assumptions!$D$44*-1</f>
        <v>-172.06868192283815</v>
      </c>
      <c r="AF354" s="2">
        <f>AC354*Assumptions!$E$46*-1</f>
        <v>-42.688166972469539</v>
      </c>
      <c r="AG354" s="22">
        <f t="shared" si="100"/>
        <v>1280665.0202871894</v>
      </c>
      <c r="AH354" s="5">
        <f>Model_30y[[#This Row],[Mortgage Payment]]+Model_30y[[#This Row],[Total Upkeep]]+Model_30y[[#This Row],[Monthly Investment]]</f>
        <v>-8013.9442538460617</v>
      </c>
      <c r="AI354" s="5">
        <f>Model_Renter!D354*-1</f>
        <v>7993.1926306417899</v>
      </c>
      <c r="AJ354" s="5">
        <f t="shared" si="101"/>
        <v>-20.751623204271709</v>
      </c>
    </row>
    <row r="355" spans="1:36" x14ac:dyDescent="0.25">
      <c r="A355" s="17">
        <f t="shared" si="96"/>
        <v>353</v>
      </c>
      <c r="B355" s="17">
        <f t="shared" si="92"/>
        <v>30</v>
      </c>
      <c r="C355" s="23">
        <f>IFERROR(IPMT(Assumptions!$D$16/12,Model_30y!A355, 360,Assumptions!$D$8), 0)</f>
        <v>-96.054557336710445</v>
      </c>
      <c r="D355" s="2">
        <f>IFERROR(PPMT(Assumptions!$D$16/12, Model_30y!A355, 360, Assumptions!$D$8), 0)</f>
        <v>-2102.4030755962276</v>
      </c>
      <c r="E355" s="2">
        <f t="shared" si="86"/>
        <v>-2198.4576329329379</v>
      </c>
      <c r="F355" s="2">
        <f>IF(I354&gt;1, Assumptions!$E$18, 0)*-1</f>
        <v>-2198.4576329329379</v>
      </c>
      <c r="G355" s="24">
        <f t="shared" si="87"/>
        <v>1</v>
      </c>
      <c r="H355" s="20">
        <f t="shared" si="93"/>
        <v>324949.80355118361</v>
      </c>
      <c r="I355" s="2">
        <f>MAX(Assumptions!$D$8-SUM(Model_30y!H355), 0)</f>
        <v>15050.196448816394</v>
      </c>
      <c r="J355" s="2">
        <f>J354*(1+(Assumptions!$E$51))</f>
        <v>1785284.6778885401</v>
      </c>
      <c r="K355" s="22">
        <f t="shared" si="88"/>
        <v>1770234.4814397236</v>
      </c>
      <c r="L355" s="5">
        <f t="shared" si="94"/>
        <v>409949.80355118337</v>
      </c>
      <c r="M355" s="63">
        <f>L355/Assumptions!$D$6</f>
        <v>0.96458777306160792</v>
      </c>
      <c r="N355" s="24">
        <f t="shared" si="102"/>
        <v>0</v>
      </c>
      <c r="O355" s="5">
        <f>N355*Assumptions!$E$25*-1</f>
        <v>0</v>
      </c>
      <c r="P355" s="20">
        <f>Assumptions!$E$35*J355*-1</f>
        <v>-3677.3941315093293</v>
      </c>
      <c r="Q355" s="5">
        <f>J355*Assumptions!$E$36*-1</f>
        <v>-1480.961685266755</v>
      </c>
      <c r="R355" s="5">
        <f>(R343+(Model_30y!R343*Assumptions!$D$51))</f>
        <v>-1337.4010571993992</v>
      </c>
      <c r="S355" s="5">
        <f>S343+(S343*Assumptions!$D$51)</f>
        <v>0</v>
      </c>
      <c r="T355" s="5">
        <f t="shared" si="97"/>
        <v>0</v>
      </c>
      <c r="U355" s="22">
        <f t="shared" si="89"/>
        <v>-6495.7568739754834</v>
      </c>
      <c r="V355" s="5">
        <f>MAX(Assumptions!$E$18:$E$19)-U355</f>
        <v>9337.3898857741806</v>
      </c>
      <c r="W355" s="5">
        <f t="shared" si="90"/>
        <v>-2198.4576329329379</v>
      </c>
      <c r="X355" s="5">
        <f t="shared" si="95"/>
        <v>-6495.7568739754834</v>
      </c>
      <c r="Y355" s="5">
        <f>C355*Assumptions!$D$44*-1</f>
        <v>14.408183600506566</v>
      </c>
      <c r="Z355" s="5">
        <f t="shared" si="91"/>
        <v>657.58356246626636</v>
      </c>
      <c r="AA355" s="5">
        <f t="shared" si="98"/>
        <v>1280665.0202871894</v>
      </c>
      <c r="AB355" s="3">
        <f>Assumptions!$E$45</f>
        <v>6.9899151946608562E-3</v>
      </c>
      <c r="AC355" s="5">
        <f t="shared" si="99"/>
        <v>1290274.3437342318</v>
      </c>
      <c r="AD355" s="5">
        <f>AC355*Assumptions!$E$43</f>
        <v>1155.5380898255664</v>
      </c>
      <c r="AE355" s="2">
        <f>AD355*Assumptions!$D$44*-1</f>
        <v>-173.33071347383495</v>
      </c>
      <c r="AF355" s="2">
        <f>AC355*Assumptions!$E$46*-1</f>
        <v>-43.001261795835681</v>
      </c>
      <c r="AG355" s="22">
        <f t="shared" si="100"/>
        <v>1290058.0117589622</v>
      </c>
      <c r="AH355" s="5">
        <f>Model_30y[[#This Row],[Mortgage Payment]]+Model_30y[[#This Row],[Total Upkeep]]+Model_30y[[#This Row],[Monthly Investment]]</f>
        <v>-8036.6309444421549</v>
      </c>
      <c r="AI355" s="5">
        <f>Model_Renter!D355*-1</f>
        <v>7993.1926306417899</v>
      </c>
      <c r="AJ355" s="5">
        <f t="shared" si="101"/>
        <v>-43.438313800364995</v>
      </c>
    </row>
    <row r="356" spans="1:36" x14ac:dyDescent="0.25">
      <c r="A356" s="17">
        <f t="shared" si="96"/>
        <v>354</v>
      </c>
      <c r="B356" s="17">
        <f t="shared" si="92"/>
        <v>30</v>
      </c>
      <c r="C356" s="23">
        <f>IFERROR(IPMT(Assumptions!$D$16/12,Model_30y!A356, 360,Assumptions!$D$8), 0)</f>
        <v>-84.281100113371593</v>
      </c>
      <c r="D356" s="2">
        <f>IFERROR(PPMT(Assumptions!$D$16/12, Model_30y!A356, 360, Assumptions!$D$8), 0)</f>
        <v>-2114.1765328195661</v>
      </c>
      <c r="E356" s="2">
        <f t="shared" si="86"/>
        <v>-2198.4576329329375</v>
      </c>
      <c r="F356" s="2">
        <f>IF(I355&gt;1, Assumptions!$E$18, 0)*-1</f>
        <v>-2198.4576329329379</v>
      </c>
      <c r="G356" s="24">
        <f t="shared" si="87"/>
        <v>1</v>
      </c>
      <c r="H356" s="20">
        <f t="shared" si="93"/>
        <v>327063.98008400318</v>
      </c>
      <c r="I356" s="2">
        <f>MAX(Assumptions!$D$8-SUM(Model_30y!H356), 0)</f>
        <v>12936.019915996818</v>
      </c>
      <c r="J356" s="2">
        <f>J355*(1+(Assumptions!$E$51))</f>
        <v>1792558.1486553089</v>
      </c>
      <c r="K356" s="22">
        <f t="shared" si="88"/>
        <v>1779622.1287393121</v>
      </c>
      <c r="L356" s="5">
        <f t="shared" si="94"/>
        <v>412063.98008400295</v>
      </c>
      <c r="M356" s="63">
        <f>L356/Assumptions!$D$6</f>
        <v>0.96956230608000693</v>
      </c>
      <c r="N356" s="24">
        <f t="shared" si="102"/>
        <v>0</v>
      </c>
      <c r="O356" s="5">
        <f>N356*Assumptions!$E$25*-1</f>
        <v>0</v>
      </c>
      <c r="P356" s="20">
        <f>Assumptions!$E$35*J356*-1</f>
        <v>-3692.3762904023606</v>
      </c>
      <c r="Q356" s="5">
        <f>J356*Assumptions!$E$36*-1</f>
        <v>-1486.9953064913725</v>
      </c>
      <c r="R356" s="5">
        <f>(R344+(Model_30y!R344*Assumptions!$D$51))</f>
        <v>-1337.4010571993992</v>
      </c>
      <c r="S356" s="5">
        <f>S344+(S344*Assumptions!$D$51)</f>
        <v>0</v>
      </c>
      <c r="T356" s="5">
        <f t="shared" si="97"/>
        <v>0</v>
      </c>
      <c r="U356" s="22">
        <f t="shared" si="89"/>
        <v>-6516.7726540931326</v>
      </c>
      <c r="V356" s="5">
        <f>MAX(Assumptions!$E$18:$E$19)-U356</f>
        <v>9358.4056658918289</v>
      </c>
      <c r="W356" s="5">
        <f t="shared" si="90"/>
        <v>-2198.4576329329379</v>
      </c>
      <c r="X356" s="5">
        <f t="shared" si="95"/>
        <v>-6516.7726540931326</v>
      </c>
      <c r="Y356" s="5">
        <f>C356*Assumptions!$D$44*-1</f>
        <v>12.642165017005739</v>
      </c>
      <c r="Z356" s="5">
        <f t="shared" si="91"/>
        <v>655.81754388276454</v>
      </c>
      <c r="AA356" s="5">
        <f t="shared" si="98"/>
        <v>1290058.0117589622</v>
      </c>
      <c r="AB356" s="3">
        <f>Assumptions!$E$45</f>
        <v>6.9899151946608562E-3</v>
      </c>
      <c r="AC356" s="5">
        <f t="shared" si="99"/>
        <v>1299731.225401233</v>
      </c>
      <c r="AD356" s="5">
        <f>AC356*Assumptions!$E$43</f>
        <v>1164.0074413477912</v>
      </c>
      <c r="AE356" s="2">
        <f>AD356*Assumptions!$D$44*-1</f>
        <v>-174.60111620216867</v>
      </c>
      <c r="AF356" s="2">
        <f>AC356*Assumptions!$E$46*-1</f>
        <v>-43.316433407446617</v>
      </c>
      <c r="AG356" s="22">
        <f t="shared" si="100"/>
        <v>1299513.3078516233</v>
      </c>
      <c r="AH356" s="5">
        <f>Model_30y[[#This Row],[Mortgage Payment]]+Model_30y[[#This Row],[Total Upkeep]]+Model_30y[[#This Row],[Monthly Investment]]</f>
        <v>-8059.4127431433053</v>
      </c>
      <c r="AI356" s="5">
        <f>Model_Renter!D356*-1</f>
        <v>7993.1926306417899</v>
      </c>
      <c r="AJ356" s="5">
        <f t="shared" si="101"/>
        <v>-66.220112501515359</v>
      </c>
    </row>
    <row r="357" spans="1:36" x14ac:dyDescent="0.25">
      <c r="A357" s="17">
        <f t="shared" si="96"/>
        <v>355</v>
      </c>
      <c r="B357" s="17">
        <f t="shared" si="92"/>
        <v>30</v>
      </c>
      <c r="C357" s="23">
        <f>IFERROR(IPMT(Assumptions!$D$16/12,Model_30y!A357, 360,Assumptions!$D$8), 0)</f>
        <v>-72.441711529582022</v>
      </c>
      <c r="D357" s="2">
        <f>IFERROR(PPMT(Assumptions!$D$16/12, Model_30y!A357, 360, Assumptions!$D$8), 0)</f>
        <v>-2126.0159214033561</v>
      </c>
      <c r="E357" s="2">
        <f t="shared" si="86"/>
        <v>-2198.4576329329379</v>
      </c>
      <c r="F357" s="2">
        <f>IF(I356&gt;1, Assumptions!$E$18, 0)*-1</f>
        <v>-2198.4576329329379</v>
      </c>
      <c r="G357" s="24">
        <f t="shared" si="87"/>
        <v>1</v>
      </c>
      <c r="H357" s="20">
        <f t="shared" si="93"/>
        <v>329189.99600540655</v>
      </c>
      <c r="I357" s="2">
        <f>MAX(Assumptions!$D$8-SUM(Model_30y!H357), 0)</f>
        <v>10810.003994593455</v>
      </c>
      <c r="J357" s="2">
        <f>J356*(1+(Assumptions!$E$51))</f>
        <v>1799861.252442318</v>
      </c>
      <c r="K357" s="22">
        <f t="shared" si="88"/>
        <v>1789051.2484477246</v>
      </c>
      <c r="L357" s="5">
        <f t="shared" si="94"/>
        <v>414189.99600540631</v>
      </c>
      <c r="M357" s="63">
        <f>L357/Assumptions!$D$6</f>
        <v>0.97456469648330901</v>
      </c>
      <c r="N357" s="24">
        <f t="shared" si="102"/>
        <v>0</v>
      </c>
      <c r="O357" s="5">
        <f>N357*Assumptions!$E$25*-1</f>
        <v>0</v>
      </c>
      <c r="P357" s="20">
        <f>Assumptions!$E$35*J357*-1</f>
        <v>-3707.4194884652679</v>
      </c>
      <c r="Q357" s="5">
        <f>J357*Assumptions!$E$36*-1</f>
        <v>-1493.0535094357224</v>
      </c>
      <c r="R357" s="5">
        <f>(R345+(Model_30y!R345*Assumptions!$D$51))</f>
        <v>-1337.4010571993992</v>
      </c>
      <c r="S357" s="5">
        <f>S345+(S345*Assumptions!$D$51)</f>
        <v>0</v>
      </c>
      <c r="T357" s="5">
        <f t="shared" si="97"/>
        <v>0</v>
      </c>
      <c r="U357" s="22">
        <f t="shared" si="89"/>
        <v>-6537.8740551003893</v>
      </c>
      <c r="V357" s="5">
        <f>MAX(Assumptions!$E$18:$E$19)-U357</f>
        <v>9379.5070668990866</v>
      </c>
      <c r="W357" s="5">
        <f t="shared" si="90"/>
        <v>-2198.4576329329379</v>
      </c>
      <c r="X357" s="5">
        <f t="shared" si="95"/>
        <v>-6537.8740551003893</v>
      </c>
      <c r="Y357" s="5">
        <f>C357*Assumptions!$D$44*-1</f>
        <v>10.866256729437303</v>
      </c>
      <c r="Z357" s="5">
        <f t="shared" si="91"/>
        <v>654.04163559519702</v>
      </c>
      <c r="AA357" s="5">
        <f t="shared" si="98"/>
        <v>1299513.3078516233</v>
      </c>
      <c r="AB357" s="3">
        <f>Assumptions!$E$45</f>
        <v>6.9899151946608562E-3</v>
      </c>
      <c r="AC357" s="5">
        <f t="shared" si="99"/>
        <v>1309250.8373034345</v>
      </c>
      <c r="AD357" s="5">
        <f>AC357*Assumptions!$E$43</f>
        <v>1172.5329725317365</v>
      </c>
      <c r="AE357" s="2">
        <f>AD357*Assumptions!$D$44*-1</f>
        <v>-175.87994587976047</v>
      </c>
      <c r="AF357" s="2">
        <f>AC357*Assumptions!$E$46*-1</f>
        <v>-43.633695643644067</v>
      </c>
      <c r="AG357" s="22">
        <f t="shared" si="100"/>
        <v>1309031.3236619111</v>
      </c>
      <c r="AH357" s="5">
        <f>Model_30y[[#This Row],[Mortgage Payment]]+Model_30y[[#This Row],[Total Upkeep]]+Model_30y[[#This Row],[Monthly Investment]]</f>
        <v>-8082.2900524381312</v>
      </c>
      <c r="AI357" s="5">
        <f>Model_Renter!D357*-1</f>
        <v>7993.1926306417899</v>
      </c>
      <c r="AJ357" s="5">
        <f t="shared" si="101"/>
        <v>-89.097421796341223</v>
      </c>
    </row>
    <row r="358" spans="1:36" x14ac:dyDescent="0.25">
      <c r="A358" s="17">
        <f t="shared" si="96"/>
        <v>356</v>
      </c>
      <c r="B358" s="17">
        <f t="shared" si="92"/>
        <v>30</v>
      </c>
      <c r="C358" s="23">
        <f>IFERROR(IPMT(Assumptions!$D$16/12,Model_30y!A358, 360,Assumptions!$D$8), 0)</f>
        <v>-60.536022369723213</v>
      </c>
      <c r="D358" s="2">
        <f>IFERROR(PPMT(Assumptions!$D$16/12, Model_30y!A358, 360, Assumptions!$D$8), 0)</f>
        <v>-2137.9216105632145</v>
      </c>
      <c r="E358" s="2">
        <f t="shared" si="86"/>
        <v>-2198.4576329329375</v>
      </c>
      <c r="F358" s="2">
        <f>IF(I357&gt;1, Assumptions!$E$18, 0)*-1</f>
        <v>-2198.4576329329379</v>
      </c>
      <c r="G358" s="24">
        <f t="shared" si="87"/>
        <v>1</v>
      </c>
      <c r="H358" s="20">
        <f t="shared" si="93"/>
        <v>331327.91761596978</v>
      </c>
      <c r="I358" s="2">
        <f>MAX(Assumptions!$D$8-SUM(Model_30y!H358), 0)</f>
        <v>8672.0823840302182</v>
      </c>
      <c r="J358" s="2">
        <f>J357*(1+(Assumptions!$E$51))</f>
        <v>1807194.1099781604</v>
      </c>
      <c r="K358" s="22">
        <f t="shared" si="88"/>
        <v>1798522.02759413</v>
      </c>
      <c r="L358" s="5">
        <f t="shared" si="94"/>
        <v>416327.91761596955</v>
      </c>
      <c r="M358" s="63">
        <f>L358/Assumptions!$D$6</f>
        <v>0.97959510027286956</v>
      </c>
      <c r="N358" s="24">
        <f t="shared" si="102"/>
        <v>0</v>
      </c>
      <c r="O358" s="5">
        <f>N358*Assumptions!$E$25*-1</f>
        <v>0</v>
      </c>
      <c r="P358" s="20">
        <f>Assumptions!$E$35*J358*-1</f>
        <v>-3722.5239743791858</v>
      </c>
      <c r="Q358" s="5">
        <f>J358*Assumptions!$E$36*-1</f>
        <v>-1499.136394248774</v>
      </c>
      <c r="R358" s="5">
        <f>(R346+(Model_30y!R346*Assumptions!$D$51))</f>
        <v>-1337.4010571993992</v>
      </c>
      <c r="S358" s="5">
        <f>S346+(S346*Assumptions!$D$51)</f>
        <v>0</v>
      </c>
      <c r="T358" s="5">
        <f t="shared" si="97"/>
        <v>0</v>
      </c>
      <c r="U358" s="22">
        <f t="shared" si="89"/>
        <v>-6559.061425827359</v>
      </c>
      <c r="V358" s="5">
        <f>MAX(Assumptions!$E$18:$E$19)-U358</f>
        <v>9400.6944376260562</v>
      </c>
      <c r="W358" s="5">
        <f t="shared" si="90"/>
        <v>-2198.4576329329379</v>
      </c>
      <c r="X358" s="5">
        <f t="shared" si="95"/>
        <v>-6559.061425827359</v>
      </c>
      <c r="Y358" s="5">
        <f>C358*Assumptions!$D$44*-1</f>
        <v>9.0804033554584809</v>
      </c>
      <c r="Z358" s="5">
        <f t="shared" si="91"/>
        <v>652.25578222121817</v>
      </c>
      <c r="AA358" s="5">
        <f t="shared" si="98"/>
        <v>1309031.3236619111</v>
      </c>
      <c r="AB358" s="3">
        <f>Assumptions!$E$45</f>
        <v>6.9899151946608562E-3</v>
      </c>
      <c r="AC358" s="5">
        <f t="shared" si="99"/>
        <v>1318833.5973836838</v>
      </c>
      <c r="AD358" s="5">
        <f>AC358*Assumptions!$E$43</f>
        <v>1181.1150576767766</v>
      </c>
      <c r="AE358" s="2">
        <f>AD358*Assumptions!$D$44*-1</f>
        <v>-177.16725865151648</v>
      </c>
      <c r="AF358" s="2">
        <f>AC358*Assumptions!$E$46*-1</f>
        <v>-43.95306243330284</v>
      </c>
      <c r="AG358" s="22">
        <f t="shared" si="100"/>
        <v>1318612.477062599</v>
      </c>
      <c r="AH358" s="5">
        <f>Model_30y[[#This Row],[Mortgage Payment]]+Model_30y[[#This Row],[Total Upkeep]]+Model_30y[[#This Row],[Monthly Investment]]</f>
        <v>-8105.263276539079</v>
      </c>
      <c r="AI358" s="5">
        <f>Model_Renter!D358*-1</f>
        <v>7993.1926306417899</v>
      </c>
      <c r="AJ358" s="5">
        <f t="shared" si="101"/>
        <v>-112.07064589728907</v>
      </c>
    </row>
    <row r="359" spans="1:36" x14ac:dyDescent="0.25">
      <c r="A359" s="17">
        <f t="shared" si="96"/>
        <v>357</v>
      </c>
      <c r="B359" s="17">
        <f t="shared" si="92"/>
        <v>30</v>
      </c>
      <c r="C359" s="23">
        <f>IFERROR(IPMT(Assumptions!$D$16/12,Model_30y!A359, 360,Assumptions!$D$8), 0)</f>
        <v>-48.56366135056922</v>
      </c>
      <c r="D359" s="2">
        <f>IFERROR(PPMT(Assumptions!$D$16/12, Model_30y!A359, 360, Assumptions!$D$8), 0)</f>
        <v>-2149.8939715823685</v>
      </c>
      <c r="E359" s="2">
        <f t="shared" si="86"/>
        <v>-2198.4576329329379</v>
      </c>
      <c r="F359" s="2">
        <f>IF(I358&gt;1, Assumptions!$E$18, 0)*-1</f>
        <v>-2198.4576329329379</v>
      </c>
      <c r="G359" s="24">
        <f t="shared" si="87"/>
        <v>1</v>
      </c>
      <c r="H359" s="20">
        <f t="shared" si="93"/>
        <v>333477.81158755213</v>
      </c>
      <c r="I359" s="2">
        <f>MAX(Assumptions!$D$8-SUM(Model_30y!H359), 0)</f>
        <v>6522.1884124478674</v>
      </c>
      <c r="J359" s="2">
        <f>J358*(1+(Assumptions!$E$51))</f>
        <v>1814556.8424832916</v>
      </c>
      <c r="K359" s="22">
        <f t="shared" si="88"/>
        <v>1808034.6540708437</v>
      </c>
      <c r="L359" s="5">
        <f t="shared" si="94"/>
        <v>418477.8115875519</v>
      </c>
      <c r="M359" s="63">
        <f>L359/Assumptions!$D$6</f>
        <v>0.98465367432365158</v>
      </c>
      <c r="N359" s="24">
        <f t="shared" si="102"/>
        <v>0</v>
      </c>
      <c r="O359" s="5">
        <f>N359*Assumptions!$E$25*-1</f>
        <v>0</v>
      </c>
      <c r="P359" s="20">
        <f>Assumptions!$E$35*J359*-1</f>
        <v>-3737.6899978384054</v>
      </c>
      <c r="Q359" s="5">
        <f>J359*Assumptions!$E$36*-1</f>
        <v>-1505.2440614875159</v>
      </c>
      <c r="R359" s="5">
        <f>(R347+(Model_30y!R347*Assumptions!$D$51))</f>
        <v>-1337.4010571993992</v>
      </c>
      <c r="S359" s="5">
        <f>S347+(S347*Assumptions!$D$51)</f>
        <v>0</v>
      </c>
      <c r="T359" s="5">
        <f t="shared" si="97"/>
        <v>0</v>
      </c>
      <c r="U359" s="22">
        <f t="shared" si="89"/>
        <v>-6580.3351165253207</v>
      </c>
      <c r="V359" s="5">
        <f>MAX(Assumptions!$E$18:$E$19)-U359</f>
        <v>9421.968128324017</v>
      </c>
      <c r="W359" s="5">
        <f t="shared" si="90"/>
        <v>-2198.4576329329379</v>
      </c>
      <c r="X359" s="5">
        <f t="shared" si="95"/>
        <v>-6580.3351165253207</v>
      </c>
      <c r="Y359" s="5">
        <f>C359*Assumptions!$D$44*-1</f>
        <v>7.2845492025853824</v>
      </c>
      <c r="Z359" s="5">
        <f t="shared" si="91"/>
        <v>650.4599280683442</v>
      </c>
      <c r="AA359" s="5">
        <f t="shared" si="98"/>
        <v>1318612.477062599</v>
      </c>
      <c r="AB359" s="3">
        <f>Assumptions!$E$45</f>
        <v>6.9899151946608562E-3</v>
      </c>
      <c r="AC359" s="5">
        <f t="shared" si="99"/>
        <v>1328479.9263799565</v>
      </c>
      <c r="AD359" s="5">
        <f>AC359*Assumptions!$E$43</f>
        <v>1189.7540735855343</v>
      </c>
      <c r="AE359" s="2">
        <f>AD359*Assumptions!$D$44*-1</f>
        <v>-178.46311103783015</v>
      </c>
      <c r="AF359" s="2">
        <f>AC359*Assumptions!$E$46*-1</f>
        <v>-44.274547798451607</v>
      </c>
      <c r="AG359" s="22">
        <f t="shared" si="100"/>
        <v>1328257.1887211204</v>
      </c>
      <c r="AH359" s="5">
        <f>Model_30y[[#This Row],[Mortgage Payment]]+Model_30y[[#This Row],[Total Upkeep]]+Model_30y[[#This Row],[Monthly Investment]]</f>
        <v>-8128.332821389914</v>
      </c>
      <c r="AI359" s="5">
        <f>Model_Renter!D359*-1</f>
        <v>7993.1926306417899</v>
      </c>
      <c r="AJ359" s="5">
        <f t="shared" si="101"/>
        <v>-135.14019074812404</v>
      </c>
    </row>
    <row r="360" spans="1:36" x14ac:dyDescent="0.25">
      <c r="A360" s="17">
        <f t="shared" si="96"/>
        <v>358</v>
      </c>
      <c r="B360" s="17">
        <f t="shared" si="92"/>
        <v>30</v>
      </c>
      <c r="C360" s="23">
        <f>IFERROR(IPMT(Assumptions!$D$16/12,Model_30y!A360, 360,Assumptions!$D$8), 0)</f>
        <v>-36.524255109707958</v>
      </c>
      <c r="D360" s="2">
        <f>IFERROR(PPMT(Assumptions!$D$16/12, Model_30y!A360, 360, Assumptions!$D$8), 0)</f>
        <v>-2161.9333778232303</v>
      </c>
      <c r="E360" s="2">
        <f t="shared" si="86"/>
        <v>-2198.4576329329384</v>
      </c>
      <c r="F360" s="2">
        <f>IF(I359&gt;1, Assumptions!$E$18, 0)*-1</f>
        <v>-2198.4576329329379</v>
      </c>
      <c r="G360" s="24">
        <f t="shared" si="87"/>
        <v>1</v>
      </c>
      <c r="H360" s="20">
        <f t="shared" si="93"/>
        <v>335639.74496537534</v>
      </c>
      <c r="I360" s="2">
        <f>MAX(Assumptions!$D$8-SUM(Model_30y!H360), 0)</f>
        <v>4360.2550346246571</v>
      </c>
      <c r="J360" s="2">
        <f>J359*(1+(Assumptions!$E$51))</f>
        <v>1821949.5716720347</v>
      </c>
      <c r="K360" s="22">
        <f t="shared" si="88"/>
        <v>1817589.3166374101</v>
      </c>
      <c r="L360" s="5">
        <f t="shared" si="94"/>
        <v>420639.74496537511</v>
      </c>
      <c r="M360" s="63">
        <f>L360/Assumptions!$D$6</f>
        <v>0.98974057638911794</v>
      </c>
      <c r="N360" s="24">
        <f t="shared" si="102"/>
        <v>0</v>
      </c>
      <c r="O360" s="5">
        <f>N360*Assumptions!$E$25*-1</f>
        <v>0</v>
      </c>
      <c r="P360" s="20">
        <f>Assumptions!$E$35*J360*-1</f>
        <v>-3752.9178095545035</v>
      </c>
      <c r="Q360" s="5">
        <f>J360*Assumptions!$E$36*-1</f>
        <v>-1511.3766121186175</v>
      </c>
      <c r="R360" s="5">
        <f>(R348+(Model_30y!R348*Assumptions!$D$51))</f>
        <v>-1337.4010571993992</v>
      </c>
      <c r="S360" s="5">
        <f>S348+(S348*Assumptions!$D$51)</f>
        <v>0</v>
      </c>
      <c r="T360" s="5">
        <f t="shared" si="97"/>
        <v>0</v>
      </c>
      <c r="U360" s="22">
        <f t="shared" si="89"/>
        <v>-6601.6954788725207</v>
      </c>
      <c r="V360" s="5">
        <f>MAX(Assumptions!$E$18:$E$19)-U360</f>
        <v>9443.3284906712179</v>
      </c>
      <c r="W360" s="5">
        <f t="shared" si="90"/>
        <v>-2198.4576329329379</v>
      </c>
      <c r="X360" s="5">
        <f t="shared" si="95"/>
        <v>-6601.6954788725207</v>
      </c>
      <c r="Y360" s="5">
        <f>C360*Assumptions!$D$44*-1</f>
        <v>5.4786382664561932</v>
      </c>
      <c r="Z360" s="5">
        <f t="shared" si="91"/>
        <v>648.65401713221593</v>
      </c>
      <c r="AA360" s="5">
        <f t="shared" si="98"/>
        <v>1328257.1887211204</v>
      </c>
      <c r="AB360" s="3">
        <f>Assumptions!$E$45</f>
        <v>6.9899151946608562E-3</v>
      </c>
      <c r="AC360" s="5">
        <f t="shared" si="99"/>
        <v>1338190.2478441119</v>
      </c>
      <c r="AD360" s="5">
        <f>AC360*Assumptions!$E$43</f>
        <v>1198.4503995806774</v>
      </c>
      <c r="AE360" s="2">
        <f>AD360*Assumptions!$D$44*-1</f>
        <v>-179.76755993710159</v>
      </c>
      <c r="AF360" s="2">
        <f>AC360*Assumptions!$E$46*-1</f>
        <v>-44.598165854897964</v>
      </c>
      <c r="AG360" s="22">
        <f t="shared" si="100"/>
        <v>1337965.8821183199</v>
      </c>
      <c r="AH360" s="5">
        <f>Model_30y[[#This Row],[Mortgage Payment]]+Model_30y[[#This Row],[Total Upkeep]]+Model_30y[[#This Row],[Monthly Investment]]</f>
        <v>-8151.4990946732432</v>
      </c>
      <c r="AI360" s="5">
        <f>Model_Renter!D360*-1</f>
        <v>7993.1926306417899</v>
      </c>
      <c r="AJ360" s="5">
        <f t="shared" si="101"/>
        <v>-158.30646403145329</v>
      </c>
    </row>
    <row r="361" spans="1:36" x14ac:dyDescent="0.25">
      <c r="A361" s="17">
        <f t="shared" si="96"/>
        <v>359</v>
      </c>
      <c r="B361" s="17">
        <f t="shared" si="92"/>
        <v>30</v>
      </c>
      <c r="C361" s="23">
        <f>IFERROR(IPMT(Assumptions!$D$16/12,Model_30y!A361, 360,Assumptions!$D$8), 0)</f>
        <v>-24.417428193897866</v>
      </c>
      <c r="D361" s="2">
        <f>IFERROR(PPMT(Assumptions!$D$16/12, Model_30y!A361, 360, Assumptions!$D$8), 0)</f>
        <v>-2174.0402047390398</v>
      </c>
      <c r="E361" s="2">
        <f t="shared" si="86"/>
        <v>-2198.4576329329375</v>
      </c>
      <c r="F361" s="2">
        <f>IF(I360&gt;1, Assumptions!$E$18, 0)*-1</f>
        <v>-2198.4576329329379</v>
      </c>
      <c r="G361" s="24">
        <f t="shared" si="87"/>
        <v>1</v>
      </c>
      <c r="H361" s="20">
        <f t="shared" si="93"/>
        <v>337813.78517011437</v>
      </c>
      <c r="I361" s="2">
        <f>MAX(Assumptions!$D$8-SUM(Model_30y!H361), 0)</f>
        <v>2186.2148298856337</v>
      </c>
      <c r="J361" s="2">
        <f>J360*(1+(Assumptions!$E$51))</f>
        <v>1829372.4197545915</v>
      </c>
      <c r="K361" s="22">
        <f t="shared" si="88"/>
        <v>1827186.2049247059</v>
      </c>
      <c r="L361" s="5">
        <f t="shared" si="94"/>
        <v>422813.78517011413</v>
      </c>
      <c r="M361" s="63">
        <f>L361/Assumptions!$D$6</f>
        <v>0.99485596510615093</v>
      </c>
      <c r="N361" s="24">
        <f t="shared" si="102"/>
        <v>0</v>
      </c>
      <c r="O361" s="5">
        <f>N361*Assumptions!$E$25*-1</f>
        <v>0</v>
      </c>
      <c r="P361" s="20">
        <f>Assumptions!$E$35*J361*-1</f>
        <v>-3768.2076612604865</v>
      </c>
      <c r="Q361" s="5">
        <f>J361*Assumptions!$E$36*-1</f>
        <v>-1517.5341475200999</v>
      </c>
      <c r="R361" s="5">
        <f>(R349+(Model_30y!R349*Assumptions!$D$51))</f>
        <v>-1337.4010571993992</v>
      </c>
      <c r="S361" s="5">
        <f>S349+(S349*Assumptions!$D$51)</f>
        <v>0</v>
      </c>
      <c r="T361" s="5">
        <f t="shared" si="97"/>
        <v>0</v>
      </c>
      <c r="U361" s="22">
        <f t="shared" si="89"/>
        <v>-6623.1428659799858</v>
      </c>
      <c r="V361" s="5">
        <f>MAX(Assumptions!$E$18:$E$19)-U361</f>
        <v>9464.7758777786821</v>
      </c>
      <c r="W361" s="5">
        <f t="shared" si="90"/>
        <v>-2198.4576329329379</v>
      </c>
      <c r="X361" s="5">
        <f t="shared" si="95"/>
        <v>-6623.1428659799858</v>
      </c>
      <c r="Y361" s="5">
        <f>C361*Assumptions!$D$44*-1</f>
        <v>3.6626142290846797</v>
      </c>
      <c r="Z361" s="5">
        <f t="shared" si="91"/>
        <v>646.83799309484345</v>
      </c>
      <c r="AA361" s="5">
        <f t="shared" si="98"/>
        <v>1337965.8821183199</v>
      </c>
      <c r="AB361" s="3">
        <f>Assumptions!$E$45</f>
        <v>6.9899151946608562E-3</v>
      </c>
      <c r="AC361" s="5">
        <f t="shared" si="99"/>
        <v>1347964.9881607716</v>
      </c>
      <c r="AD361" s="5">
        <f>AC361*Assumptions!$E$43</f>
        <v>1207.2044175218266</v>
      </c>
      <c r="AE361" s="2">
        <f>AD361*Assumptions!$D$44*-1</f>
        <v>-181.08066262827398</v>
      </c>
      <c r="AF361" s="2">
        <f>AC361*Assumptions!$E$46*-1</f>
        <v>-44.923930812857613</v>
      </c>
      <c r="AG361" s="22">
        <f t="shared" si="100"/>
        <v>1347738.9835673305</v>
      </c>
      <c r="AH361" s="5">
        <f>Model_30y[[#This Row],[Mortgage Payment]]+Model_30y[[#This Row],[Total Upkeep]]+Model_30y[[#This Row],[Monthly Investment]]</f>
        <v>-8174.7625058180802</v>
      </c>
      <c r="AI361" s="5">
        <f>Model_Renter!D361*-1</f>
        <v>7993.1926306417899</v>
      </c>
      <c r="AJ361" s="5">
        <f t="shared" si="101"/>
        <v>-181.56987517629022</v>
      </c>
    </row>
    <row r="362" spans="1:36" x14ac:dyDescent="0.25">
      <c r="A362" s="17">
        <f t="shared" si="96"/>
        <v>360</v>
      </c>
      <c r="B362" s="17">
        <f t="shared" si="92"/>
        <v>30</v>
      </c>
      <c r="C362" s="23">
        <f>IFERROR(IPMT(Assumptions!$D$16/12,Model_30y!A362, 360,Assumptions!$D$8), 0)</f>
        <v>-12.24280304735924</v>
      </c>
      <c r="D362" s="2">
        <f>IFERROR(PPMT(Assumptions!$D$16/12, Model_30y!A362, 360, Assumptions!$D$8), 0)</f>
        <v>-2186.2148298855786</v>
      </c>
      <c r="E362" s="2">
        <f t="shared" si="86"/>
        <v>-2198.4576329329379</v>
      </c>
      <c r="F362" s="2">
        <f>IF(I361&gt;1, Assumptions!$E$18, 0)*-1</f>
        <v>-2198.4576329329379</v>
      </c>
      <c r="G362" s="24">
        <f t="shared" si="87"/>
        <v>1</v>
      </c>
      <c r="H362" s="20">
        <f t="shared" si="93"/>
        <v>339999.99999999994</v>
      </c>
      <c r="I362" s="2">
        <f>MAX(Assumptions!$D$8-SUM(Model_30y!H362), 0)</f>
        <v>5.8207660913467407E-11</v>
      </c>
      <c r="J362" s="2">
        <f>J361*(1+(Assumptions!$E$51))</f>
        <v>1836825.509439064</v>
      </c>
      <c r="K362" s="22">
        <f t="shared" si="88"/>
        <v>1836825.509439064</v>
      </c>
      <c r="L362" s="5">
        <f t="shared" si="94"/>
        <v>424999.99999999971</v>
      </c>
      <c r="M362" s="63">
        <f>L362/Assumptions!$D$6</f>
        <v>0.99999999999999933</v>
      </c>
      <c r="N362" s="24">
        <f t="shared" si="102"/>
        <v>0</v>
      </c>
      <c r="O362" s="5">
        <f>N362*Assumptions!$E$25*-1</f>
        <v>0</v>
      </c>
      <c r="P362" s="20">
        <f>Assumptions!$E$35*J362*-1</f>
        <v>-3783.5598057149537</v>
      </c>
      <c r="Q362" s="5">
        <f>J362*Assumptions!$E$36*-1</f>
        <v>-1523.7167694830098</v>
      </c>
      <c r="R362" s="5">
        <f>(R350+(Model_30y!R350*Assumptions!$D$51))</f>
        <v>-1337.4010571993992</v>
      </c>
      <c r="S362" s="5">
        <f>S350+(S350*Assumptions!$D$51)</f>
        <v>0</v>
      </c>
      <c r="T362" s="5">
        <f t="shared" si="97"/>
        <v>0</v>
      </c>
      <c r="U362" s="22">
        <f t="shared" si="89"/>
        <v>-6644.6776323973627</v>
      </c>
      <c r="V362" s="5">
        <f>MAX(Assumptions!$E$18:$E$19)-U362</f>
        <v>9486.310644196059</v>
      </c>
      <c r="W362" s="5">
        <f t="shared" si="90"/>
        <v>-2198.4576329329379</v>
      </c>
      <c r="X362" s="5">
        <f t="shared" si="95"/>
        <v>-6644.6776323973627</v>
      </c>
      <c r="Y362" s="5">
        <f>C362*Assumptions!$D$44*-1</f>
        <v>1.836420457103886</v>
      </c>
      <c r="Z362" s="5">
        <f t="shared" si="91"/>
        <v>645.01179932286277</v>
      </c>
      <c r="AA362" s="5">
        <f t="shared" si="98"/>
        <v>1347738.9835673305</v>
      </c>
      <c r="AB362" s="3">
        <f>Assumptions!$E$45</f>
        <v>6.9899151946608562E-3</v>
      </c>
      <c r="AC362" s="5">
        <f t="shared" si="99"/>
        <v>1357804.5765663276</v>
      </c>
      <c r="AD362" s="5">
        <f>AC362*Assumptions!$E$43</f>
        <v>1216.016511822578</v>
      </c>
      <c r="AE362" s="2">
        <f>AD362*Assumptions!$D$44*-1</f>
        <v>-182.4024767733867</v>
      </c>
      <c r="AF362" s="2">
        <f>AC362*Assumptions!$E$46*-1</f>
        <v>-45.251856977587842</v>
      </c>
      <c r="AG362" s="22">
        <f t="shared" si="100"/>
        <v>1357576.9222325766</v>
      </c>
      <c r="AH362" s="5">
        <f>Model_30y[[#This Row],[Mortgage Payment]]+Model_30y[[#This Row],[Total Upkeep]]+Model_30y[[#This Row],[Monthly Investment]]</f>
        <v>-8198.1234660074369</v>
      </c>
      <c r="AI362" s="5">
        <f>Model_Renter!D362*-1</f>
        <v>7993.1926306417899</v>
      </c>
      <c r="AJ362" s="5">
        <f t="shared" si="101"/>
        <v>-204.930835365647</v>
      </c>
    </row>
    <row r="363" spans="1:36" x14ac:dyDescent="0.25">
      <c r="A363" s="17">
        <f t="shared" si="96"/>
        <v>361</v>
      </c>
      <c r="B363" s="17">
        <f t="shared" si="92"/>
        <v>31</v>
      </c>
      <c r="C363" s="23">
        <f>IFERROR(IPMT(Assumptions!$D$16/12,Model_30y!A363, 360,Assumptions!$D$8), 0)</f>
        <v>0</v>
      </c>
      <c r="D363" s="2">
        <f>IFERROR(PPMT(Assumptions!$D$16/12, Model_30y!A363, 360, Assumptions!$D$8), 0)</f>
        <v>0</v>
      </c>
      <c r="E363" s="2">
        <f>SUM(C363:D363)</f>
        <v>0</v>
      </c>
      <c r="F363" s="2">
        <f>IF(I362&gt;1, Assumptions!$E$18, 0)*-1</f>
        <v>0</v>
      </c>
      <c r="G363" s="24">
        <f t="shared" si="87"/>
        <v>1</v>
      </c>
      <c r="H363" s="20">
        <f t="shared" si="93"/>
        <v>339999.99999999994</v>
      </c>
      <c r="I363" s="2">
        <f>MAX(Assumptions!$D$8-SUM(Model_30y!H363), 0)</f>
        <v>5.8207660913467407E-11</v>
      </c>
      <c r="J363" s="2">
        <f>J362*(1+(Assumptions!$E$51))</f>
        <v>1844308.9639334816</v>
      </c>
      <c r="K363" s="22">
        <f t="shared" si="88"/>
        <v>1844308.9639334816</v>
      </c>
      <c r="L363" s="5">
        <f t="shared" si="94"/>
        <v>424999.99999999971</v>
      </c>
      <c r="M363" s="63">
        <f>L363/Assumptions!$D$6</f>
        <v>0.99999999999999933</v>
      </c>
      <c r="N363" s="24">
        <f t="shared" si="102"/>
        <v>0</v>
      </c>
      <c r="O363" s="5">
        <f>N363*Assumptions!$E$25*-1</f>
        <v>0</v>
      </c>
      <c r="P363" s="20">
        <f>Assumptions!$E$35*J363*-1</f>
        <v>-3798.9744967062729</v>
      </c>
      <c r="Q363" s="5">
        <f>J363*Assumptions!$E$36*-1</f>
        <v>-1529.9245802131045</v>
      </c>
      <c r="R363" s="5">
        <f>(R351+(Model_30y!R351*Assumptions!$D$51))</f>
        <v>-1404.2711100593692</v>
      </c>
      <c r="S363" s="5">
        <f>S351+(S351*Assumptions!$D$51)</f>
        <v>0</v>
      </c>
      <c r="T363" s="5">
        <f t="shared" si="97"/>
        <v>0</v>
      </c>
      <c r="U363" s="22">
        <f t="shared" si="89"/>
        <v>-6733.1701869787466</v>
      </c>
      <c r="V363" s="5">
        <f>MAX(Assumptions!$E$18:$E$19)-U363</f>
        <v>9574.803198777443</v>
      </c>
      <c r="W363" s="5">
        <f t="shared" si="90"/>
        <v>0</v>
      </c>
      <c r="X363" s="5">
        <f t="shared" si="95"/>
        <v>-6733.1701869787466</v>
      </c>
      <c r="Y363" s="5">
        <f>C363*Assumptions!$D$44*-1</f>
        <v>0</v>
      </c>
      <c r="Z363" s="5">
        <f t="shared" si="91"/>
        <v>2841.6330117986963</v>
      </c>
      <c r="AA363" s="5">
        <f t="shared" si="98"/>
        <v>1357576.9222325766</v>
      </c>
      <c r="AB363" s="3">
        <f>Assumptions!$E$45</f>
        <v>6.9899151946608562E-3</v>
      </c>
      <c r="AC363" s="5">
        <f t="shared" si="99"/>
        <v>1369907.9028010096</v>
      </c>
      <c r="AD363" s="5">
        <f>AC363*Assumptions!$E$43</f>
        <v>1226.855954260287</v>
      </c>
      <c r="AE363" s="2">
        <f>AD363*Assumptions!$D$44*-1</f>
        <v>-184.02839313904306</v>
      </c>
      <c r="AF363" s="2">
        <f>AC363*Assumptions!$E$46*-1</f>
        <v>-45.6552272395367</v>
      </c>
      <c r="AG363" s="22">
        <f t="shared" si="100"/>
        <v>1369678.219180631</v>
      </c>
      <c r="AH363" s="5">
        <f>Model_30y[[#This Row],[Mortgage Payment]]+Model_30y[[#This Row],[Total Upkeep]]+Model_30y[[#This Row],[Monthly Investment]]</f>
        <v>-3891.5371751800503</v>
      </c>
      <c r="AI363" s="5">
        <f>Model_Renter!D363*-1</f>
        <v>8292.1380350277941</v>
      </c>
      <c r="AJ363" s="5">
        <f t="shared" si="101"/>
        <v>4400.6008598477438</v>
      </c>
    </row>
    <row r="364" spans="1:36" x14ac:dyDescent="0.25">
      <c r="A364" s="17">
        <f t="shared" si="96"/>
        <v>362</v>
      </c>
      <c r="B364" s="17">
        <f t="shared" si="92"/>
        <v>31</v>
      </c>
      <c r="C364" s="23">
        <f>IFERROR(IPMT(Assumptions!$D$16/12,Model_30y!A364, 360,Assumptions!$D$8), 0)</f>
        <v>0</v>
      </c>
      <c r="D364" s="2">
        <f>IFERROR(PPMT(Assumptions!$D$16/12, Model_30y!A364, 360, Assumptions!$D$8), 0)</f>
        <v>0</v>
      </c>
      <c r="E364" s="2">
        <f t="shared" si="86"/>
        <v>0</v>
      </c>
      <c r="F364" s="2">
        <f>IF(I363&gt;1, Assumptions!$E$18, 0)*-1</f>
        <v>0</v>
      </c>
      <c r="G364" s="24">
        <f t="shared" si="87"/>
        <v>1</v>
      </c>
      <c r="H364" s="20">
        <f t="shared" si="93"/>
        <v>339999.99999999994</v>
      </c>
      <c r="I364" s="2">
        <f>MAX(Assumptions!$D$8-SUM(Model_30y!H364), 0)</f>
        <v>5.8207660913467407E-11</v>
      </c>
      <c r="J364" s="2">
        <f>J363*(1+(Assumptions!$E$51))</f>
        <v>1851822.9069478388</v>
      </c>
      <c r="K364" s="22">
        <f t="shared" si="88"/>
        <v>1851822.9069478388</v>
      </c>
      <c r="L364" s="5">
        <f t="shared" si="94"/>
        <v>424999.99999999971</v>
      </c>
      <c r="M364" s="63">
        <f>L364/Assumptions!$D$6</f>
        <v>0.99999999999999933</v>
      </c>
      <c r="N364" s="24">
        <f t="shared" si="102"/>
        <v>0</v>
      </c>
      <c r="O364" s="5">
        <f>N364*Assumptions!$E$25*-1</f>
        <v>0</v>
      </c>
      <c r="P364" s="20">
        <f>Assumptions!$E$35*J364*-1</f>
        <v>-3814.4519890567772</v>
      </c>
      <c r="Q364" s="5">
        <f>J364*Assumptions!$E$36*-1</f>
        <v>-1536.1576823325388</v>
      </c>
      <c r="R364" s="5">
        <f>(R352+(Model_30y!R352*Assumptions!$D$51))</f>
        <v>-1404.2711100593692</v>
      </c>
      <c r="S364" s="5">
        <f>S352+(S352*Assumptions!$D$51)</f>
        <v>0</v>
      </c>
      <c r="T364" s="5">
        <f t="shared" si="97"/>
        <v>0</v>
      </c>
      <c r="U364" s="22">
        <f t="shared" si="89"/>
        <v>-6754.8807814486845</v>
      </c>
      <c r="V364" s="5">
        <f>MAX(Assumptions!$E$18:$E$19)-U364</f>
        <v>9596.5137932473808</v>
      </c>
      <c r="W364" s="5">
        <f t="shared" si="90"/>
        <v>0</v>
      </c>
      <c r="X364" s="5">
        <f t="shared" si="95"/>
        <v>-6754.8807814486845</v>
      </c>
      <c r="Y364" s="5">
        <f>C364*Assumptions!$D$44*-1</f>
        <v>0</v>
      </c>
      <c r="Z364" s="5">
        <f t="shared" si="91"/>
        <v>2841.6330117986963</v>
      </c>
      <c r="AA364" s="5">
        <f t="shared" si="98"/>
        <v>1369678.219180631</v>
      </c>
      <c r="AB364" s="3">
        <f>Assumptions!$E$45</f>
        <v>6.9899151946608562E-3</v>
      </c>
      <c r="AC364" s="5">
        <f t="shared" si="99"/>
        <v>1382093.7867884764</v>
      </c>
      <c r="AD364" s="5">
        <f>AC364*Assumptions!$E$43</f>
        <v>1237.7693333986804</v>
      </c>
      <c r="AE364" s="2">
        <f>AD364*Assumptions!$D$44*-1</f>
        <v>-185.66540000980206</v>
      </c>
      <c r="AF364" s="2">
        <f>AC364*Assumptions!$E$46*-1</f>
        <v>-46.061348922187683</v>
      </c>
      <c r="AG364" s="22">
        <f t="shared" si="100"/>
        <v>1381862.0600395445</v>
      </c>
      <c r="AH364" s="5">
        <f>Model_30y[[#This Row],[Mortgage Payment]]+Model_30y[[#This Row],[Total Upkeep]]+Model_30y[[#This Row],[Monthly Investment]]</f>
        <v>-3913.2477696499882</v>
      </c>
      <c r="AI364" s="5">
        <f>Model_Renter!D364*-1</f>
        <v>8292.1380350277941</v>
      </c>
      <c r="AJ364" s="5">
        <f t="shared" si="101"/>
        <v>4378.8902653778059</v>
      </c>
    </row>
    <row r="365" spans="1:36" x14ac:dyDescent="0.25">
      <c r="A365" s="17">
        <f t="shared" si="96"/>
        <v>363</v>
      </c>
      <c r="B365" s="17">
        <f t="shared" si="92"/>
        <v>31</v>
      </c>
      <c r="C365" s="23">
        <f>IFERROR(IPMT(Assumptions!$D$16/12,Model_30y!A365, 360,Assumptions!$D$8), 0)</f>
        <v>0</v>
      </c>
      <c r="D365" s="2">
        <f>IFERROR(PPMT(Assumptions!$D$16/12, Model_30y!A365, 360, Assumptions!$D$8), 0)</f>
        <v>0</v>
      </c>
      <c r="E365" s="2">
        <f t="shared" si="86"/>
        <v>0</v>
      </c>
      <c r="F365" s="2">
        <f>IF(I364&gt;1, Assumptions!$E$18, 0)*-1</f>
        <v>0</v>
      </c>
      <c r="G365" s="24">
        <f t="shared" si="87"/>
        <v>1</v>
      </c>
      <c r="H365" s="20">
        <f t="shared" si="93"/>
        <v>339999.99999999994</v>
      </c>
      <c r="I365" s="2">
        <f>MAX(Assumptions!$D$8-SUM(Model_30y!H365), 0)</f>
        <v>5.8207660913467407E-11</v>
      </c>
      <c r="J365" s="2">
        <f>J364*(1+(Assumptions!$E$51))</f>
        <v>1859367.4626961399</v>
      </c>
      <c r="K365" s="22">
        <f t="shared" si="88"/>
        <v>1859367.4626961399</v>
      </c>
      <c r="L365" s="5">
        <f t="shared" si="94"/>
        <v>424999.99999999971</v>
      </c>
      <c r="M365" s="63">
        <f>L365/Assumptions!$D$6</f>
        <v>0.99999999999999933</v>
      </c>
      <c r="N365" s="24">
        <f t="shared" si="102"/>
        <v>0</v>
      </c>
      <c r="O365" s="5">
        <f>N365*Assumptions!$E$25*-1</f>
        <v>0</v>
      </c>
      <c r="P365" s="20">
        <f>Assumptions!$E$35*J365*-1</f>
        <v>-3829.9925386269783</v>
      </c>
      <c r="Q365" s="5">
        <f>J365*Assumptions!$E$36*-1</f>
        <v>-1542.4161788815641</v>
      </c>
      <c r="R365" s="5">
        <f>(R353+(Model_30y!R353*Assumptions!$D$51))</f>
        <v>-1404.2711100593692</v>
      </c>
      <c r="S365" s="5">
        <f>S353+(S353*Assumptions!$D$51)</f>
        <v>0</v>
      </c>
      <c r="T365" s="5">
        <f t="shared" si="97"/>
        <v>0</v>
      </c>
      <c r="U365" s="22">
        <f t="shared" si="89"/>
        <v>-6776.6798275679121</v>
      </c>
      <c r="V365" s="5">
        <f>MAX(Assumptions!$E$18:$E$19)-U365</f>
        <v>9618.3128393666084</v>
      </c>
      <c r="W365" s="5">
        <f t="shared" si="90"/>
        <v>0</v>
      </c>
      <c r="X365" s="5">
        <f t="shared" si="95"/>
        <v>-6776.6798275679121</v>
      </c>
      <c r="Y365" s="5">
        <f>C365*Assumptions!$D$44*-1</f>
        <v>0</v>
      </c>
      <c r="Z365" s="5">
        <f t="shared" si="91"/>
        <v>2841.6330117986963</v>
      </c>
      <c r="AA365" s="5">
        <f t="shared" si="98"/>
        <v>1381862.0600395445</v>
      </c>
      <c r="AB365" s="3">
        <f>Assumptions!$E$45</f>
        <v>6.9899151946608562E-3</v>
      </c>
      <c r="AC365" s="5">
        <f t="shared" si="99"/>
        <v>1394362.7916617389</v>
      </c>
      <c r="AD365" s="5">
        <f>AC365*Assumptions!$E$43</f>
        <v>1248.7571535658853</v>
      </c>
      <c r="AE365" s="2">
        <f>AD365*Assumptions!$D$44*-1</f>
        <v>-187.31357303488281</v>
      </c>
      <c r="AF365" s="2">
        <f>AC365*Assumptions!$E$46*-1</f>
        <v>-46.470240793200674</v>
      </c>
      <c r="AG365" s="22">
        <f t="shared" si="100"/>
        <v>1394129.0078479107</v>
      </c>
      <c r="AH365" s="5">
        <f>Model_30y[[#This Row],[Mortgage Payment]]+Model_30y[[#This Row],[Total Upkeep]]+Model_30y[[#This Row],[Monthly Investment]]</f>
        <v>-3935.0468157692158</v>
      </c>
      <c r="AI365" s="5">
        <f>Model_Renter!D365*-1</f>
        <v>8292.1380350277941</v>
      </c>
      <c r="AJ365" s="5">
        <f t="shared" si="101"/>
        <v>4357.0912192585783</v>
      </c>
    </row>
    <row r="366" spans="1:36" x14ac:dyDescent="0.25">
      <c r="A366" s="17">
        <f t="shared" si="96"/>
        <v>364</v>
      </c>
      <c r="B366" s="17">
        <f t="shared" si="92"/>
        <v>31</v>
      </c>
      <c r="C366" s="23">
        <f>IFERROR(IPMT(Assumptions!$D$16/12,Model_30y!A366, 360,Assumptions!$D$8), 0)</f>
        <v>0</v>
      </c>
      <c r="D366" s="2">
        <f>IFERROR(PPMT(Assumptions!$D$16/12, Model_30y!A366, 360, Assumptions!$D$8), 0)</f>
        <v>0</v>
      </c>
      <c r="E366" s="2">
        <f t="shared" si="86"/>
        <v>0</v>
      </c>
      <c r="F366" s="2">
        <f>IF(I365&gt;1, Assumptions!$E$18, 0)*-1</f>
        <v>0</v>
      </c>
      <c r="G366" s="24">
        <f t="shared" si="87"/>
        <v>1</v>
      </c>
      <c r="H366" s="20">
        <f t="shared" si="93"/>
        <v>339999.99999999994</v>
      </c>
      <c r="I366" s="2">
        <f>MAX(Assumptions!$D$8-SUM(Model_30y!H366), 0)</f>
        <v>5.8207660913467407E-11</v>
      </c>
      <c r="J366" s="2">
        <f>J365*(1+(Assumptions!$E$51))</f>
        <v>1866942.7558984521</v>
      </c>
      <c r="K366" s="22">
        <f t="shared" si="88"/>
        <v>1866942.7558984521</v>
      </c>
      <c r="L366" s="5">
        <f t="shared" si="94"/>
        <v>424999.99999999971</v>
      </c>
      <c r="M366" s="63">
        <f>L366/Assumptions!$D$6</f>
        <v>0.99999999999999933</v>
      </c>
      <c r="N366" s="24">
        <f t="shared" si="102"/>
        <v>0</v>
      </c>
      <c r="O366" s="5">
        <f>N366*Assumptions!$E$25*-1</f>
        <v>0</v>
      </c>
      <c r="P366" s="20">
        <f>Assumptions!$E$35*J366*-1</f>
        <v>-3845.5964023197944</v>
      </c>
      <c r="Q366" s="5">
        <f>J366*Assumptions!$E$36*-1</f>
        <v>-1548.7001733202294</v>
      </c>
      <c r="R366" s="5">
        <f>(R354+(Model_30y!R354*Assumptions!$D$51))</f>
        <v>-1404.2711100593692</v>
      </c>
      <c r="S366" s="5">
        <f>S354+(S354*Assumptions!$D$51)</f>
        <v>0</v>
      </c>
      <c r="T366" s="5">
        <f t="shared" si="97"/>
        <v>0</v>
      </c>
      <c r="U366" s="22">
        <f t="shared" si="89"/>
        <v>-6798.5676856993923</v>
      </c>
      <c r="V366" s="5">
        <f>MAX(Assumptions!$E$18:$E$19)-U366</f>
        <v>9640.2006974980886</v>
      </c>
      <c r="W366" s="5">
        <f t="shared" si="90"/>
        <v>0</v>
      </c>
      <c r="X366" s="5">
        <f t="shared" si="95"/>
        <v>-6798.5676856993923</v>
      </c>
      <c r="Y366" s="5">
        <f>C366*Assumptions!$D$44*-1</f>
        <v>0</v>
      </c>
      <c r="Z366" s="5">
        <f t="shared" si="91"/>
        <v>2841.6330117986963</v>
      </c>
      <c r="AA366" s="5">
        <f t="shared" si="98"/>
        <v>1394129.0078479107</v>
      </c>
      <c r="AB366" s="3">
        <f>Assumptions!$E$45</f>
        <v>6.9899151946608562E-3</v>
      </c>
      <c r="AC366" s="5">
        <f t="shared" si="99"/>
        <v>1406715.4843949829</v>
      </c>
      <c r="AD366" s="5">
        <f>AC366*Assumptions!$E$43</f>
        <v>1259.8199225300921</v>
      </c>
      <c r="AE366" s="2">
        <f>AD366*Assumptions!$D$44*-1</f>
        <v>-188.97298837951379</v>
      </c>
      <c r="AF366" s="2">
        <f>AC366*Assumptions!$E$46*-1</f>
        <v>-46.88192174825123</v>
      </c>
      <c r="AG366" s="22">
        <f t="shared" si="100"/>
        <v>1406479.6294848551</v>
      </c>
      <c r="AH366" s="5">
        <f>Model_30y[[#This Row],[Mortgage Payment]]+Model_30y[[#This Row],[Total Upkeep]]+Model_30y[[#This Row],[Monthly Investment]]</f>
        <v>-3956.934673900696</v>
      </c>
      <c r="AI366" s="5">
        <f>Model_Renter!D366*-1</f>
        <v>8292.1380350277941</v>
      </c>
      <c r="AJ366" s="5">
        <f t="shared" si="101"/>
        <v>4335.2033611270981</v>
      </c>
    </row>
    <row r="367" spans="1:36" x14ac:dyDescent="0.25">
      <c r="A367" s="17">
        <f t="shared" si="96"/>
        <v>365</v>
      </c>
      <c r="B367" s="17">
        <f t="shared" si="92"/>
        <v>31</v>
      </c>
      <c r="C367" s="23">
        <f>IFERROR(IPMT(Assumptions!$D$16/12,Model_30y!A367, 360,Assumptions!$D$8), 0)</f>
        <v>0</v>
      </c>
      <c r="D367" s="2">
        <f>IFERROR(PPMT(Assumptions!$D$16/12, Model_30y!A367, 360, Assumptions!$D$8), 0)</f>
        <v>0</v>
      </c>
      <c r="E367" s="2">
        <f t="shared" si="86"/>
        <v>0</v>
      </c>
      <c r="F367" s="2">
        <f>IF(I366&gt;1, Assumptions!$E$18, 0)*-1</f>
        <v>0</v>
      </c>
      <c r="G367" s="24">
        <f t="shared" si="87"/>
        <v>1</v>
      </c>
      <c r="H367" s="20">
        <f t="shared" si="93"/>
        <v>339999.99999999994</v>
      </c>
      <c r="I367" s="2">
        <f>MAX(Assumptions!$D$8-SUM(Model_30y!H367), 0)</f>
        <v>5.8207660913467407E-11</v>
      </c>
      <c r="J367" s="2">
        <f>J366*(1+(Assumptions!$E$51))</f>
        <v>1874548.9117829681</v>
      </c>
      <c r="K367" s="22">
        <f t="shared" si="88"/>
        <v>1874548.9117829681</v>
      </c>
      <c r="L367" s="5">
        <f t="shared" si="94"/>
        <v>424999.99999999971</v>
      </c>
      <c r="M367" s="63">
        <f>L367/Assumptions!$D$6</f>
        <v>0.99999999999999933</v>
      </c>
      <c r="N367" s="24">
        <f t="shared" si="102"/>
        <v>0</v>
      </c>
      <c r="O367" s="5">
        <f>N367*Assumptions!$E$25*-1</f>
        <v>0</v>
      </c>
      <c r="P367" s="20">
        <f>Assumptions!$E$35*J367*-1</f>
        <v>-3861.263838084798</v>
      </c>
      <c r="Q367" s="5">
        <f>J367*Assumptions!$E$36*-1</f>
        <v>-1555.0097695300938</v>
      </c>
      <c r="R367" s="5">
        <f>(R355+(Model_30y!R355*Assumptions!$D$51))</f>
        <v>-1404.2711100593692</v>
      </c>
      <c r="S367" s="5">
        <f>S355+(S355*Assumptions!$D$51)</f>
        <v>0</v>
      </c>
      <c r="T367" s="5">
        <f t="shared" si="97"/>
        <v>0</v>
      </c>
      <c r="U367" s="22">
        <f t="shared" si="89"/>
        <v>-6820.5447176742618</v>
      </c>
      <c r="V367" s="5">
        <f>MAX(Assumptions!$E$18:$E$19)-U367</f>
        <v>9662.1777294729582</v>
      </c>
      <c r="W367" s="5">
        <f t="shared" si="90"/>
        <v>0</v>
      </c>
      <c r="X367" s="5">
        <f t="shared" si="95"/>
        <v>-6820.5447176742618</v>
      </c>
      <c r="Y367" s="5">
        <f>C367*Assumptions!$D$44*-1</f>
        <v>0</v>
      </c>
      <c r="Z367" s="5">
        <f t="shared" si="91"/>
        <v>2841.6330117986963</v>
      </c>
      <c r="AA367" s="5">
        <f t="shared" si="98"/>
        <v>1406479.6294848551</v>
      </c>
      <c r="AB367" s="3">
        <f>Assumptions!$E$45</f>
        <v>6.9899151946608562E-3</v>
      </c>
      <c r="AC367" s="5">
        <f t="shared" si="99"/>
        <v>1419152.435829771</v>
      </c>
      <c r="AD367" s="5">
        <f>AC367*Assumptions!$E$43</f>
        <v>1270.9581515230172</v>
      </c>
      <c r="AE367" s="2">
        <f>AD367*Assumptions!$D$44*-1</f>
        <v>-190.64372272845259</v>
      </c>
      <c r="AF367" s="2">
        <f>AC367*Assumptions!$E$46*-1</f>
        <v>-47.296410811903861</v>
      </c>
      <c r="AG367" s="22">
        <f t="shared" si="100"/>
        <v>1418914.4956962306</v>
      </c>
      <c r="AH367" s="5">
        <f>Model_30y[[#This Row],[Mortgage Payment]]+Model_30y[[#This Row],[Total Upkeep]]+Model_30y[[#This Row],[Monthly Investment]]</f>
        <v>-3978.9117058755655</v>
      </c>
      <c r="AI367" s="5">
        <f>Model_Renter!D367*-1</f>
        <v>8292.1380350277941</v>
      </c>
      <c r="AJ367" s="5">
        <f t="shared" si="101"/>
        <v>4313.2263291522286</v>
      </c>
    </row>
    <row r="368" spans="1:36" x14ac:dyDescent="0.25">
      <c r="A368" s="17">
        <f t="shared" si="96"/>
        <v>366</v>
      </c>
      <c r="B368" s="17">
        <f t="shared" si="92"/>
        <v>31</v>
      </c>
      <c r="C368" s="23">
        <f>IFERROR(IPMT(Assumptions!$D$16/12,Model_30y!A368, 360,Assumptions!$D$8), 0)</f>
        <v>0</v>
      </c>
      <c r="D368" s="2">
        <f>IFERROR(PPMT(Assumptions!$D$16/12, Model_30y!A368, 360, Assumptions!$D$8), 0)</f>
        <v>0</v>
      </c>
      <c r="E368" s="2">
        <f t="shared" si="86"/>
        <v>0</v>
      </c>
      <c r="F368" s="2">
        <f>IF(I367&gt;1, Assumptions!$E$18, 0)*-1</f>
        <v>0</v>
      </c>
      <c r="G368" s="24">
        <f t="shared" si="87"/>
        <v>1</v>
      </c>
      <c r="H368" s="20">
        <f t="shared" si="93"/>
        <v>339999.99999999994</v>
      </c>
      <c r="I368" s="2">
        <f>MAX(Assumptions!$D$8-SUM(Model_30y!H368), 0)</f>
        <v>5.8207660913467407E-11</v>
      </c>
      <c r="J368" s="2">
        <f>J367*(1+(Assumptions!$E$51))</f>
        <v>1882186.0560880753</v>
      </c>
      <c r="K368" s="22">
        <f t="shared" si="88"/>
        <v>1882186.0560880753</v>
      </c>
      <c r="L368" s="5">
        <f t="shared" si="94"/>
        <v>424999.99999999971</v>
      </c>
      <c r="M368" s="63">
        <f>L368/Assumptions!$D$6</f>
        <v>0.99999999999999933</v>
      </c>
      <c r="N368" s="24">
        <f t="shared" si="102"/>
        <v>0</v>
      </c>
      <c r="O368" s="5">
        <f>N368*Assumptions!$E$25*-1</f>
        <v>0</v>
      </c>
      <c r="P368" s="20">
        <f>Assumptions!$E$35*J368*-1</f>
        <v>-3876.9951049224806</v>
      </c>
      <c r="Q368" s="5">
        <f>J368*Assumptions!$E$36*-1</f>
        <v>-1561.3450718159418</v>
      </c>
      <c r="R368" s="5">
        <f>(R356+(Model_30y!R356*Assumptions!$D$51))</f>
        <v>-1404.2711100593692</v>
      </c>
      <c r="S368" s="5">
        <f>S356+(S356*Assumptions!$D$51)</f>
        <v>0</v>
      </c>
      <c r="T368" s="5">
        <f t="shared" si="97"/>
        <v>0</v>
      </c>
      <c r="U368" s="22">
        <f t="shared" si="89"/>
        <v>-6842.6112867977918</v>
      </c>
      <c r="V368" s="5">
        <f>MAX(Assumptions!$E$18:$E$19)-U368</f>
        <v>9684.2442985964881</v>
      </c>
      <c r="W368" s="5">
        <f t="shared" si="90"/>
        <v>0</v>
      </c>
      <c r="X368" s="5">
        <f t="shared" si="95"/>
        <v>-6842.6112867977918</v>
      </c>
      <c r="Y368" s="5">
        <f>C368*Assumptions!$D$44*-1</f>
        <v>0</v>
      </c>
      <c r="Z368" s="5">
        <f t="shared" si="91"/>
        <v>2841.6330117986963</v>
      </c>
      <c r="AA368" s="5">
        <f t="shared" si="98"/>
        <v>1418914.4956962306</v>
      </c>
      <c r="AB368" s="3">
        <f>Assumptions!$E$45</f>
        <v>6.9899151946608562E-3</v>
      </c>
      <c r="AC368" s="5">
        <f t="shared" si="99"/>
        <v>1431674.2207014207</v>
      </c>
      <c r="AD368" s="5">
        <f>AC368*Assumptions!$E$43</f>
        <v>1282.1723552635306</v>
      </c>
      <c r="AE368" s="2">
        <f>AD368*Assumptions!$D$44*-1</f>
        <v>-192.32585328952959</v>
      </c>
      <c r="AF368" s="2">
        <f>AC368*Assumptions!$E$46*-1</f>
        <v>-47.713727138491116</v>
      </c>
      <c r="AG368" s="22">
        <f t="shared" si="100"/>
        <v>1431434.1811209926</v>
      </c>
      <c r="AH368" s="5">
        <f>Model_30y[[#This Row],[Mortgage Payment]]+Model_30y[[#This Row],[Total Upkeep]]+Model_30y[[#This Row],[Monthly Investment]]</f>
        <v>-4000.9782749990954</v>
      </c>
      <c r="AI368" s="5">
        <f>Model_Renter!D368*-1</f>
        <v>8292.1380350277941</v>
      </c>
      <c r="AJ368" s="5">
        <f t="shared" si="101"/>
        <v>4291.1597600286987</v>
      </c>
    </row>
    <row r="369" spans="1:36" x14ac:dyDescent="0.25">
      <c r="A369" s="17">
        <f t="shared" si="96"/>
        <v>367</v>
      </c>
      <c r="B369" s="17">
        <f t="shared" si="92"/>
        <v>31</v>
      </c>
      <c r="C369" s="23">
        <f>IFERROR(IPMT(Assumptions!$D$16/12,Model_30y!A369, 360,Assumptions!$D$8), 0)</f>
        <v>0</v>
      </c>
      <c r="D369" s="2">
        <f>IFERROR(PPMT(Assumptions!$D$16/12, Model_30y!A369, 360, Assumptions!$D$8), 0)</f>
        <v>0</v>
      </c>
      <c r="E369" s="2">
        <f t="shared" si="86"/>
        <v>0</v>
      </c>
      <c r="F369" s="2">
        <f>IF(I368&gt;1, Assumptions!$E$18, 0)*-1</f>
        <v>0</v>
      </c>
      <c r="G369" s="24">
        <f t="shared" si="87"/>
        <v>1</v>
      </c>
      <c r="H369" s="20">
        <f t="shared" si="93"/>
        <v>339999.99999999994</v>
      </c>
      <c r="I369" s="2">
        <f>MAX(Assumptions!$D$8-SUM(Model_30y!H369), 0)</f>
        <v>5.8207660913467407E-11</v>
      </c>
      <c r="J369" s="2">
        <f>J368*(1+(Assumptions!$E$51))</f>
        <v>1889854.3150644349</v>
      </c>
      <c r="K369" s="22">
        <f t="shared" si="88"/>
        <v>1889854.3150644349</v>
      </c>
      <c r="L369" s="5">
        <f t="shared" si="94"/>
        <v>424999.99999999971</v>
      </c>
      <c r="M369" s="63">
        <f>L369/Assumptions!$D$6</f>
        <v>0.99999999999999933</v>
      </c>
      <c r="N369" s="24">
        <f t="shared" si="102"/>
        <v>0</v>
      </c>
      <c r="O369" s="5">
        <f>N369*Assumptions!$E$25*-1</f>
        <v>0</v>
      </c>
      <c r="P369" s="20">
        <f>Assumptions!$E$35*J369*-1</f>
        <v>-3892.7904628885335</v>
      </c>
      <c r="Q369" s="5">
        <f>J369*Assumptions!$E$36*-1</f>
        <v>-1567.7061849075092</v>
      </c>
      <c r="R369" s="5">
        <f>(R357+(Model_30y!R357*Assumptions!$D$51))</f>
        <v>-1404.2711100593692</v>
      </c>
      <c r="S369" s="5">
        <f>S357+(S357*Assumptions!$D$51)</f>
        <v>0</v>
      </c>
      <c r="T369" s="5">
        <f t="shared" si="97"/>
        <v>0</v>
      </c>
      <c r="U369" s="22">
        <f t="shared" si="89"/>
        <v>-6864.7677578554121</v>
      </c>
      <c r="V369" s="5">
        <f>MAX(Assumptions!$E$18:$E$19)-U369</f>
        <v>9706.4007696541084</v>
      </c>
      <c r="W369" s="5">
        <f t="shared" si="90"/>
        <v>0</v>
      </c>
      <c r="X369" s="5">
        <f t="shared" si="95"/>
        <v>-6864.7677578554121</v>
      </c>
      <c r="Y369" s="5">
        <f>C369*Assumptions!$D$44*-1</f>
        <v>0</v>
      </c>
      <c r="Z369" s="5">
        <f t="shared" si="91"/>
        <v>2841.6330117986963</v>
      </c>
      <c r="AA369" s="5">
        <f t="shared" si="98"/>
        <v>1431434.1811209926</v>
      </c>
      <c r="AB369" s="3">
        <f>Assumptions!$E$45</f>
        <v>6.9899151946608562E-3</v>
      </c>
      <c r="AC369" s="5">
        <f t="shared" si="99"/>
        <v>1444281.4176655659</v>
      </c>
      <c r="AD369" s="5">
        <f>AC369*Assumptions!$E$43</f>
        <v>1293.4630519814402</v>
      </c>
      <c r="AE369" s="2">
        <f>AD369*Assumptions!$D$44*-1</f>
        <v>-194.01945779721603</v>
      </c>
      <c r="AF369" s="2">
        <f>AC369*Assumptions!$E$46*-1</f>
        <v>-48.133890012998783</v>
      </c>
      <c r="AG369" s="22">
        <f t="shared" si="100"/>
        <v>1444039.2643177556</v>
      </c>
      <c r="AH369" s="5">
        <f>Model_30y[[#This Row],[Mortgage Payment]]+Model_30y[[#This Row],[Total Upkeep]]+Model_30y[[#This Row],[Monthly Investment]]</f>
        <v>-4023.1347460567158</v>
      </c>
      <c r="AI369" s="5">
        <f>Model_Renter!D369*-1</f>
        <v>8292.1380350277941</v>
      </c>
      <c r="AJ369" s="5">
        <f t="shared" si="101"/>
        <v>4269.0032889710783</v>
      </c>
    </row>
    <row r="370" spans="1:36" x14ac:dyDescent="0.25">
      <c r="A370" s="17">
        <f t="shared" si="96"/>
        <v>368</v>
      </c>
      <c r="B370" s="17">
        <f t="shared" si="92"/>
        <v>31</v>
      </c>
      <c r="C370" s="23">
        <f>IFERROR(IPMT(Assumptions!$D$16/12,Model_30y!A370, 360,Assumptions!$D$8), 0)</f>
        <v>0</v>
      </c>
      <c r="D370" s="2">
        <f>IFERROR(PPMT(Assumptions!$D$16/12, Model_30y!A370, 360, Assumptions!$D$8), 0)</f>
        <v>0</v>
      </c>
      <c r="E370" s="2">
        <f t="shared" si="86"/>
        <v>0</v>
      </c>
      <c r="F370" s="2">
        <f>IF(I369&gt;1, Assumptions!$E$18, 0)*-1</f>
        <v>0</v>
      </c>
      <c r="G370" s="24">
        <f t="shared" si="87"/>
        <v>1</v>
      </c>
      <c r="H370" s="20">
        <f t="shared" si="93"/>
        <v>339999.99999999994</v>
      </c>
      <c r="I370" s="2">
        <f>MAX(Assumptions!$D$8-SUM(Model_30y!H370), 0)</f>
        <v>5.8207660913467407E-11</v>
      </c>
      <c r="J370" s="2">
        <f>J369*(1+(Assumptions!$E$51))</f>
        <v>1897553.8154770695</v>
      </c>
      <c r="K370" s="22">
        <f t="shared" si="88"/>
        <v>1897553.8154770695</v>
      </c>
      <c r="L370" s="5">
        <f t="shared" si="94"/>
        <v>424999.99999999971</v>
      </c>
      <c r="M370" s="63">
        <f>L370/Assumptions!$D$6</f>
        <v>0.99999999999999933</v>
      </c>
      <c r="N370" s="24">
        <f t="shared" si="102"/>
        <v>0</v>
      </c>
      <c r="O370" s="5">
        <f>N370*Assumptions!$E$25*-1</f>
        <v>0</v>
      </c>
      <c r="P370" s="20">
        <f>Assumptions!$E$35*J370*-1</f>
        <v>-3908.6501730981472</v>
      </c>
      <c r="Q370" s="5">
        <f>J370*Assumptions!$E$36*-1</f>
        <v>-1574.0932139612137</v>
      </c>
      <c r="R370" s="5">
        <f>(R358+(Model_30y!R358*Assumptions!$D$51))</f>
        <v>-1404.2711100593692</v>
      </c>
      <c r="S370" s="5">
        <f>S358+(S358*Assumptions!$D$51)</f>
        <v>0</v>
      </c>
      <c r="T370" s="5">
        <f t="shared" si="97"/>
        <v>0</v>
      </c>
      <c r="U370" s="22">
        <f t="shared" si="89"/>
        <v>-6887.014497118731</v>
      </c>
      <c r="V370" s="5">
        <f>MAX(Assumptions!$E$18:$E$19)-U370</f>
        <v>9728.6475089174273</v>
      </c>
      <c r="W370" s="5">
        <f t="shared" si="90"/>
        <v>0</v>
      </c>
      <c r="X370" s="5">
        <f t="shared" si="95"/>
        <v>-6887.014497118731</v>
      </c>
      <c r="Y370" s="5">
        <f>C370*Assumptions!$D$44*-1</f>
        <v>0</v>
      </c>
      <c r="Z370" s="5">
        <f t="shared" si="91"/>
        <v>2841.6330117986963</v>
      </c>
      <c r="AA370" s="5">
        <f t="shared" si="98"/>
        <v>1444039.2643177556</v>
      </c>
      <c r="AB370" s="3">
        <f>Assumptions!$E$45</f>
        <v>6.9899151946608562E-3</v>
      </c>
      <c r="AC370" s="5">
        <f t="shared" si="99"/>
        <v>1456974.6093248958</v>
      </c>
      <c r="AD370" s="5">
        <f>AC370*Assumptions!$E$43</f>
        <v>1304.8307634414405</v>
      </c>
      <c r="AE370" s="2">
        <f>AD370*Assumptions!$D$44*-1</f>
        <v>-195.72461451621606</v>
      </c>
      <c r="AF370" s="2">
        <f>AC370*Assumptions!$E$46*-1</f>
        <v>-48.556918851957072</v>
      </c>
      <c r="AG370" s="22">
        <f t="shared" si="100"/>
        <v>1456730.3277915276</v>
      </c>
      <c r="AH370" s="5">
        <f>Model_30y[[#This Row],[Mortgage Payment]]+Model_30y[[#This Row],[Total Upkeep]]+Model_30y[[#This Row],[Monthly Investment]]</f>
        <v>-4045.3814853200347</v>
      </c>
      <c r="AI370" s="5">
        <f>Model_Renter!D370*-1</f>
        <v>8292.1380350277941</v>
      </c>
      <c r="AJ370" s="5">
        <f t="shared" si="101"/>
        <v>4246.7565497077594</v>
      </c>
    </row>
    <row r="371" spans="1:36" x14ac:dyDescent="0.25">
      <c r="A371" s="17">
        <f t="shared" si="96"/>
        <v>369</v>
      </c>
      <c r="B371" s="17">
        <f t="shared" si="92"/>
        <v>31</v>
      </c>
      <c r="C371" s="23">
        <f>IFERROR(IPMT(Assumptions!$D$16/12,Model_30y!A371, 360,Assumptions!$D$8), 0)</f>
        <v>0</v>
      </c>
      <c r="D371" s="2">
        <f>IFERROR(PPMT(Assumptions!$D$16/12, Model_30y!A371, 360, Assumptions!$D$8), 0)</f>
        <v>0</v>
      </c>
      <c r="E371" s="2">
        <f t="shared" si="86"/>
        <v>0</v>
      </c>
      <c r="F371" s="2">
        <f>IF(I370&gt;1, Assumptions!$E$18, 0)*-1</f>
        <v>0</v>
      </c>
      <c r="G371" s="24">
        <f t="shared" si="87"/>
        <v>1</v>
      </c>
      <c r="H371" s="20">
        <f t="shared" si="93"/>
        <v>339999.99999999994</v>
      </c>
      <c r="I371" s="2">
        <f>MAX(Assumptions!$D$8-SUM(Model_30y!H371), 0)</f>
        <v>5.8207660913467407E-11</v>
      </c>
      <c r="J371" s="2">
        <f>J370*(1+(Assumptions!$E$51))</f>
        <v>1905284.6846074574</v>
      </c>
      <c r="K371" s="22">
        <f t="shared" si="88"/>
        <v>1905284.6846074574</v>
      </c>
      <c r="L371" s="5">
        <f t="shared" si="94"/>
        <v>424999.99999999971</v>
      </c>
      <c r="M371" s="63">
        <f>L371/Assumptions!$D$6</f>
        <v>0.99999999999999933</v>
      </c>
      <c r="N371" s="24">
        <f t="shared" si="102"/>
        <v>0</v>
      </c>
      <c r="O371" s="5">
        <f>N371*Assumptions!$E$25*-1</f>
        <v>0</v>
      </c>
      <c r="P371" s="20">
        <f>Assumptions!$E$35*J371*-1</f>
        <v>-3924.5744977303279</v>
      </c>
      <c r="Q371" s="5">
        <f>J371*Assumptions!$E$36*-1</f>
        <v>-1580.5062645618925</v>
      </c>
      <c r="R371" s="5">
        <f>(R359+(Model_30y!R359*Assumptions!$D$51))</f>
        <v>-1404.2711100593692</v>
      </c>
      <c r="S371" s="5">
        <f>S359+(S359*Assumptions!$D$51)</f>
        <v>0</v>
      </c>
      <c r="T371" s="5">
        <f t="shared" si="97"/>
        <v>0</v>
      </c>
      <c r="U371" s="22">
        <f t="shared" si="89"/>
        <v>-6909.3518723515899</v>
      </c>
      <c r="V371" s="5">
        <f>MAX(Assumptions!$E$18:$E$19)-U371</f>
        <v>9750.9848841502862</v>
      </c>
      <c r="W371" s="5">
        <f t="shared" si="90"/>
        <v>0</v>
      </c>
      <c r="X371" s="5">
        <f t="shared" si="95"/>
        <v>-6909.3518723515899</v>
      </c>
      <c r="Y371" s="5">
        <f>C371*Assumptions!$D$44*-1</f>
        <v>0</v>
      </c>
      <c r="Z371" s="5">
        <f t="shared" si="91"/>
        <v>2841.6330117986963</v>
      </c>
      <c r="AA371" s="5">
        <f t="shared" si="98"/>
        <v>1456730.3277915276</v>
      </c>
      <c r="AB371" s="3">
        <f>Assumptions!$E$45</f>
        <v>6.9899151946608562E-3</v>
      </c>
      <c r="AC371" s="5">
        <f t="shared" si="99"/>
        <v>1469754.3822560795</v>
      </c>
      <c r="AD371" s="5">
        <f>AC371*Assumptions!$E$43</f>
        <v>1316.2760149672247</v>
      </c>
      <c r="AE371" s="2">
        <f>AD371*Assumptions!$D$44*-1</f>
        <v>-197.44140224508371</v>
      </c>
      <c r="AF371" s="2">
        <f>AC371*Assumptions!$E$46*-1</f>
        <v>-48.982833204337901</v>
      </c>
      <c r="AG371" s="22">
        <f t="shared" si="100"/>
        <v>1469507.9580206301</v>
      </c>
      <c r="AH371" s="5">
        <f>Model_30y[[#This Row],[Mortgage Payment]]+Model_30y[[#This Row],[Total Upkeep]]+Model_30y[[#This Row],[Monthly Investment]]</f>
        <v>-4067.7188605528936</v>
      </c>
      <c r="AI371" s="5">
        <f>Model_Renter!D371*-1</f>
        <v>8292.1380350277941</v>
      </c>
      <c r="AJ371" s="5">
        <f t="shared" si="101"/>
        <v>4224.4191744749005</v>
      </c>
    </row>
    <row r="372" spans="1:36" x14ac:dyDescent="0.25">
      <c r="A372" s="17">
        <f t="shared" si="96"/>
        <v>370</v>
      </c>
      <c r="B372" s="17">
        <f t="shared" si="92"/>
        <v>31</v>
      </c>
      <c r="C372" s="23">
        <f>IFERROR(IPMT(Assumptions!$D$16/12,Model_30y!A372, 360,Assumptions!$D$8), 0)</f>
        <v>0</v>
      </c>
      <c r="D372" s="2">
        <f>IFERROR(PPMT(Assumptions!$D$16/12, Model_30y!A372, 360, Assumptions!$D$8), 0)</f>
        <v>0</v>
      </c>
      <c r="E372" s="2">
        <f t="shared" si="86"/>
        <v>0</v>
      </c>
      <c r="F372" s="2">
        <f>IF(I371&gt;1, Assumptions!$E$18, 0)*-1</f>
        <v>0</v>
      </c>
      <c r="G372" s="24">
        <f t="shared" si="87"/>
        <v>1</v>
      </c>
      <c r="H372" s="20">
        <f t="shared" si="93"/>
        <v>339999.99999999994</v>
      </c>
      <c r="I372" s="2">
        <f>MAX(Assumptions!$D$8-SUM(Model_30y!H372), 0)</f>
        <v>5.8207660913467407E-11</v>
      </c>
      <c r="J372" s="2">
        <f>J371*(1+(Assumptions!$E$51))</f>
        <v>1913047.0502556376</v>
      </c>
      <c r="K372" s="22">
        <f t="shared" si="88"/>
        <v>1913047.0502556376</v>
      </c>
      <c r="L372" s="5">
        <f t="shared" si="94"/>
        <v>424999.99999999971</v>
      </c>
      <c r="M372" s="63">
        <f>L372/Assumptions!$D$6</f>
        <v>0.99999999999999933</v>
      </c>
      <c r="N372" s="24">
        <f t="shared" si="102"/>
        <v>0</v>
      </c>
      <c r="O372" s="5">
        <f>N372*Assumptions!$E$25*-1</f>
        <v>0</v>
      </c>
      <c r="P372" s="20">
        <f>Assumptions!$E$35*J372*-1</f>
        <v>-3940.5637000322308</v>
      </c>
      <c r="Q372" s="5">
        <f>J372*Assumptions!$E$36*-1</f>
        <v>-1586.9454427245494</v>
      </c>
      <c r="R372" s="5">
        <f>(R360+(Model_30y!R360*Assumptions!$D$51))</f>
        <v>-1404.2711100593692</v>
      </c>
      <c r="S372" s="5">
        <f>S360+(S360*Assumptions!$D$51)</f>
        <v>0</v>
      </c>
      <c r="T372" s="5">
        <f t="shared" si="97"/>
        <v>0</v>
      </c>
      <c r="U372" s="22">
        <f t="shared" si="89"/>
        <v>-6931.7802528161501</v>
      </c>
      <c r="V372" s="5">
        <f>MAX(Assumptions!$E$18:$E$19)-U372</f>
        <v>9773.4132646148464</v>
      </c>
      <c r="W372" s="5">
        <f t="shared" si="90"/>
        <v>0</v>
      </c>
      <c r="X372" s="5">
        <f t="shared" si="95"/>
        <v>-6931.7802528161501</v>
      </c>
      <c r="Y372" s="5">
        <f>C372*Assumptions!$D$44*-1</f>
        <v>0</v>
      </c>
      <c r="Z372" s="5">
        <f t="shared" si="91"/>
        <v>2841.6330117986963</v>
      </c>
      <c r="AA372" s="5">
        <f t="shared" si="98"/>
        <v>1469507.9580206301</v>
      </c>
      <c r="AB372" s="3">
        <f>Assumptions!$E$45</f>
        <v>6.9899151946608562E-3</v>
      </c>
      <c r="AC372" s="5">
        <f t="shared" si="99"/>
        <v>1482621.327036872</v>
      </c>
      <c r="AD372" s="5">
        <f>AC372*Assumptions!$E$43</f>
        <v>1327.7993354657608</v>
      </c>
      <c r="AE372" s="2">
        <f>AD372*Assumptions!$D$44*-1</f>
        <v>-199.16990031986413</v>
      </c>
      <c r="AF372" s="2">
        <f>AC372*Assumptions!$E$46*-1</f>
        <v>-49.411652752458274</v>
      </c>
      <c r="AG372" s="22">
        <f t="shared" si="100"/>
        <v>1482372.7454837996</v>
      </c>
      <c r="AH372" s="5">
        <f>Model_30y[[#This Row],[Mortgage Payment]]+Model_30y[[#This Row],[Total Upkeep]]+Model_30y[[#This Row],[Monthly Investment]]</f>
        <v>-4090.1472410174538</v>
      </c>
      <c r="AI372" s="5">
        <f>Model_Renter!D372*-1</f>
        <v>8292.1380350277941</v>
      </c>
      <c r="AJ372" s="5">
        <f t="shared" si="101"/>
        <v>4201.9907940103403</v>
      </c>
    </row>
    <row r="373" spans="1:36" x14ac:dyDescent="0.25">
      <c r="A373" s="17">
        <f t="shared" si="96"/>
        <v>371</v>
      </c>
      <c r="B373" s="17">
        <f t="shared" si="92"/>
        <v>31</v>
      </c>
      <c r="C373" s="23">
        <f>IFERROR(IPMT(Assumptions!$D$16/12,Model_30y!A373, 360,Assumptions!$D$8), 0)</f>
        <v>0</v>
      </c>
      <c r="D373" s="2">
        <f>IFERROR(PPMT(Assumptions!$D$16/12, Model_30y!A373, 360, Assumptions!$D$8), 0)</f>
        <v>0</v>
      </c>
      <c r="E373" s="2">
        <f t="shared" si="86"/>
        <v>0</v>
      </c>
      <c r="F373" s="2">
        <f>IF(I372&gt;1, Assumptions!$E$18, 0)*-1</f>
        <v>0</v>
      </c>
      <c r="G373" s="24">
        <f t="shared" si="87"/>
        <v>1</v>
      </c>
      <c r="H373" s="20">
        <f t="shared" si="93"/>
        <v>339999.99999999994</v>
      </c>
      <c r="I373" s="2">
        <f>MAX(Assumptions!$D$8-SUM(Model_30y!H373), 0)</f>
        <v>5.8207660913467407E-11</v>
      </c>
      <c r="J373" s="2">
        <f>J372*(1+(Assumptions!$E$51))</f>
        <v>1920841.0407423223</v>
      </c>
      <c r="K373" s="22">
        <f t="shared" si="88"/>
        <v>1920841.0407423223</v>
      </c>
      <c r="L373" s="5">
        <f t="shared" si="94"/>
        <v>424999.99999999971</v>
      </c>
      <c r="M373" s="63">
        <f>L373/Assumptions!$D$6</f>
        <v>0.99999999999999933</v>
      </c>
      <c r="N373" s="24">
        <f t="shared" si="102"/>
        <v>0</v>
      </c>
      <c r="O373" s="5">
        <f>N373*Assumptions!$E$25*-1</f>
        <v>0</v>
      </c>
      <c r="P373" s="20">
        <f>Assumptions!$E$35*J373*-1</f>
        <v>-3956.6180443235135</v>
      </c>
      <c r="Q373" s="5">
        <f>J373*Assumptions!$E$36*-1</f>
        <v>-1593.4108548961058</v>
      </c>
      <c r="R373" s="5">
        <f>(R361+(Model_30y!R361*Assumptions!$D$51))</f>
        <v>-1404.2711100593692</v>
      </c>
      <c r="S373" s="5">
        <f>S361+(S361*Assumptions!$D$51)</f>
        <v>0</v>
      </c>
      <c r="T373" s="5">
        <f t="shared" si="97"/>
        <v>0</v>
      </c>
      <c r="U373" s="22">
        <f t="shared" si="89"/>
        <v>-6954.300009278988</v>
      </c>
      <c r="V373" s="5">
        <f>MAX(Assumptions!$E$18:$E$19)-U373</f>
        <v>9795.9330210776843</v>
      </c>
      <c r="W373" s="5">
        <f t="shared" si="90"/>
        <v>0</v>
      </c>
      <c r="X373" s="5">
        <f t="shared" si="95"/>
        <v>-6954.300009278988</v>
      </c>
      <c r="Y373" s="5">
        <f>C373*Assumptions!$D$44*-1</f>
        <v>0</v>
      </c>
      <c r="Z373" s="5">
        <f t="shared" si="91"/>
        <v>2841.6330117986963</v>
      </c>
      <c r="AA373" s="5">
        <f t="shared" si="98"/>
        <v>1482372.7454837996</v>
      </c>
      <c r="AB373" s="3">
        <f>Assumptions!$E$45</f>
        <v>6.9899151946608562E-3</v>
      </c>
      <c r="AC373" s="5">
        <f t="shared" si="99"/>
        <v>1495576.0382734064</v>
      </c>
      <c r="AD373" s="5">
        <f>AC373*Assumptions!$E$43</f>
        <v>1339.4012574517337</v>
      </c>
      <c r="AE373" s="2">
        <f>AD373*Assumptions!$D$44*-1</f>
        <v>-200.91018861776004</v>
      </c>
      <c r="AF373" s="2">
        <f>AC373*Assumptions!$E$46*-1</f>
        <v>-49.843397312889849</v>
      </c>
      <c r="AG373" s="22">
        <f t="shared" si="100"/>
        <v>1495325.2846874758</v>
      </c>
      <c r="AH373" s="5">
        <f>Model_30y[[#This Row],[Mortgage Payment]]+Model_30y[[#This Row],[Total Upkeep]]+Model_30y[[#This Row],[Monthly Investment]]</f>
        <v>-4112.6669974802917</v>
      </c>
      <c r="AI373" s="5">
        <f>Model_Renter!D373*-1</f>
        <v>8292.1380350277941</v>
      </c>
      <c r="AJ373" s="5">
        <f t="shared" si="101"/>
        <v>4179.4710375475024</v>
      </c>
    </row>
    <row r="374" spans="1:36" x14ac:dyDescent="0.25">
      <c r="A374" s="17">
        <f t="shared" si="96"/>
        <v>372</v>
      </c>
      <c r="B374" s="17">
        <f t="shared" si="92"/>
        <v>31</v>
      </c>
      <c r="C374" s="23">
        <f>IFERROR(IPMT(Assumptions!$D$16/12,Model_30y!A374, 360,Assumptions!$D$8), 0)</f>
        <v>0</v>
      </c>
      <c r="D374" s="2">
        <f>IFERROR(PPMT(Assumptions!$D$16/12, Model_30y!A374, 360, Assumptions!$D$8), 0)</f>
        <v>0</v>
      </c>
      <c r="E374" s="2">
        <f t="shared" si="86"/>
        <v>0</v>
      </c>
      <c r="F374" s="2">
        <f>IF(I373&gt;1, Assumptions!$E$18, 0)*-1</f>
        <v>0</v>
      </c>
      <c r="G374" s="24">
        <f t="shared" si="87"/>
        <v>1</v>
      </c>
      <c r="H374" s="20">
        <f t="shared" si="93"/>
        <v>339999.99999999994</v>
      </c>
      <c r="I374" s="2">
        <f>MAX(Assumptions!$D$8-SUM(Model_30y!H374), 0)</f>
        <v>5.8207660913467407E-11</v>
      </c>
      <c r="J374" s="2">
        <f>J373*(1+(Assumptions!$E$51))</f>
        <v>1928666.7849110186</v>
      </c>
      <c r="K374" s="22">
        <f t="shared" si="88"/>
        <v>1928666.7849110186</v>
      </c>
      <c r="L374" s="5">
        <f t="shared" si="94"/>
        <v>424999.99999999971</v>
      </c>
      <c r="M374" s="63">
        <f>L374/Assumptions!$D$6</f>
        <v>0.99999999999999933</v>
      </c>
      <c r="N374" s="24">
        <f t="shared" si="102"/>
        <v>0</v>
      </c>
      <c r="O374" s="5">
        <f>N374*Assumptions!$E$25*-1</f>
        <v>0</v>
      </c>
      <c r="P374" s="20">
        <f>Assumptions!$E$35*J374*-1</f>
        <v>-3972.7377960007043</v>
      </c>
      <c r="Q374" s="5">
        <f>J374*Assumptions!$E$36*-1</f>
        <v>-1599.9026079571615</v>
      </c>
      <c r="R374" s="5">
        <f>(R362+(Model_30y!R362*Assumptions!$D$51))</f>
        <v>-1404.2711100593692</v>
      </c>
      <c r="S374" s="5">
        <f>S362+(S362*Assumptions!$D$51)</f>
        <v>0</v>
      </c>
      <c r="T374" s="5">
        <f t="shared" si="97"/>
        <v>0</v>
      </c>
      <c r="U374" s="22">
        <f t="shared" si="89"/>
        <v>-6976.9115140172344</v>
      </c>
      <c r="V374" s="5">
        <f>MAX(Assumptions!$E$18:$E$19)-U374</f>
        <v>9818.5445258159307</v>
      </c>
      <c r="W374" s="5">
        <f t="shared" si="90"/>
        <v>0</v>
      </c>
      <c r="X374" s="5">
        <f t="shared" si="95"/>
        <v>-6976.9115140172344</v>
      </c>
      <c r="Y374" s="5">
        <f>C374*Assumptions!$D$44*-1</f>
        <v>0</v>
      </c>
      <c r="Z374" s="5">
        <f t="shared" si="91"/>
        <v>2841.6330117986963</v>
      </c>
      <c r="AA374" s="5">
        <f t="shared" si="98"/>
        <v>1495325.2846874758</v>
      </c>
      <c r="AB374" s="3">
        <f>Assumptions!$E$45</f>
        <v>6.9899151946608562E-3</v>
      </c>
      <c r="AC374" s="5">
        <f t="shared" si="99"/>
        <v>1508619.1146276719</v>
      </c>
      <c r="AD374" s="5">
        <f>AC374*Assumptions!$E$43</f>
        <v>1351.082317072153</v>
      </c>
      <c r="AE374" s="2">
        <f>AD374*Assumptions!$D$44*-1</f>
        <v>-202.66234756082295</v>
      </c>
      <c r="AF374" s="2">
        <f>AC374*Assumptions!$E$46*-1</f>
        <v>-50.278086837374701</v>
      </c>
      <c r="AG374" s="22">
        <f t="shared" si="100"/>
        <v>1508366.1741932738</v>
      </c>
      <c r="AH374" s="5">
        <f>Model_30y[[#This Row],[Mortgage Payment]]+Model_30y[[#This Row],[Total Upkeep]]+Model_30y[[#This Row],[Monthly Investment]]</f>
        <v>-4135.2785022185381</v>
      </c>
      <c r="AI374" s="5">
        <f>Model_Renter!D374*-1</f>
        <v>8292.1380350277941</v>
      </c>
      <c r="AJ374" s="5">
        <f t="shared" si="101"/>
        <v>4156.8595328092561</v>
      </c>
    </row>
    <row r="375" spans="1:36" x14ac:dyDescent="0.25">
      <c r="A375" s="17">
        <f t="shared" si="96"/>
        <v>373</v>
      </c>
      <c r="B375" s="17">
        <f t="shared" si="92"/>
        <v>32</v>
      </c>
      <c r="C375" s="23">
        <f>IFERROR(IPMT(Assumptions!$D$16/12,Model_30y!A375, 360,Assumptions!$D$8), 0)</f>
        <v>0</v>
      </c>
      <c r="D375" s="2">
        <f>IFERROR(PPMT(Assumptions!$D$16/12, Model_30y!A375, 360, Assumptions!$D$8), 0)</f>
        <v>0</v>
      </c>
      <c r="E375" s="2">
        <f t="shared" si="86"/>
        <v>0</v>
      </c>
      <c r="F375" s="2">
        <f>IF(I374&gt;1, Assumptions!$E$18, 0)*-1</f>
        <v>0</v>
      </c>
      <c r="G375" s="24">
        <f t="shared" si="87"/>
        <v>1</v>
      </c>
      <c r="H375" s="20">
        <f t="shared" si="93"/>
        <v>339999.99999999994</v>
      </c>
      <c r="I375" s="2">
        <f>MAX(Assumptions!$D$8-SUM(Model_30y!H375), 0)</f>
        <v>5.8207660913467407E-11</v>
      </c>
      <c r="J375" s="2">
        <f>J374*(1+(Assumptions!$E$51))</f>
        <v>1936524.4121301572</v>
      </c>
      <c r="K375" s="22">
        <f t="shared" si="88"/>
        <v>1936524.4121301572</v>
      </c>
      <c r="L375" s="5">
        <f t="shared" si="94"/>
        <v>424999.99999999971</v>
      </c>
      <c r="M375" s="63">
        <f>L375/Assumptions!$D$6</f>
        <v>0.99999999999999933</v>
      </c>
      <c r="N375" s="24">
        <f t="shared" si="102"/>
        <v>0</v>
      </c>
      <c r="O375" s="5">
        <f>N375*Assumptions!$E$25*-1</f>
        <v>0</v>
      </c>
      <c r="P375" s="20">
        <f>Assumptions!$E$35*J375*-1</f>
        <v>-3988.9232215415896</v>
      </c>
      <c r="Q375" s="5">
        <f>J375*Assumptions!$E$36*-1</f>
        <v>-1606.4208092237609</v>
      </c>
      <c r="R375" s="5">
        <f>(R363+(Model_30y!R363*Assumptions!$D$51))</f>
        <v>-1474.4846655623378</v>
      </c>
      <c r="S375" s="5">
        <f>S363+(S363*Assumptions!$D$51)</f>
        <v>0</v>
      </c>
      <c r="T375" s="5">
        <f t="shared" si="97"/>
        <v>0</v>
      </c>
      <c r="U375" s="22">
        <f t="shared" si="89"/>
        <v>-7069.8286963276887</v>
      </c>
      <c r="V375" s="5">
        <f>MAX(Assumptions!$E$18:$E$19)-U375</f>
        <v>9911.4617081263859</v>
      </c>
      <c r="W375" s="5">
        <f t="shared" si="90"/>
        <v>0</v>
      </c>
      <c r="X375" s="5">
        <f t="shared" si="95"/>
        <v>-7069.8286963276887</v>
      </c>
      <c r="Y375" s="5">
        <f>C375*Assumptions!$D$44*-1</f>
        <v>0</v>
      </c>
      <c r="Z375" s="5">
        <f t="shared" si="91"/>
        <v>2841.6330117986972</v>
      </c>
      <c r="AA375" s="5">
        <f t="shared" si="98"/>
        <v>1508366.1741932738</v>
      </c>
      <c r="AB375" s="3">
        <f>Assumptions!$E$45</f>
        <v>6.9899151946608562E-3</v>
      </c>
      <c r="AC375" s="5">
        <f t="shared" si="99"/>
        <v>1521751.1588451783</v>
      </c>
      <c r="AD375" s="5">
        <f>AC375*Assumptions!$E$43</f>
        <v>1362.8430541311297</v>
      </c>
      <c r="AE375" s="2">
        <f>AD375*Assumptions!$D$44*-1</f>
        <v>-204.42645811966946</v>
      </c>
      <c r="AF375" s="2">
        <f>AC375*Assumptions!$E$46*-1</f>
        <v>-50.715741413747338</v>
      </c>
      <c r="AG375" s="22">
        <f t="shared" si="100"/>
        <v>1521496.0166456448</v>
      </c>
      <c r="AH375" s="5">
        <f>Model_30y[[#This Row],[Mortgage Payment]]+Model_30y[[#This Row],[Total Upkeep]]+Model_30y[[#This Row],[Monthly Investment]]</f>
        <v>-4228.1956845289915</v>
      </c>
      <c r="AI375" s="5">
        <f>Model_Renter!D375*-1</f>
        <v>8602.2639975378352</v>
      </c>
      <c r="AJ375" s="5">
        <f t="shared" si="101"/>
        <v>4374.0683130088437</v>
      </c>
    </row>
    <row r="376" spans="1:36" x14ac:dyDescent="0.25">
      <c r="A376" s="17">
        <f t="shared" si="96"/>
        <v>374</v>
      </c>
      <c r="B376" s="17">
        <f t="shared" si="92"/>
        <v>32</v>
      </c>
      <c r="C376" s="23">
        <f>IFERROR(IPMT(Assumptions!$D$16/12,Model_30y!A376, 360,Assumptions!$D$8), 0)</f>
        <v>0</v>
      </c>
      <c r="D376" s="2">
        <f>IFERROR(PPMT(Assumptions!$D$16/12, Model_30y!A376, 360, Assumptions!$D$8), 0)</f>
        <v>0</v>
      </c>
      <c r="E376" s="2">
        <f t="shared" si="86"/>
        <v>0</v>
      </c>
      <c r="F376" s="2">
        <f>IF(I375&gt;1, Assumptions!$E$18, 0)*-1</f>
        <v>0</v>
      </c>
      <c r="G376" s="24">
        <f t="shared" si="87"/>
        <v>1</v>
      </c>
      <c r="H376" s="20">
        <f t="shared" si="93"/>
        <v>339999.99999999994</v>
      </c>
      <c r="I376" s="2">
        <f>MAX(Assumptions!$D$8-SUM(Model_30y!H376), 0)</f>
        <v>5.8207660913467407E-11</v>
      </c>
      <c r="J376" s="2">
        <f>J375*(1+(Assumptions!$E$51))</f>
        <v>1944414.0522952324</v>
      </c>
      <c r="K376" s="22">
        <f t="shared" si="88"/>
        <v>1944414.0522952324</v>
      </c>
      <c r="L376" s="5">
        <f t="shared" si="94"/>
        <v>424999.99999999971</v>
      </c>
      <c r="M376" s="63">
        <f>L376/Assumptions!$D$6</f>
        <v>0.99999999999999933</v>
      </c>
      <c r="N376" s="24">
        <f t="shared" si="102"/>
        <v>0</v>
      </c>
      <c r="O376" s="5">
        <f>N376*Assumptions!$E$25*-1</f>
        <v>0</v>
      </c>
      <c r="P376" s="20">
        <f>Assumptions!$E$35*J376*-1</f>
        <v>-4005.1745885096198</v>
      </c>
      <c r="Q376" s="5">
        <f>J376*Assumptions!$E$36*-1</f>
        <v>-1612.9655664491672</v>
      </c>
      <c r="R376" s="5">
        <f>(R364+(Model_30y!R364*Assumptions!$D$51))</f>
        <v>-1474.4846655623378</v>
      </c>
      <c r="S376" s="5">
        <f>S364+(S364*Assumptions!$D$51)</f>
        <v>0</v>
      </c>
      <c r="T376" s="5">
        <f t="shared" si="97"/>
        <v>0</v>
      </c>
      <c r="U376" s="22">
        <f t="shared" si="89"/>
        <v>-7092.624820521125</v>
      </c>
      <c r="V376" s="5">
        <f>MAX(Assumptions!$E$18:$E$19)-U376</f>
        <v>9934.2578323198213</v>
      </c>
      <c r="W376" s="5">
        <f t="shared" si="90"/>
        <v>0</v>
      </c>
      <c r="X376" s="5">
        <f t="shared" si="95"/>
        <v>-7092.624820521125</v>
      </c>
      <c r="Y376" s="5">
        <f>C376*Assumptions!$D$44*-1</f>
        <v>0</v>
      </c>
      <c r="Z376" s="5">
        <f t="shared" si="91"/>
        <v>2841.6330117986963</v>
      </c>
      <c r="AA376" s="5">
        <f t="shared" si="98"/>
        <v>1521496.0166456448</v>
      </c>
      <c r="AB376" s="3">
        <f>Assumptions!$E$45</f>
        <v>6.9899151946608562E-3</v>
      </c>
      <c r="AC376" s="5">
        <f t="shared" si="99"/>
        <v>1534972.7777828109</v>
      </c>
      <c r="AD376" s="5">
        <f>AC376*Assumptions!$E$43</f>
        <v>1374.6840121148223</v>
      </c>
      <c r="AE376" s="2">
        <f>AD376*Assumptions!$D$44*-1</f>
        <v>-206.20260181722333</v>
      </c>
      <c r="AF376" s="2">
        <f>AC376*Assumptions!$E$46*-1</f>
        <v>-51.156381266862965</v>
      </c>
      <c r="AG376" s="22">
        <f t="shared" si="100"/>
        <v>1534715.4187997268</v>
      </c>
      <c r="AH376" s="5">
        <f>Model_30y[[#This Row],[Mortgage Payment]]+Model_30y[[#This Row],[Total Upkeep]]+Model_30y[[#This Row],[Monthly Investment]]</f>
        <v>-4250.9918087224287</v>
      </c>
      <c r="AI376" s="5">
        <f>Model_Renter!D376*-1</f>
        <v>8602.2639975378352</v>
      </c>
      <c r="AJ376" s="5">
        <f t="shared" si="101"/>
        <v>4351.2721888154065</v>
      </c>
    </row>
    <row r="377" spans="1:36" x14ac:dyDescent="0.25">
      <c r="A377" s="17">
        <f t="shared" si="96"/>
        <v>375</v>
      </c>
      <c r="B377" s="17">
        <f t="shared" si="92"/>
        <v>32</v>
      </c>
      <c r="C377" s="23">
        <f>IFERROR(IPMT(Assumptions!$D$16/12,Model_30y!A377, 360,Assumptions!$D$8), 0)</f>
        <v>0</v>
      </c>
      <c r="D377" s="2">
        <f>IFERROR(PPMT(Assumptions!$D$16/12, Model_30y!A377, 360, Assumptions!$D$8), 0)</f>
        <v>0</v>
      </c>
      <c r="E377" s="2">
        <f t="shared" si="86"/>
        <v>0</v>
      </c>
      <c r="F377" s="2">
        <f>IF(I376&gt;1, Assumptions!$E$18, 0)*-1</f>
        <v>0</v>
      </c>
      <c r="G377" s="24">
        <f t="shared" si="87"/>
        <v>1</v>
      </c>
      <c r="H377" s="20">
        <f t="shared" si="93"/>
        <v>339999.99999999994</v>
      </c>
      <c r="I377" s="2">
        <f>MAX(Assumptions!$D$8-SUM(Model_30y!H377), 0)</f>
        <v>5.8207660913467407E-11</v>
      </c>
      <c r="J377" s="2">
        <f>J376*(1+(Assumptions!$E$51))</f>
        <v>1952335.8358309485</v>
      </c>
      <c r="K377" s="22">
        <f t="shared" si="88"/>
        <v>1952335.8358309485</v>
      </c>
      <c r="L377" s="5">
        <f t="shared" si="94"/>
        <v>424999.99999999971</v>
      </c>
      <c r="M377" s="63">
        <f>L377/Assumptions!$D$6</f>
        <v>0.99999999999999933</v>
      </c>
      <c r="N377" s="24">
        <f t="shared" si="102"/>
        <v>0</v>
      </c>
      <c r="O377" s="5">
        <f>N377*Assumptions!$E$25*-1</f>
        <v>0</v>
      </c>
      <c r="P377" s="20">
        <f>Assumptions!$E$35*J377*-1</f>
        <v>-4021.4921655583307</v>
      </c>
      <c r="Q377" s="5">
        <f>J377*Assumptions!$E$36*-1</f>
        <v>-1619.5369878256436</v>
      </c>
      <c r="R377" s="5">
        <f>(R365+(Model_30y!R365*Assumptions!$D$51))</f>
        <v>-1474.4846655623378</v>
      </c>
      <c r="S377" s="5">
        <f>S365+(S365*Assumptions!$D$51)</f>
        <v>0</v>
      </c>
      <c r="T377" s="5">
        <f t="shared" si="97"/>
        <v>0</v>
      </c>
      <c r="U377" s="22">
        <f t="shared" si="89"/>
        <v>-7115.5138189463123</v>
      </c>
      <c r="V377" s="5">
        <f>MAX(Assumptions!$E$18:$E$19)-U377</f>
        <v>9957.1468307450086</v>
      </c>
      <c r="W377" s="5">
        <f t="shared" si="90"/>
        <v>0</v>
      </c>
      <c r="X377" s="5">
        <f t="shared" si="95"/>
        <v>-7115.5138189463123</v>
      </c>
      <c r="Y377" s="5">
        <f>C377*Assumptions!$D$44*-1</f>
        <v>0</v>
      </c>
      <c r="Z377" s="5">
        <f t="shared" si="91"/>
        <v>2841.6330117986963</v>
      </c>
      <c r="AA377" s="5">
        <f t="shared" si="98"/>
        <v>1534715.4187997268</v>
      </c>
      <c r="AB377" s="3">
        <f>Assumptions!$E$45</f>
        <v>6.9899151946608562E-3</v>
      </c>
      <c r="AC377" s="5">
        <f t="shared" si="99"/>
        <v>1548284.5824368738</v>
      </c>
      <c r="AD377" s="5">
        <f>AC377*Assumptions!$E$43</f>
        <v>1386.6057382165509</v>
      </c>
      <c r="AE377" s="2">
        <f>AD377*Assumptions!$D$44*-1</f>
        <v>-207.99086073248262</v>
      </c>
      <c r="AF377" s="2">
        <f>AC377*Assumptions!$E$46*-1</f>
        <v>-51.600026759532149</v>
      </c>
      <c r="AG377" s="22">
        <f t="shared" si="100"/>
        <v>1548024.9915493818</v>
      </c>
      <c r="AH377" s="5">
        <f>Model_30y[[#This Row],[Mortgage Payment]]+Model_30y[[#This Row],[Total Upkeep]]+Model_30y[[#This Row],[Monthly Investment]]</f>
        <v>-4273.880807147616</v>
      </c>
      <c r="AI377" s="5">
        <f>Model_Renter!D377*-1</f>
        <v>8602.2639975378352</v>
      </c>
      <c r="AJ377" s="5">
        <f t="shared" si="101"/>
        <v>4328.3831903902192</v>
      </c>
    </row>
    <row r="378" spans="1:36" x14ac:dyDescent="0.25">
      <c r="A378" s="17">
        <f t="shared" si="96"/>
        <v>376</v>
      </c>
      <c r="B378" s="17">
        <f t="shared" si="92"/>
        <v>32</v>
      </c>
      <c r="C378" s="23">
        <f>IFERROR(IPMT(Assumptions!$D$16/12,Model_30y!A378, 360,Assumptions!$D$8), 0)</f>
        <v>0</v>
      </c>
      <c r="D378" s="2">
        <f>IFERROR(PPMT(Assumptions!$D$16/12, Model_30y!A378, 360, Assumptions!$D$8), 0)</f>
        <v>0</v>
      </c>
      <c r="E378" s="2">
        <f t="shared" si="86"/>
        <v>0</v>
      </c>
      <c r="F378" s="2">
        <f>IF(I377&gt;1, Assumptions!$E$18, 0)*-1</f>
        <v>0</v>
      </c>
      <c r="G378" s="24">
        <f t="shared" si="87"/>
        <v>1</v>
      </c>
      <c r="H378" s="20">
        <f t="shared" si="93"/>
        <v>339999.99999999994</v>
      </c>
      <c r="I378" s="2">
        <f>MAX(Assumptions!$D$8-SUM(Model_30y!H378), 0)</f>
        <v>5.8207660913467407E-11</v>
      </c>
      <c r="J378" s="2">
        <f>J377*(1+(Assumptions!$E$51))</f>
        <v>1960289.8936933763</v>
      </c>
      <c r="K378" s="22">
        <f t="shared" si="88"/>
        <v>1960289.8936933763</v>
      </c>
      <c r="L378" s="5">
        <f t="shared" si="94"/>
        <v>424999.99999999971</v>
      </c>
      <c r="M378" s="63">
        <f>L378/Assumptions!$D$6</f>
        <v>0.99999999999999933</v>
      </c>
      <c r="N378" s="24">
        <f t="shared" si="102"/>
        <v>0</v>
      </c>
      <c r="O378" s="5">
        <f>N378*Assumptions!$E$25*-1</f>
        <v>0</v>
      </c>
      <c r="P378" s="20">
        <f>Assumptions!$E$35*J378*-1</f>
        <v>-4037.8762224357874</v>
      </c>
      <c r="Q378" s="5">
        <f>J378*Assumptions!$E$36*-1</f>
        <v>-1626.1351819862421</v>
      </c>
      <c r="R378" s="5">
        <f>(R366+(Model_30y!R366*Assumptions!$D$51))</f>
        <v>-1474.4846655623378</v>
      </c>
      <c r="S378" s="5">
        <f>S366+(S366*Assumptions!$D$51)</f>
        <v>0</v>
      </c>
      <c r="T378" s="5">
        <f t="shared" si="97"/>
        <v>0</v>
      </c>
      <c r="U378" s="22">
        <f t="shared" si="89"/>
        <v>-7138.4960699843678</v>
      </c>
      <c r="V378" s="5">
        <f>MAX(Assumptions!$E$18:$E$19)-U378</f>
        <v>9980.129081783065</v>
      </c>
      <c r="W378" s="5">
        <f t="shared" si="90"/>
        <v>0</v>
      </c>
      <c r="X378" s="5">
        <f t="shared" si="95"/>
        <v>-7138.4960699843678</v>
      </c>
      <c r="Y378" s="5">
        <f>C378*Assumptions!$D$44*-1</f>
        <v>0</v>
      </c>
      <c r="Z378" s="5">
        <f t="shared" si="91"/>
        <v>2841.6330117986972</v>
      </c>
      <c r="AA378" s="5">
        <f t="shared" si="98"/>
        <v>1548024.9915493818</v>
      </c>
      <c r="AB378" s="3">
        <f>Assumptions!$E$45</f>
        <v>6.9899151946608562E-3</v>
      </c>
      <c r="AC378" s="5">
        <f t="shared" si="99"/>
        <v>1561687.1879713261</v>
      </c>
      <c r="AD378" s="5">
        <f>AC378*Assumptions!$E$43</f>
        <v>1398.608783362085</v>
      </c>
      <c r="AE378" s="2">
        <f>AD378*Assumptions!$D$44*-1</f>
        <v>-209.79131750431273</v>
      </c>
      <c r="AF378" s="2">
        <f>AC378*Assumptions!$E$46*-1</f>
        <v>-52.046698393461817</v>
      </c>
      <c r="AG378" s="22">
        <f t="shared" si="100"/>
        <v>1561425.3499554284</v>
      </c>
      <c r="AH378" s="5">
        <f>Model_30y[[#This Row],[Mortgage Payment]]+Model_30y[[#This Row],[Total Upkeep]]+Model_30y[[#This Row],[Monthly Investment]]</f>
        <v>-4296.8630581856705</v>
      </c>
      <c r="AI378" s="5">
        <f>Model_Renter!D378*-1</f>
        <v>8602.2639975378352</v>
      </c>
      <c r="AJ378" s="5">
        <f t="shared" si="101"/>
        <v>4305.4009393521646</v>
      </c>
    </row>
    <row r="379" spans="1:36" x14ac:dyDescent="0.25">
      <c r="A379" s="17">
        <f t="shared" si="96"/>
        <v>377</v>
      </c>
      <c r="B379" s="17">
        <f t="shared" si="92"/>
        <v>32</v>
      </c>
      <c r="C379" s="23">
        <f>IFERROR(IPMT(Assumptions!$D$16/12,Model_30y!A379, 360,Assumptions!$D$8), 0)</f>
        <v>0</v>
      </c>
      <c r="D379" s="2">
        <f>IFERROR(PPMT(Assumptions!$D$16/12, Model_30y!A379, 360, Assumptions!$D$8), 0)</f>
        <v>0</v>
      </c>
      <c r="E379" s="2">
        <f t="shared" si="86"/>
        <v>0</v>
      </c>
      <c r="F379" s="2">
        <f>IF(I378&gt;1, Assumptions!$E$18, 0)*-1</f>
        <v>0</v>
      </c>
      <c r="G379" s="24">
        <f t="shared" si="87"/>
        <v>1</v>
      </c>
      <c r="H379" s="20">
        <f t="shared" si="93"/>
        <v>339999.99999999994</v>
      </c>
      <c r="I379" s="2">
        <f>MAX(Assumptions!$D$8-SUM(Model_30y!H379), 0)</f>
        <v>5.8207660913467407E-11</v>
      </c>
      <c r="J379" s="2">
        <f>J378*(1+(Assumptions!$E$51))</f>
        <v>1968276.3573721179</v>
      </c>
      <c r="K379" s="22">
        <f t="shared" si="88"/>
        <v>1968276.3573721179</v>
      </c>
      <c r="L379" s="5">
        <f t="shared" si="94"/>
        <v>424999.99999999971</v>
      </c>
      <c r="M379" s="63">
        <f>L379/Assumptions!$D$6</f>
        <v>0.99999999999999933</v>
      </c>
      <c r="N379" s="24">
        <f t="shared" si="102"/>
        <v>0</v>
      </c>
      <c r="O379" s="5">
        <f>N379*Assumptions!$E$25*-1</f>
        <v>0</v>
      </c>
      <c r="P379" s="20">
        <f>Assumptions!$E$35*J379*-1</f>
        <v>-4054.327029989041</v>
      </c>
      <c r="Q379" s="5">
        <f>J379*Assumptions!$E$36*-1</f>
        <v>-1632.7602580065995</v>
      </c>
      <c r="R379" s="5">
        <f>(R367+(Model_30y!R367*Assumptions!$D$51))</f>
        <v>-1474.4846655623378</v>
      </c>
      <c r="S379" s="5">
        <f>S367+(S367*Assumptions!$D$51)</f>
        <v>0</v>
      </c>
      <c r="T379" s="5">
        <f t="shared" si="97"/>
        <v>0</v>
      </c>
      <c r="U379" s="22">
        <f t="shared" si="89"/>
        <v>-7161.5719535579783</v>
      </c>
      <c r="V379" s="5">
        <f>MAX(Assumptions!$E$18:$E$19)-U379</f>
        <v>10003.204965356676</v>
      </c>
      <c r="W379" s="5">
        <f t="shared" si="90"/>
        <v>0</v>
      </c>
      <c r="X379" s="5">
        <f t="shared" si="95"/>
        <v>-7161.5719535579783</v>
      </c>
      <c r="Y379" s="5">
        <f>C379*Assumptions!$D$44*-1</f>
        <v>0</v>
      </c>
      <c r="Z379" s="5">
        <f t="shared" si="91"/>
        <v>2841.6330117986972</v>
      </c>
      <c r="AA379" s="5">
        <f t="shared" si="98"/>
        <v>1561425.3499554284</v>
      </c>
      <c r="AB379" s="3">
        <f>Assumptions!$E$45</f>
        <v>6.9899151946608562E-3</v>
      </c>
      <c r="AC379" s="5">
        <f t="shared" si="99"/>
        <v>1575181.2137462092</v>
      </c>
      <c r="AD379" s="5">
        <f>AC379*Assumptions!$E$43</f>
        <v>1410.6937022351035</v>
      </c>
      <c r="AE379" s="2">
        <f>AD379*Assumptions!$D$44*-1</f>
        <v>-211.60405533526551</v>
      </c>
      <c r="AF379" s="2">
        <f>AC379*Assumptions!$E$46*-1</f>
        <v>-52.496416810202675</v>
      </c>
      <c r="AG379" s="22">
        <f t="shared" si="100"/>
        <v>1574917.1132740637</v>
      </c>
      <c r="AH379" s="5">
        <f>Model_30y[[#This Row],[Mortgage Payment]]+Model_30y[[#This Row],[Total Upkeep]]+Model_30y[[#This Row],[Monthly Investment]]</f>
        <v>-4319.9389417592811</v>
      </c>
      <c r="AI379" s="5">
        <f>Model_Renter!D379*-1</f>
        <v>8602.2639975378352</v>
      </c>
      <c r="AJ379" s="5">
        <f t="shared" si="101"/>
        <v>4282.3250557785541</v>
      </c>
    </row>
    <row r="380" spans="1:36" x14ac:dyDescent="0.25">
      <c r="A380" s="17">
        <f t="shared" si="96"/>
        <v>378</v>
      </c>
      <c r="B380" s="17">
        <f t="shared" si="92"/>
        <v>32</v>
      </c>
      <c r="C380" s="23">
        <f>IFERROR(IPMT(Assumptions!$D$16/12,Model_30y!A380, 360,Assumptions!$D$8), 0)</f>
        <v>0</v>
      </c>
      <c r="D380" s="2">
        <f>IFERROR(PPMT(Assumptions!$D$16/12, Model_30y!A380, 360, Assumptions!$D$8), 0)</f>
        <v>0</v>
      </c>
      <c r="E380" s="2">
        <f t="shared" si="86"/>
        <v>0</v>
      </c>
      <c r="F380" s="2">
        <f>IF(I379&gt;1, Assumptions!$E$18, 0)*-1</f>
        <v>0</v>
      </c>
      <c r="G380" s="24">
        <f t="shared" si="87"/>
        <v>1</v>
      </c>
      <c r="H380" s="20">
        <f t="shared" si="93"/>
        <v>339999.99999999994</v>
      </c>
      <c r="I380" s="2">
        <f>MAX(Assumptions!$D$8-SUM(Model_30y!H380), 0)</f>
        <v>5.8207660913467407E-11</v>
      </c>
      <c r="J380" s="2">
        <f>J379*(1+(Assumptions!$E$51))</f>
        <v>1976295.3588924804</v>
      </c>
      <c r="K380" s="22">
        <f t="shared" si="88"/>
        <v>1976295.3588924804</v>
      </c>
      <c r="L380" s="5">
        <f t="shared" si="94"/>
        <v>424999.99999999971</v>
      </c>
      <c r="M380" s="63">
        <f>L380/Assumptions!$D$6</f>
        <v>0.99999999999999933</v>
      </c>
      <c r="N380" s="24">
        <f t="shared" si="102"/>
        <v>0</v>
      </c>
      <c r="O380" s="5">
        <f>N380*Assumptions!$E$25*-1</f>
        <v>0</v>
      </c>
      <c r="P380" s="20">
        <f>Assumptions!$E$35*J380*-1</f>
        <v>-4070.8448601686077</v>
      </c>
      <c r="Q380" s="5">
        <f>J380*Assumptions!$E$36*-1</f>
        <v>-1639.4123254067401</v>
      </c>
      <c r="R380" s="5">
        <f>(R368+(Model_30y!R368*Assumptions!$D$51))</f>
        <v>-1474.4846655623378</v>
      </c>
      <c r="S380" s="5">
        <f>S368+(S368*Assumptions!$D$51)</f>
        <v>0</v>
      </c>
      <c r="T380" s="5">
        <f t="shared" si="97"/>
        <v>0</v>
      </c>
      <c r="U380" s="22">
        <f t="shared" si="89"/>
        <v>-7184.7418511376854</v>
      </c>
      <c r="V380" s="5">
        <f>MAX(Assumptions!$E$18:$E$19)-U380</f>
        <v>10026.374862936382</v>
      </c>
      <c r="W380" s="5">
        <f t="shared" si="90"/>
        <v>0</v>
      </c>
      <c r="X380" s="5">
        <f t="shared" si="95"/>
        <v>-7184.7418511376854</v>
      </c>
      <c r="Y380" s="5">
        <f>C380*Assumptions!$D$44*-1</f>
        <v>0</v>
      </c>
      <c r="Z380" s="5">
        <f t="shared" si="91"/>
        <v>2841.6330117986963</v>
      </c>
      <c r="AA380" s="5">
        <f t="shared" si="98"/>
        <v>1574917.1132740637</v>
      </c>
      <c r="AB380" s="3">
        <f>Assumptions!$E$45</f>
        <v>6.9899151946608562E-3</v>
      </c>
      <c r="AC380" s="5">
        <f t="shared" si="99"/>
        <v>1588767.2833462681</v>
      </c>
      <c r="AD380" s="5">
        <f>AC380*Assumptions!$E$43</f>
        <v>1422.8610533028257</v>
      </c>
      <c r="AE380" s="2">
        <f>AD380*Assumptions!$D$44*-1</f>
        <v>-213.42915799542385</v>
      </c>
      <c r="AF380" s="2">
        <f>AC380*Assumptions!$E$46*-1</f>
        <v>-52.949202792103058</v>
      </c>
      <c r="AG380" s="22">
        <f t="shared" si="100"/>
        <v>1588500.9049854805</v>
      </c>
      <c r="AH380" s="5">
        <f>Model_30y[[#This Row],[Mortgage Payment]]+Model_30y[[#This Row],[Total Upkeep]]+Model_30y[[#This Row],[Monthly Investment]]</f>
        <v>-4343.1088393389891</v>
      </c>
      <c r="AI380" s="5">
        <f>Model_Renter!D380*-1</f>
        <v>8602.2639975378352</v>
      </c>
      <c r="AJ380" s="5">
        <f t="shared" si="101"/>
        <v>4259.155158198846</v>
      </c>
    </row>
    <row r="381" spans="1:36" x14ac:dyDescent="0.25">
      <c r="A381" s="17">
        <f t="shared" si="96"/>
        <v>379</v>
      </c>
      <c r="B381" s="17">
        <f t="shared" si="92"/>
        <v>32</v>
      </c>
      <c r="C381" s="23">
        <f>IFERROR(IPMT(Assumptions!$D$16/12,Model_30y!A381, 360,Assumptions!$D$8), 0)</f>
        <v>0</v>
      </c>
      <c r="D381" s="2">
        <f>IFERROR(PPMT(Assumptions!$D$16/12, Model_30y!A381, 360, Assumptions!$D$8), 0)</f>
        <v>0</v>
      </c>
      <c r="E381" s="2">
        <f t="shared" si="86"/>
        <v>0</v>
      </c>
      <c r="F381" s="2">
        <f>IF(I380&gt;1, Assumptions!$E$18, 0)*-1</f>
        <v>0</v>
      </c>
      <c r="G381" s="24">
        <f t="shared" si="87"/>
        <v>1</v>
      </c>
      <c r="H381" s="20">
        <f t="shared" si="93"/>
        <v>339999.99999999994</v>
      </c>
      <c r="I381" s="2">
        <f>MAX(Assumptions!$D$8-SUM(Model_30y!H381), 0)</f>
        <v>5.8207660913467407E-11</v>
      </c>
      <c r="J381" s="2">
        <f>J380*(1+(Assumptions!$E$51))</f>
        <v>1984347.0308176582</v>
      </c>
      <c r="K381" s="22">
        <f t="shared" si="88"/>
        <v>1984347.0308176582</v>
      </c>
      <c r="L381" s="5">
        <f t="shared" si="94"/>
        <v>424999.99999999971</v>
      </c>
      <c r="M381" s="63">
        <f>L381/Assumptions!$D$6</f>
        <v>0.99999999999999933</v>
      </c>
      <c r="N381" s="24">
        <f t="shared" si="102"/>
        <v>0</v>
      </c>
      <c r="O381" s="5">
        <f>N381*Assumptions!$E$25*-1</f>
        <v>0</v>
      </c>
      <c r="P381" s="20">
        <f>Assumptions!$E$35*J381*-1</f>
        <v>-4087.4299860329634</v>
      </c>
      <c r="Q381" s="5">
        <f>J381*Assumptions!$E$36*-1</f>
        <v>-1646.0914941528861</v>
      </c>
      <c r="R381" s="5">
        <f>(R369+(Model_30y!R369*Assumptions!$D$51))</f>
        <v>-1474.4846655623378</v>
      </c>
      <c r="S381" s="5">
        <f>S369+(S369*Assumptions!$D$51)</f>
        <v>0</v>
      </c>
      <c r="T381" s="5">
        <f t="shared" si="97"/>
        <v>0</v>
      </c>
      <c r="U381" s="22">
        <f t="shared" si="89"/>
        <v>-7208.006145748187</v>
      </c>
      <c r="V381" s="5">
        <f>MAX(Assumptions!$E$18:$E$19)-U381</f>
        <v>10049.639157546884</v>
      </c>
      <c r="W381" s="5">
        <f t="shared" si="90"/>
        <v>0</v>
      </c>
      <c r="X381" s="5">
        <f t="shared" si="95"/>
        <v>-7208.006145748187</v>
      </c>
      <c r="Y381" s="5">
        <f>C381*Assumptions!$D$44*-1</f>
        <v>0</v>
      </c>
      <c r="Z381" s="5">
        <f t="shared" si="91"/>
        <v>2841.6330117986972</v>
      </c>
      <c r="AA381" s="5">
        <f t="shared" si="98"/>
        <v>1588500.9049854805</v>
      </c>
      <c r="AB381" s="3">
        <f>Assumptions!$E$45</f>
        <v>6.9899151946608562E-3</v>
      </c>
      <c r="AC381" s="5">
        <f t="shared" si="99"/>
        <v>1602446.0246097697</v>
      </c>
      <c r="AD381" s="5">
        <f>AC381*Assumptions!$E$43</f>
        <v>1435.111398841821</v>
      </c>
      <c r="AE381" s="2">
        <f>AD381*Assumptions!$D$44*-1</f>
        <v>-215.26670982627314</v>
      </c>
      <c r="AF381" s="2">
        <f>AC381*Assumptions!$E$46*-1</f>
        <v>-53.405077263269391</v>
      </c>
      <c r="AG381" s="22">
        <f t="shared" si="100"/>
        <v>1602177.3528226803</v>
      </c>
      <c r="AH381" s="5">
        <f>Model_30y[[#This Row],[Mortgage Payment]]+Model_30y[[#This Row],[Total Upkeep]]+Model_30y[[#This Row],[Monthly Investment]]</f>
        <v>-4366.3731339494898</v>
      </c>
      <c r="AI381" s="5">
        <f>Model_Renter!D381*-1</f>
        <v>8602.2639975378352</v>
      </c>
      <c r="AJ381" s="5">
        <f t="shared" si="101"/>
        <v>4235.8908635883454</v>
      </c>
    </row>
    <row r="382" spans="1:36" x14ac:dyDescent="0.25">
      <c r="A382" s="17">
        <f t="shared" si="96"/>
        <v>380</v>
      </c>
      <c r="B382" s="17">
        <f t="shared" si="92"/>
        <v>32</v>
      </c>
      <c r="C382" s="23">
        <f>IFERROR(IPMT(Assumptions!$D$16/12,Model_30y!A382, 360,Assumptions!$D$8), 0)</f>
        <v>0</v>
      </c>
      <c r="D382" s="2">
        <f>IFERROR(PPMT(Assumptions!$D$16/12, Model_30y!A382, 360, Assumptions!$D$8), 0)</f>
        <v>0</v>
      </c>
      <c r="E382" s="2">
        <f t="shared" si="86"/>
        <v>0</v>
      </c>
      <c r="F382" s="2">
        <f>IF(I381&gt;1, Assumptions!$E$18, 0)*-1</f>
        <v>0</v>
      </c>
      <c r="G382" s="24">
        <f t="shared" si="87"/>
        <v>1</v>
      </c>
      <c r="H382" s="20">
        <f t="shared" si="93"/>
        <v>339999.99999999994</v>
      </c>
      <c r="I382" s="2">
        <f>MAX(Assumptions!$D$8-SUM(Model_30y!H382), 0)</f>
        <v>5.8207660913467407E-11</v>
      </c>
      <c r="J382" s="2">
        <f>J381*(1+(Assumptions!$E$51))</f>
        <v>1992431.5062509244</v>
      </c>
      <c r="K382" s="22">
        <f t="shared" si="88"/>
        <v>1992431.5062509244</v>
      </c>
      <c r="L382" s="5">
        <f t="shared" si="94"/>
        <v>424999.99999999971</v>
      </c>
      <c r="M382" s="63">
        <f>L382/Assumptions!$D$6</f>
        <v>0.99999999999999933</v>
      </c>
      <c r="N382" s="24">
        <f t="shared" si="102"/>
        <v>0</v>
      </c>
      <c r="O382" s="5">
        <f>N382*Assumptions!$E$25*-1</f>
        <v>0</v>
      </c>
      <c r="P382" s="20">
        <f>Assumptions!$E$35*J382*-1</f>
        <v>-4104.0826817530578</v>
      </c>
      <c r="Q382" s="5">
        <f>J382*Assumptions!$E$36*-1</f>
        <v>-1652.7978746592755</v>
      </c>
      <c r="R382" s="5">
        <f>(R370+(Model_30y!R370*Assumptions!$D$51))</f>
        <v>-1474.4846655623378</v>
      </c>
      <c r="S382" s="5">
        <f>S370+(S370*Assumptions!$D$51)</f>
        <v>0</v>
      </c>
      <c r="T382" s="5">
        <f t="shared" si="97"/>
        <v>0</v>
      </c>
      <c r="U382" s="22">
        <f t="shared" si="89"/>
        <v>-7231.3652219746709</v>
      </c>
      <c r="V382" s="5">
        <f>MAX(Assumptions!$E$18:$E$19)-U382</f>
        <v>10072.998233773367</v>
      </c>
      <c r="W382" s="5">
        <f t="shared" si="90"/>
        <v>0</v>
      </c>
      <c r="X382" s="5">
        <f t="shared" si="95"/>
        <v>-7231.3652219746709</v>
      </c>
      <c r="Y382" s="5">
        <f>C382*Assumptions!$D$44*-1</f>
        <v>0</v>
      </c>
      <c r="Z382" s="5">
        <f t="shared" si="91"/>
        <v>2841.6330117986963</v>
      </c>
      <c r="AA382" s="5">
        <f t="shared" si="98"/>
        <v>1602177.3528226803</v>
      </c>
      <c r="AB382" s="3">
        <f>Assumptions!$E$45</f>
        <v>6.9899151946608562E-3</v>
      </c>
      <c r="AC382" s="5">
        <f t="shared" si="99"/>
        <v>1616218.0696575157</v>
      </c>
      <c r="AD382" s="5">
        <f>AC382*Assumptions!$E$43</f>
        <v>1447.4453049639924</v>
      </c>
      <c r="AE382" s="2">
        <f>AD382*Assumptions!$D$44*-1</f>
        <v>-217.11679574459885</v>
      </c>
      <c r="AF382" s="2">
        <f>AC382*Assumptions!$E$46*-1</f>
        <v>-53.864061290533094</v>
      </c>
      <c r="AG382" s="22">
        <f t="shared" si="100"/>
        <v>1615947.0888004806</v>
      </c>
      <c r="AH382" s="5">
        <f>Model_30y[[#This Row],[Mortgage Payment]]+Model_30y[[#This Row],[Total Upkeep]]+Model_30y[[#This Row],[Monthly Investment]]</f>
        <v>-4389.7322101759746</v>
      </c>
      <c r="AI382" s="5">
        <f>Model_Renter!D382*-1</f>
        <v>8602.2639975378352</v>
      </c>
      <c r="AJ382" s="5">
        <f t="shared" si="101"/>
        <v>4212.5317873618606</v>
      </c>
    </row>
    <row r="383" spans="1:36" x14ac:dyDescent="0.25">
      <c r="A383" s="17">
        <f t="shared" si="96"/>
        <v>381</v>
      </c>
      <c r="B383" s="17">
        <f t="shared" si="92"/>
        <v>32</v>
      </c>
      <c r="C383" s="23">
        <f>IFERROR(IPMT(Assumptions!$D$16/12,Model_30y!A383, 360,Assumptions!$D$8), 0)</f>
        <v>0</v>
      </c>
      <c r="D383" s="2">
        <f>IFERROR(PPMT(Assumptions!$D$16/12, Model_30y!A383, 360, Assumptions!$D$8), 0)</f>
        <v>0</v>
      </c>
      <c r="E383" s="2">
        <f t="shared" si="86"/>
        <v>0</v>
      </c>
      <c r="F383" s="2">
        <f>IF(I382&gt;1, Assumptions!$E$18, 0)*-1</f>
        <v>0</v>
      </c>
      <c r="G383" s="24">
        <f t="shared" si="87"/>
        <v>1</v>
      </c>
      <c r="H383" s="20">
        <f t="shared" si="93"/>
        <v>339999.99999999994</v>
      </c>
      <c r="I383" s="2">
        <f>MAX(Assumptions!$D$8-SUM(Model_30y!H383), 0)</f>
        <v>5.8207660913467407E-11</v>
      </c>
      <c r="J383" s="2">
        <f>J382*(1+(Assumptions!$E$51))</f>
        <v>2000548.9188378316</v>
      </c>
      <c r="K383" s="22">
        <f t="shared" si="88"/>
        <v>2000548.9188378316</v>
      </c>
      <c r="L383" s="5">
        <f t="shared" si="94"/>
        <v>424999.99999999971</v>
      </c>
      <c r="M383" s="63">
        <f>L383/Assumptions!$D$6</f>
        <v>0.99999999999999933</v>
      </c>
      <c r="N383" s="24">
        <f t="shared" si="102"/>
        <v>0</v>
      </c>
      <c r="O383" s="5">
        <f>N383*Assumptions!$E$25*-1</f>
        <v>0</v>
      </c>
      <c r="P383" s="20">
        <f>Assumptions!$E$35*J383*-1</f>
        <v>-4120.8032226168471</v>
      </c>
      <c r="Q383" s="5">
        <f>J383*Assumptions!$E$36*-1</f>
        <v>-1659.5315777899882</v>
      </c>
      <c r="R383" s="5">
        <f>(R371+(Model_30y!R371*Assumptions!$D$51))</f>
        <v>-1474.4846655623378</v>
      </c>
      <c r="S383" s="5">
        <f>S371+(S371*Assumptions!$D$51)</f>
        <v>0</v>
      </c>
      <c r="T383" s="5">
        <f t="shared" si="97"/>
        <v>0</v>
      </c>
      <c r="U383" s="22">
        <f t="shared" si="89"/>
        <v>-7254.8194659691735</v>
      </c>
      <c r="V383" s="5">
        <f>MAX(Assumptions!$E$18:$E$19)-U383</f>
        <v>10096.452477767871</v>
      </c>
      <c r="W383" s="5">
        <f t="shared" si="90"/>
        <v>0</v>
      </c>
      <c r="X383" s="5">
        <f t="shared" si="95"/>
        <v>-7254.8194659691735</v>
      </c>
      <c r="Y383" s="5">
        <f>C383*Assumptions!$D$44*-1</f>
        <v>0</v>
      </c>
      <c r="Z383" s="5">
        <f t="shared" si="91"/>
        <v>2841.6330117986972</v>
      </c>
      <c r="AA383" s="5">
        <f t="shared" si="98"/>
        <v>1615947.0888004806</v>
      </c>
      <c r="AB383" s="3">
        <f>Assumptions!$E$45</f>
        <v>6.9899151946608562E-3</v>
      </c>
      <c r="AC383" s="5">
        <f t="shared" si="99"/>
        <v>1630084.0549220536</v>
      </c>
      <c r="AD383" s="5">
        <f>AC383*Assumptions!$E$43</f>
        <v>1459.863341642736</v>
      </c>
      <c r="AE383" s="2">
        <f>AD383*Assumptions!$D$44*-1</f>
        <v>-218.97950124641039</v>
      </c>
      <c r="AF383" s="2">
        <f>AC383*Assumptions!$E$46*-1</f>
        <v>-54.326176084424098</v>
      </c>
      <c r="AG383" s="22">
        <f t="shared" si="100"/>
        <v>1629810.7492447228</v>
      </c>
      <c r="AH383" s="5">
        <f>Model_30y[[#This Row],[Mortgage Payment]]+Model_30y[[#This Row],[Total Upkeep]]+Model_30y[[#This Row],[Monthly Investment]]</f>
        <v>-4413.1864541704763</v>
      </c>
      <c r="AI383" s="5">
        <f>Model_Renter!D383*-1</f>
        <v>8602.2639975378352</v>
      </c>
      <c r="AJ383" s="5">
        <f t="shared" si="101"/>
        <v>4189.0775433673589</v>
      </c>
    </row>
    <row r="384" spans="1:36" x14ac:dyDescent="0.25">
      <c r="A384" s="17">
        <f t="shared" si="96"/>
        <v>382</v>
      </c>
      <c r="B384" s="17">
        <f t="shared" si="92"/>
        <v>32</v>
      </c>
      <c r="C384" s="23">
        <f>IFERROR(IPMT(Assumptions!$D$16/12,Model_30y!A384, 360,Assumptions!$D$8), 0)</f>
        <v>0</v>
      </c>
      <c r="D384" s="2">
        <f>IFERROR(PPMT(Assumptions!$D$16/12, Model_30y!A384, 360, Assumptions!$D$8), 0)</f>
        <v>0</v>
      </c>
      <c r="E384" s="2">
        <f t="shared" si="86"/>
        <v>0</v>
      </c>
      <c r="F384" s="2">
        <f>IF(I383&gt;1, Assumptions!$E$18, 0)*-1</f>
        <v>0</v>
      </c>
      <c r="G384" s="24">
        <f t="shared" si="87"/>
        <v>1</v>
      </c>
      <c r="H384" s="20">
        <f t="shared" si="93"/>
        <v>339999.99999999994</v>
      </c>
      <c r="I384" s="2">
        <f>MAX(Assumptions!$D$8-SUM(Model_30y!H384), 0)</f>
        <v>5.8207660913467407E-11</v>
      </c>
      <c r="J384" s="2">
        <f>J383*(1+(Assumptions!$E$51))</f>
        <v>2008699.4027684208</v>
      </c>
      <c r="K384" s="22">
        <f t="shared" si="88"/>
        <v>2008699.4027684208</v>
      </c>
      <c r="L384" s="5">
        <f t="shared" si="94"/>
        <v>424999.99999999971</v>
      </c>
      <c r="M384" s="63">
        <f>L384/Assumptions!$D$6</f>
        <v>0.99999999999999933</v>
      </c>
      <c r="N384" s="24">
        <f t="shared" si="102"/>
        <v>0</v>
      </c>
      <c r="O384" s="5">
        <f>N384*Assumptions!$E$25*-1</f>
        <v>0</v>
      </c>
      <c r="P384" s="20">
        <f>Assumptions!$E$35*J384*-1</f>
        <v>-4137.5918850338448</v>
      </c>
      <c r="Q384" s="5">
        <f>J384*Assumptions!$E$36*-1</f>
        <v>-1666.292714860778</v>
      </c>
      <c r="R384" s="5">
        <f>(R372+(Model_30y!R372*Assumptions!$D$51))</f>
        <v>-1474.4846655623378</v>
      </c>
      <c r="S384" s="5">
        <f>S372+(S372*Assumptions!$D$51)</f>
        <v>0</v>
      </c>
      <c r="T384" s="5">
        <f t="shared" si="97"/>
        <v>0</v>
      </c>
      <c r="U384" s="22">
        <f t="shared" si="89"/>
        <v>-7278.3692654569604</v>
      </c>
      <c r="V384" s="5">
        <f>MAX(Assumptions!$E$18:$E$19)-U384</f>
        <v>10120.002277255657</v>
      </c>
      <c r="W384" s="5">
        <f t="shared" si="90"/>
        <v>0</v>
      </c>
      <c r="X384" s="5">
        <f t="shared" si="95"/>
        <v>-7278.3692654569604</v>
      </c>
      <c r="Y384" s="5">
        <f>C384*Assumptions!$D$44*-1</f>
        <v>0</v>
      </c>
      <c r="Z384" s="5">
        <f t="shared" si="91"/>
        <v>2841.6330117986963</v>
      </c>
      <c r="AA384" s="5">
        <f t="shared" si="98"/>
        <v>1629810.7492447228</v>
      </c>
      <c r="AB384" s="3">
        <f>Assumptions!$E$45</f>
        <v>6.9899151946608562E-3</v>
      </c>
      <c r="AC384" s="5">
        <f t="shared" si="99"/>
        <v>1644044.6211770887</v>
      </c>
      <c r="AD384" s="5">
        <f>AC384*Assumptions!$E$43</f>
        <v>1472.3660827392832</v>
      </c>
      <c r="AE384" s="2">
        <f>AD384*Assumptions!$D$44*-1</f>
        <v>-220.85491241089247</v>
      </c>
      <c r="AF384" s="2">
        <f>AC384*Assumptions!$E$46*-1</f>
        <v>-54.791443000151077</v>
      </c>
      <c r="AG384" s="22">
        <f t="shared" si="100"/>
        <v>1643768.9748216777</v>
      </c>
      <c r="AH384" s="5">
        <f>Model_30y[[#This Row],[Mortgage Payment]]+Model_30y[[#This Row],[Total Upkeep]]+Model_30y[[#This Row],[Monthly Investment]]</f>
        <v>-4436.7362536582641</v>
      </c>
      <c r="AI384" s="5">
        <f>Model_Renter!D384*-1</f>
        <v>8602.2639975378352</v>
      </c>
      <c r="AJ384" s="5">
        <f t="shared" si="101"/>
        <v>4165.5277438795711</v>
      </c>
    </row>
    <row r="385" spans="1:36" x14ac:dyDescent="0.25">
      <c r="A385" s="17">
        <f t="shared" si="96"/>
        <v>383</v>
      </c>
      <c r="B385" s="17">
        <f t="shared" si="92"/>
        <v>32</v>
      </c>
      <c r="C385" s="23">
        <f>IFERROR(IPMT(Assumptions!$D$16/12,Model_30y!A385, 360,Assumptions!$D$8), 0)</f>
        <v>0</v>
      </c>
      <c r="D385" s="2">
        <f>IFERROR(PPMT(Assumptions!$D$16/12, Model_30y!A385, 360, Assumptions!$D$8), 0)</f>
        <v>0</v>
      </c>
      <c r="E385" s="2">
        <f t="shared" si="86"/>
        <v>0</v>
      </c>
      <c r="F385" s="2">
        <f>IF(I384&gt;1, Assumptions!$E$18, 0)*-1</f>
        <v>0</v>
      </c>
      <c r="G385" s="24">
        <f t="shared" si="87"/>
        <v>1</v>
      </c>
      <c r="H385" s="20">
        <f t="shared" si="93"/>
        <v>339999.99999999994</v>
      </c>
      <c r="I385" s="2">
        <f>MAX(Assumptions!$D$8-SUM(Model_30y!H385), 0)</f>
        <v>5.8207660913467407E-11</v>
      </c>
      <c r="J385" s="2">
        <f>J384*(1+(Assumptions!$E$51))</f>
        <v>2016883.0927794399</v>
      </c>
      <c r="K385" s="22">
        <f t="shared" si="88"/>
        <v>2016883.0927794399</v>
      </c>
      <c r="L385" s="5">
        <f t="shared" si="94"/>
        <v>424999.99999999971</v>
      </c>
      <c r="M385" s="63">
        <f>L385/Assumptions!$D$6</f>
        <v>0.99999999999999933</v>
      </c>
      <c r="N385" s="24">
        <f t="shared" si="102"/>
        <v>0</v>
      </c>
      <c r="O385" s="5">
        <f>N385*Assumptions!$E$25*-1</f>
        <v>0</v>
      </c>
      <c r="P385" s="20">
        <f>Assumptions!$E$35*J385*-1</f>
        <v>-4154.4489465396919</v>
      </c>
      <c r="Q385" s="5">
        <f>J385*Assumptions!$E$36*-1</f>
        <v>-1673.0813976409122</v>
      </c>
      <c r="R385" s="5">
        <f>(R373+(Model_30y!R373*Assumptions!$D$51))</f>
        <v>-1474.4846655623378</v>
      </c>
      <c r="S385" s="5">
        <f>S373+(S373*Assumptions!$D$51)</f>
        <v>0</v>
      </c>
      <c r="T385" s="5">
        <f t="shared" si="97"/>
        <v>0</v>
      </c>
      <c r="U385" s="22">
        <f t="shared" si="89"/>
        <v>-7302.0150097429423</v>
      </c>
      <c r="V385" s="5">
        <f>MAX(Assumptions!$E$18:$E$19)-U385</f>
        <v>10143.64802154164</v>
      </c>
      <c r="W385" s="5">
        <f t="shared" si="90"/>
        <v>0</v>
      </c>
      <c r="X385" s="5">
        <f t="shared" si="95"/>
        <v>-7302.0150097429423</v>
      </c>
      <c r="Y385" s="5">
        <f>C385*Assumptions!$D$44*-1</f>
        <v>0</v>
      </c>
      <c r="Z385" s="5">
        <f t="shared" si="91"/>
        <v>2841.6330117986972</v>
      </c>
      <c r="AA385" s="5">
        <f t="shared" si="98"/>
        <v>1643768.9748216777</v>
      </c>
      <c r="AB385" s="3">
        <f>Assumptions!$E$45</f>
        <v>6.9899151946608562E-3</v>
      </c>
      <c r="AC385" s="5">
        <f t="shared" si="99"/>
        <v>1658100.4135670944</v>
      </c>
      <c r="AD385" s="5">
        <f>AC385*Assumptions!$E$43</f>
        <v>1484.9541060292181</v>
      </c>
      <c r="AE385" s="2">
        <f>AD385*Assumptions!$D$44*-1</f>
        <v>-222.74311590438271</v>
      </c>
      <c r="AF385" s="2">
        <f>AC385*Assumptions!$E$46*-1</f>
        <v>-55.259883538588255</v>
      </c>
      <c r="AG385" s="22">
        <f t="shared" si="100"/>
        <v>1657822.4105676515</v>
      </c>
      <c r="AH385" s="5">
        <f>Model_30y[[#This Row],[Mortgage Payment]]+Model_30y[[#This Row],[Total Upkeep]]+Model_30y[[#This Row],[Monthly Investment]]</f>
        <v>-4460.3819979442451</v>
      </c>
      <c r="AI385" s="5">
        <f>Model_Renter!D385*-1</f>
        <v>8602.2639975378352</v>
      </c>
      <c r="AJ385" s="5">
        <f t="shared" si="101"/>
        <v>4141.8819995935901</v>
      </c>
    </row>
    <row r="386" spans="1:36" x14ac:dyDescent="0.25">
      <c r="A386" s="17">
        <f t="shared" si="96"/>
        <v>384</v>
      </c>
      <c r="B386" s="17">
        <f t="shared" si="92"/>
        <v>32</v>
      </c>
      <c r="C386" s="23">
        <f>IFERROR(IPMT(Assumptions!$D$16/12,Model_30y!A386, 360,Assumptions!$D$8), 0)</f>
        <v>0</v>
      </c>
      <c r="D386" s="2">
        <f>IFERROR(PPMT(Assumptions!$D$16/12, Model_30y!A386, 360, Assumptions!$D$8), 0)</f>
        <v>0</v>
      </c>
      <c r="E386" s="2">
        <f t="shared" ref="E386:E449" si="103">SUM(C386:D386)</f>
        <v>0</v>
      </c>
      <c r="F386" s="2">
        <f>IF(I385&gt;1, Assumptions!$E$18, 0)*-1</f>
        <v>0</v>
      </c>
      <c r="G386" s="24">
        <f t="shared" ref="G386:G449" si="104">IF(E386+F386&lt;1, 1, 0)</f>
        <v>1</v>
      </c>
      <c r="H386" s="20">
        <f t="shared" si="93"/>
        <v>339999.99999999994</v>
      </c>
      <c r="I386" s="2">
        <f>MAX(Assumptions!$D$8-SUM(Model_30y!H386), 0)</f>
        <v>5.8207660913467407E-11</v>
      </c>
      <c r="J386" s="2">
        <f>J385*(1+(Assumptions!$E$51))</f>
        <v>2025100.1241565708</v>
      </c>
      <c r="K386" s="22">
        <f t="shared" ref="K386:K449" si="105">(J386-I386)</f>
        <v>2025100.1241565708</v>
      </c>
      <c r="L386" s="5">
        <f t="shared" si="94"/>
        <v>424999.99999999971</v>
      </c>
      <c r="M386" s="63">
        <f>L386/Assumptions!$D$6</f>
        <v>0.99999999999999933</v>
      </c>
      <c r="N386" s="24">
        <f t="shared" si="102"/>
        <v>0</v>
      </c>
      <c r="O386" s="5">
        <f>N386*Assumptions!$E$25*-1</f>
        <v>0</v>
      </c>
      <c r="P386" s="20">
        <f>Assumptions!$E$35*J386*-1</f>
        <v>-4171.3746858007416</v>
      </c>
      <c r="Q386" s="5">
        <f>J386*Assumptions!$E$36*-1</f>
        <v>-1679.8977383550207</v>
      </c>
      <c r="R386" s="5">
        <f>(R374+(Model_30y!R374*Assumptions!$D$51))</f>
        <v>-1474.4846655623378</v>
      </c>
      <c r="S386" s="5">
        <f>S374+(S374*Assumptions!$D$51)</f>
        <v>0</v>
      </c>
      <c r="T386" s="5">
        <f t="shared" si="97"/>
        <v>0</v>
      </c>
      <c r="U386" s="22">
        <f t="shared" ref="U386:U449" si="106">SUM(P386:T386)</f>
        <v>-7325.7570897181004</v>
      </c>
      <c r="V386" s="5">
        <f>MAX(Assumptions!$E$18:$E$19)-U386</f>
        <v>10167.390101516798</v>
      </c>
      <c r="W386" s="5">
        <f t="shared" ref="W386:W449" si="107">F386</f>
        <v>0</v>
      </c>
      <c r="X386" s="5">
        <f t="shared" si="95"/>
        <v>-7325.7570897181004</v>
      </c>
      <c r="Y386" s="5">
        <f>C386*Assumptions!$D$44*-1</f>
        <v>0</v>
      </c>
      <c r="Z386" s="5">
        <f t="shared" ref="Z386:Z449" si="108">SUM(V386:Y386)</f>
        <v>2841.6330117986972</v>
      </c>
      <c r="AA386" s="5">
        <f t="shared" si="98"/>
        <v>1657822.4105676515</v>
      </c>
      <c r="AB386" s="3">
        <f>Assumptions!$E$45</f>
        <v>6.9899151946608562E-3</v>
      </c>
      <c r="AC386" s="5">
        <f t="shared" si="99"/>
        <v>1672252.0816371262</v>
      </c>
      <c r="AD386" s="5">
        <f>AC386*Assumptions!$E$43</f>
        <v>1497.6279932291779</v>
      </c>
      <c r="AE386" s="2">
        <f>AD386*Assumptions!$D$44*-1</f>
        <v>-224.64419898437669</v>
      </c>
      <c r="AF386" s="2">
        <f>AC386*Assumptions!$E$46*-1</f>
        <v>-55.731519347269078</v>
      </c>
      <c r="AG386" s="22">
        <f t="shared" si="100"/>
        <v>1671971.7059187945</v>
      </c>
      <c r="AH386" s="5">
        <f>Model_30y[[#This Row],[Mortgage Payment]]+Model_30y[[#This Row],[Total Upkeep]]+Model_30y[[#This Row],[Monthly Investment]]</f>
        <v>-4484.1240779194031</v>
      </c>
      <c r="AI386" s="5">
        <f>Model_Renter!D386*-1</f>
        <v>8602.2639975378352</v>
      </c>
      <c r="AJ386" s="5">
        <f t="shared" si="101"/>
        <v>4118.139919618432</v>
      </c>
    </row>
    <row r="387" spans="1:36" x14ac:dyDescent="0.25">
      <c r="A387" s="17">
        <f t="shared" si="96"/>
        <v>385</v>
      </c>
      <c r="B387" s="17">
        <f t="shared" ref="B387:B450" si="109">ROUNDUP(A387/12,0)</f>
        <v>33</v>
      </c>
      <c r="C387" s="23">
        <f>IFERROR(IPMT(Assumptions!$D$16/12,Model_30y!A387, 360,Assumptions!$D$8), 0)</f>
        <v>0</v>
      </c>
      <c r="D387" s="2">
        <f>IFERROR(PPMT(Assumptions!$D$16/12, Model_30y!A387, 360, Assumptions!$D$8), 0)</f>
        <v>0</v>
      </c>
      <c r="E387" s="2">
        <f t="shared" si="103"/>
        <v>0</v>
      </c>
      <c r="F387" s="2">
        <f>IF(I386&gt;1, Assumptions!$E$18, 0)*-1</f>
        <v>0</v>
      </c>
      <c r="G387" s="24">
        <f t="shared" si="104"/>
        <v>1</v>
      </c>
      <c r="H387" s="20">
        <f t="shared" ref="H387:H450" si="110">H386+D387*-1</f>
        <v>339999.99999999994</v>
      </c>
      <c r="I387" s="2">
        <f>MAX(Assumptions!$D$8-SUM(Model_30y!H387), 0)</f>
        <v>5.8207660913467407E-11</v>
      </c>
      <c r="J387" s="2">
        <f>J386*(1+(Assumptions!$E$51))</f>
        <v>2033350.6327366664</v>
      </c>
      <c r="K387" s="22">
        <f t="shared" si="105"/>
        <v>2033350.6327366664</v>
      </c>
      <c r="L387" s="5">
        <f t="shared" ref="L387:L450" si="111">L386+D387*-1</f>
        <v>424999.99999999971</v>
      </c>
      <c r="M387" s="63">
        <f>L387/Assumptions!$D$6</f>
        <v>0.99999999999999933</v>
      </c>
      <c r="N387" s="24">
        <f t="shared" si="102"/>
        <v>0</v>
      </c>
      <c r="O387" s="5">
        <f>N387*Assumptions!$E$25*-1</f>
        <v>0</v>
      </c>
      <c r="P387" s="20">
        <f>Assumptions!$E$35*J387*-1</f>
        <v>-4188.3693826186718</v>
      </c>
      <c r="Q387" s="5">
        <f>J387*Assumptions!$E$36*-1</f>
        <v>-1686.74184968495</v>
      </c>
      <c r="R387" s="5">
        <f>(R375+(Model_30y!R375*Assumptions!$D$51))</f>
        <v>-1548.2088988404546</v>
      </c>
      <c r="S387" s="5">
        <f>S375+(S375*Assumptions!$D$51)</f>
        <v>0</v>
      </c>
      <c r="T387" s="5">
        <f t="shared" si="97"/>
        <v>0</v>
      </c>
      <c r="U387" s="22">
        <f t="shared" si="106"/>
        <v>-7423.3201311440762</v>
      </c>
      <c r="V387" s="5">
        <f>MAX(Assumptions!$E$18:$E$19)-U387</f>
        <v>10264.953142942773</v>
      </c>
      <c r="W387" s="5">
        <f t="shared" si="107"/>
        <v>0</v>
      </c>
      <c r="X387" s="5">
        <f t="shared" ref="X387:X450" si="112">U387</f>
        <v>-7423.3201311440762</v>
      </c>
      <c r="Y387" s="5">
        <f>C387*Assumptions!$D$44*-1</f>
        <v>0</v>
      </c>
      <c r="Z387" s="5">
        <f t="shared" si="108"/>
        <v>2841.6330117986972</v>
      </c>
      <c r="AA387" s="5">
        <f t="shared" si="98"/>
        <v>1671971.7059187945</v>
      </c>
      <c r="AB387" s="3">
        <f>Assumptions!$E$45</f>
        <v>6.9899151946608562E-3</v>
      </c>
      <c r="AC387" s="5">
        <f t="shared" si="99"/>
        <v>1686500.279362838</v>
      </c>
      <c r="AD387" s="5">
        <f>AC387*Assumptions!$E$43</f>
        <v>1510.388330023736</v>
      </c>
      <c r="AE387" s="2">
        <f>AD387*Assumptions!$D$44*-1</f>
        <v>-226.5582495035604</v>
      </c>
      <c r="AF387" s="2">
        <f>AC387*Assumptions!$E$46*-1</f>
        <v>-56.206372221386495</v>
      </c>
      <c r="AG387" s="22">
        <f t="shared" si="100"/>
        <v>1686217.5147411132</v>
      </c>
      <c r="AH387" s="5">
        <f>Model_30y[[#This Row],[Mortgage Payment]]+Model_30y[[#This Row],[Total Upkeep]]+Model_30y[[#This Row],[Monthly Investment]]</f>
        <v>-4581.687119345379</v>
      </c>
      <c r="AI387" s="5">
        <f>Model_Renter!D387*-1</f>
        <v>8923.9886710457504</v>
      </c>
      <c r="AJ387" s="5">
        <f t="shared" si="101"/>
        <v>4342.3015517003714</v>
      </c>
    </row>
    <row r="388" spans="1:36" x14ac:dyDescent="0.25">
      <c r="A388" s="17">
        <f t="shared" ref="A388:A451" si="113">A387+1</f>
        <v>386</v>
      </c>
      <c r="B388" s="17">
        <f t="shared" si="109"/>
        <v>33</v>
      </c>
      <c r="C388" s="23">
        <f>IFERROR(IPMT(Assumptions!$D$16/12,Model_30y!A388, 360,Assumptions!$D$8), 0)</f>
        <v>0</v>
      </c>
      <c r="D388" s="2">
        <f>IFERROR(PPMT(Assumptions!$D$16/12, Model_30y!A388, 360, Assumptions!$D$8), 0)</f>
        <v>0</v>
      </c>
      <c r="E388" s="2">
        <f t="shared" si="103"/>
        <v>0</v>
      </c>
      <c r="F388" s="2">
        <f>IF(I387&gt;1, Assumptions!$E$18, 0)*-1</f>
        <v>0</v>
      </c>
      <c r="G388" s="24">
        <f t="shared" si="104"/>
        <v>1</v>
      </c>
      <c r="H388" s="20">
        <f t="shared" si="110"/>
        <v>339999.99999999994</v>
      </c>
      <c r="I388" s="2">
        <f>MAX(Assumptions!$D$8-SUM(Model_30y!H388), 0)</f>
        <v>5.8207660913467407E-11</v>
      </c>
      <c r="J388" s="2">
        <f>J387*(1+(Assumptions!$E$51))</f>
        <v>2041634.7549099952</v>
      </c>
      <c r="K388" s="22">
        <f t="shared" si="105"/>
        <v>2041634.7549099952</v>
      </c>
      <c r="L388" s="5">
        <f t="shared" si="111"/>
        <v>424999.99999999971</v>
      </c>
      <c r="M388" s="63">
        <f>L388/Assumptions!$D$6</f>
        <v>0.99999999999999933</v>
      </c>
      <c r="N388" s="24">
        <f t="shared" si="102"/>
        <v>0</v>
      </c>
      <c r="O388" s="5">
        <f>N388*Assumptions!$E$25*-1</f>
        <v>0</v>
      </c>
      <c r="P388" s="20">
        <f>Assumptions!$E$35*J388*-1</f>
        <v>-4205.4333179351033</v>
      </c>
      <c r="Q388" s="5">
        <f>J388*Assumptions!$E$36*-1</f>
        <v>-1693.6138447716264</v>
      </c>
      <c r="R388" s="5">
        <f>(R376+(Model_30y!R376*Assumptions!$D$51))</f>
        <v>-1548.2088988404546</v>
      </c>
      <c r="S388" s="5">
        <f>S376+(S376*Assumptions!$D$51)</f>
        <v>0</v>
      </c>
      <c r="T388" s="5">
        <f t="shared" ref="T388:T451" si="114">O388</f>
        <v>0</v>
      </c>
      <c r="U388" s="22">
        <f t="shared" si="106"/>
        <v>-7447.2560615471848</v>
      </c>
      <c r="V388" s="5">
        <f>MAX(Assumptions!$E$18:$E$19)-U388</f>
        <v>10288.889073345881</v>
      </c>
      <c r="W388" s="5">
        <f t="shared" si="107"/>
        <v>0</v>
      </c>
      <c r="X388" s="5">
        <f t="shared" si="112"/>
        <v>-7447.2560615471848</v>
      </c>
      <c r="Y388" s="5">
        <f>C388*Assumptions!$D$44*-1</f>
        <v>0</v>
      </c>
      <c r="Z388" s="5">
        <f t="shared" si="108"/>
        <v>2841.6330117986963</v>
      </c>
      <c r="AA388" s="5">
        <f t="shared" ref="AA388:AA451" si="115">AG387</f>
        <v>1686217.5147411132</v>
      </c>
      <c r="AB388" s="3">
        <f>Assumptions!$E$45</f>
        <v>6.9899151946608562E-3</v>
      </c>
      <c r="AC388" s="5">
        <f t="shared" ref="AC388:AC451" si="116">(AA388+Z388)+(AA388*AB388)</f>
        <v>1700845.6651807039</v>
      </c>
      <c r="AD388" s="5">
        <f>AC388*Assumptions!$E$43</f>
        <v>1523.235706092466</v>
      </c>
      <c r="AE388" s="2">
        <f>AD388*Assumptions!$D$44*-1</f>
        <v>-228.48535591386988</v>
      </c>
      <c r="AF388" s="2">
        <f>AC388*Assumptions!$E$46*-1</f>
        <v>-56.684464104800227</v>
      </c>
      <c r="AG388" s="22">
        <f t="shared" ref="AG388:AG451" si="117">AC388+SUM(AE388:AF388)</f>
        <v>1700560.4953606853</v>
      </c>
      <c r="AH388" s="5">
        <f>Model_30y[[#This Row],[Mortgage Payment]]+Model_30y[[#This Row],[Total Upkeep]]+Model_30y[[#This Row],[Monthly Investment]]</f>
        <v>-4605.6230497484885</v>
      </c>
      <c r="AI388" s="5">
        <f>Model_Renter!D388*-1</f>
        <v>8923.9886710457504</v>
      </c>
      <c r="AJ388" s="5">
        <f t="shared" ref="AJ388:AJ451" si="118">SUM(AH388:AI388)</f>
        <v>4318.3656212972619</v>
      </c>
    </row>
    <row r="389" spans="1:36" x14ac:dyDescent="0.25">
      <c r="A389" s="17">
        <f t="shared" si="113"/>
        <v>387</v>
      </c>
      <c r="B389" s="17">
        <f t="shared" si="109"/>
        <v>33</v>
      </c>
      <c r="C389" s="23">
        <f>IFERROR(IPMT(Assumptions!$D$16/12,Model_30y!A389, 360,Assumptions!$D$8), 0)</f>
        <v>0</v>
      </c>
      <c r="D389" s="2">
        <f>IFERROR(PPMT(Assumptions!$D$16/12, Model_30y!A389, 360, Assumptions!$D$8), 0)</f>
        <v>0</v>
      </c>
      <c r="E389" s="2">
        <f t="shared" si="103"/>
        <v>0</v>
      </c>
      <c r="F389" s="2">
        <f>IF(I388&gt;1, Assumptions!$E$18, 0)*-1</f>
        <v>0</v>
      </c>
      <c r="G389" s="24">
        <f t="shared" si="104"/>
        <v>1</v>
      </c>
      <c r="H389" s="20">
        <f t="shared" si="110"/>
        <v>339999.99999999994</v>
      </c>
      <c r="I389" s="2">
        <f>MAX(Assumptions!$D$8-SUM(Model_30y!H389), 0)</f>
        <v>5.8207660913467407E-11</v>
      </c>
      <c r="J389" s="2">
        <f>J388*(1+(Assumptions!$E$51))</f>
        <v>2049952.627622497</v>
      </c>
      <c r="K389" s="22">
        <f t="shared" si="105"/>
        <v>2049952.627622497</v>
      </c>
      <c r="L389" s="5">
        <f t="shared" si="111"/>
        <v>424999.99999999971</v>
      </c>
      <c r="M389" s="63">
        <f>L389/Assumptions!$D$6</f>
        <v>0.99999999999999933</v>
      </c>
      <c r="N389" s="24">
        <f t="shared" si="102"/>
        <v>0</v>
      </c>
      <c r="O389" s="5">
        <f>N389*Assumptions!$E$25*-1</f>
        <v>0</v>
      </c>
      <c r="P389" s="20">
        <f>Assumptions!$E$35*J389*-1</f>
        <v>-4222.566773836249</v>
      </c>
      <c r="Q389" s="5">
        <f>J389*Assumptions!$E$36*-1</f>
        <v>-1700.5138372169265</v>
      </c>
      <c r="R389" s="5">
        <f>(R377+(Model_30y!R377*Assumptions!$D$51))</f>
        <v>-1548.2088988404546</v>
      </c>
      <c r="S389" s="5">
        <f>S377+(S377*Assumptions!$D$51)</f>
        <v>0</v>
      </c>
      <c r="T389" s="5">
        <f t="shared" si="114"/>
        <v>0</v>
      </c>
      <c r="U389" s="22">
        <f t="shared" si="106"/>
        <v>-7471.2895098936306</v>
      </c>
      <c r="V389" s="5">
        <f>MAX(Assumptions!$E$18:$E$19)-U389</f>
        <v>10312.922521692328</v>
      </c>
      <c r="W389" s="5">
        <f t="shared" si="107"/>
        <v>0</v>
      </c>
      <c r="X389" s="5">
        <f t="shared" si="112"/>
        <v>-7471.2895098936306</v>
      </c>
      <c r="Y389" s="5">
        <f>C389*Assumptions!$D$44*-1</f>
        <v>0</v>
      </c>
      <c r="Z389" s="5">
        <f t="shared" si="108"/>
        <v>2841.6330117986972</v>
      </c>
      <c r="AA389" s="5">
        <f t="shared" si="115"/>
        <v>1700560.4953606853</v>
      </c>
      <c r="AB389" s="3">
        <f>Assumptions!$E$45</f>
        <v>6.9899151946608562E-3</v>
      </c>
      <c r="AC389" s="5">
        <f t="shared" si="116"/>
        <v>1715288.9020184455</v>
      </c>
      <c r="AD389" s="5">
        <f>AC389*Assumptions!$E$43</f>
        <v>1536.1707151371936</v>
      </c>
      <c r="AE389" s="2">
        <f>AD389*Assumptions!$D$44*-1</f>
        <v>-230.42560727057904</v>
      </c>
      <c r="AF389" s="2">
        <f>AC389*Assumptions!$E$46*-1</f>
        <v>-57.165817091050812</v>
      </c>
      <c r="AG389" s="22">
        <f t="shared" si="117"/>
        <v>1715001.310594084</v>
      </c>
      <c r="AH389" s="5">
        <f>Model_30y[[#This Row],[Mortgage Payment]]+Model_30y[[#This Row],[Total Upkeep]]+Model_30y[[#This Row],[Monthly Investment]]</f>
        <v>-4629.6564980949333</v>
      </c>
      <c r="AI389" s="5">
        <f>Model_Renter!D389*-1</f>
        <v>8923.9886710457504</v>
      </c>
      <c r="AJ389" s="5">
        <f t="shared" si="118"/>
        <v>4294.332172950817</v>
      </c>
    </row>
    <row r="390" spans="1:36" x14ac:dyDescent="0.25">
      <c r="A390" s="17">
        <f t="shared" si="113"/>
        <v>388</v>
      </c>
      <c r="B390" s="17">
        <f t="shared" si="109"/>
        <v>33</v>
      </c>
      <c r="C390" s="23">
        <f>IFERROR(IPMT(Assumptions!$D$16/12,Model_30y!A390, 360,Assumptions!$D$8), 0)</f>
        <v>0</v>
      </c>
      <c r="D390" s="2">
        <f>IFERROR(PPMT(Assumptions!$D$16/12, Model_30y!A390, 360, Assumptions!$D$8), 0)</f>
        <v>0</v>
      </c>
      <c r="E390" s="2">
        <f t="shared" si="103"/>
        <v>0</v>
      </c>
      <c r="F390" s="2">
        <f>IF(I389&gt;1, Assumptions!$E$18, 0)*-1</f>
        <v>0</v>
      </c>
      <c r="G390" s="24">
        <f t="shared" si="104"/>
        <v>1</v>
      </c>
      <c r="H390" s="20">
        <f t="shared" si="110"/>
        <v>339999.99999999994</v>
      </c>
      <c r="I390" s="2">
        <f>MAX(Assumptions!$D$8-SUM(Model_30y!H390), 0)</f>
        <v>5.8207660913467407E-11</v>
      </c>
      <c r="J390" s="2">
        <f>J389*(1+(Assumptions!$E$51))</f>
        <v>2058304.3883780462</v>
      </c>
      <c r="K390" s="22">
        <f t="shared" si="105"/>
        <v>2058304.3883780462</v>
      </c>
      <c r="L390" s="5">
        <f t="shared" si="111"/>
        <v>424999.99999999971</v>
      </c>
      <c r="M390" s="63">
        <f>L390/Assumptions!$D$6</f>
        <v>0.99999999999999933</v>
      </c>
      <c r="N390" s="24">
        <f t="shared" si="102"/>
        <v>0</v>
      </c>
      <c r="O390" s="5">
        <f>N390*Assumptions!$E$25*-1</f>
        <v>0</v>
      </c>
      <c r="P390" s="20">
        <f>Assumptions!$E$35*J390*-1</f>
        <v>-4239.7700335575792</v>
      </c>
      <c r="Q390" s="5">
        <f>J390*Assumptions!$E$36*-1</f>
        <v>-1707.4419410855551</v>
      </c>
      <c r="R390" s="5">
        <f>(R378+(Model_30y!R378*Assumptions!$D$51))</f>
        <v>-1548.2088988404546</v>
      </c>
      <c r="S390" s="5">
        <f>S378+(S378*Assumptions!$D$51)</f>
        <v>0</v>
      </c>
      <c r="T390" s="5">
        <f t="shared" si="114"/>
        <v>0</v>
      </c>
      <c r="U390" s="22">
        <f t="shared" si="106"/>
        <v>-7495.4208734835893</v>
      </c>
      <c r="V390" s="5">
        <f>MAX(Assumptions!$E$18:$E$19)-U390</f>
        <v>10337.053885282287</v>
      </c>
      <c r="W390" s="5">
        <f t="shared" si="107"/>
        <v>0</v>
      </c>
      <c r="X390" s="5">
        <f t="shared" si="112"/>
        <v>-7495.4208734835893</v>
      </c>
      <c r="Y390" s="5">
        <f>C390*Assumptions!$D$44*-1</f>
        <v>0</v>
      </c>
      <c r="Z390" s="5">
        <f t="shared" si="108"/>
        <v>2841.6330117986972</v>
      </c>
      <c r="AA390" s="5">
        <f t="shared" si="115"/>
        <v>1715001.310594084</v>
      </c>
      <c r="AB390" s="3">
        <f>Assumptions!$E$45</f>
        <v>6.9899151946608562E-3</v>
      </c>
      <c r="AC390" s="5">
        <f t="shared" si="116"/>
        <v>1729830.6573256676</v>
      </c>
      <c r="AD390" s="5">
        <f>AC390*Assumptions!$E$43</f>
        <v>1549.1939549094318</v>
      </c>
      <c r="AE390" s="2">
        <f>AD390*Assumptions!$D$44*-1</f>
        <v>-232.37909323641475</v>
      </c>
      <c r="AF390" s="2">
        <f>AC390*Assumptions!$E$46*-1</f>
        <v>-57.650453424380586</v>
      </c>
      <c r="AG390" s="22">
        <f t="shared" si="117"/>
        <v>1729540.6277790067</v>
      </c>
      <c r="AH390" s="5">
        <f>Model_30y[[#This Row],[Mortgage Payment]]+Model_30y[[#This Row],[Total Upkeep]]+Model_30y[[#This Row],[Monthly Investment]]</f>
        <v>-4653.7878616848921</v>
      </c>
      <c r="AI390" s="5">
        <f>Model_Renter!D390*-1</f>
        <v>8923.9886710457504</v>
      </c>
      <c r="AJ390" s="5">
        <f t="shared" si="118"/>
        <v>4270.2008093608583</v>
      </c>
    </row>
    <row r="391" spans="1:36" x14ac:dyDescent="0.25">
      <c r="A391" s="17">
        <f t="shared" si="113"/>
        <v>389</v>
      </c>
      <c r="B391" s="17">
        <f t="shared" si="109"/>
        <v>33</v>
      </c>
      <c r="C391" s="23">
        <f>IFERROR(IPMT(Assumptions!$D$16/12,Model_30y!A391, 360,Assumptions!$D$8), 0)</f>
        <v>0</v>
      </c>
      <c r="D391" s="2">
        <f>IFERROR(PPMT(Assumptions!$D$16/12, Model_30y!A391, 360, Assumptions!$D$8), 0)</f>
        <v>0</v>
      </c>
      <c r="E391" s="2">
        <f t="shared" si="103"/>
        <v>0</v>
      </c>
      <c r="F391" s="2">
        <f>IF(I390&gt;1, Assumptions!$E$18, 0)*-1</f>
        <v>0</v>
      </c>
      <c r="G391" s="24">
        <f t="shared" si="104"/>
        <v>1</v>
      </c>
      <c r="H391" s="20">
        <f t="shared" si="110"/>
        <v>339999.99999999994</v>
      </c>
      <c r="I391" s="2">
        <f>MAX(Assumptions!$D$8-SUM(Model_30y!H391), 0)</f>
        <v>5.8207660913467407E-11</v>
      </c>
      <c r="J391" s="2">
        <f>J390*(1+(Assumptions!$E$51))</f>
        <v>2066690.175240725</v>
      </c>
      <c r="K391" s="22">
        <f t="shared" si="105"/>
        <v>2066690.175240725</v>
      </c>
      <c r="L391" s="5">
        <f t="shared" si="111"/>
        <v>424999.99999999971</v>
      </c>
      <c r="M391" s="63">
        <f>L391/Assumptions!$D$6</f>
        <v>0.99999999999999933</v>
      </c>
      <c r="N391" s="24">
        <f t="shared" si="102"/>
        <v>0</v>
      </c>
      <c r="O391" s="5">
        <f>N391*Assumptions!$E$25*-1</f>
        <v>0</v>
      </c>
      <c r="P391" s="20">
        <f>Assumptions!$E$35*J391*-1</f>
        <v>-4257.0433814884955</v>
      </c>
      <c r="Q391" s="5">
        <f>J391*Assumptions!$E$36*-1</f>
        <v>-1714.3982709069305</v>
      </c>
      <c r="R391" s="5">
        <f>(R379+(Model_30y!R379*Assumptions!$D$51))</f>
        <v>-1548.2088988404546</v>
      </c>
      <c r="S391" s="5">
        <f>S379+(S379*Assumptions!$D$51)</f>
        <v>0</v>
      </c>
      <c r="T391" s="5">
        <f t="shared" si="114"/>
        <v>0</v>
      </c>
      <c r="U391" s="22">
        <f t="shared" si="106"/>
        <v>-7519.6505512358808</v>
      </c>
      <c r="V391" s="5">
        <f>MAX(Assumptions!$E$18:$E$19)-U391</f>
        <v>10361.283563034578</v>
      </c>
      <c r="W391" s="5">
        <f t="shared" si="107"/>
        <v>0</v>
      </c>
      <c r="X391" s="5">
        <f t="shared" si="112"/>
        <v>-7519.6505512358808</v>
      </c>
      <c r="Y391" s="5">
        <f>C391*Assumptions!$D$44*-1</f>
        <v>0</v>
      </c>
      <c r="Z391" s="5">
        <f t="shared" si="108"/>
        <v>2841.6330117986972</v>
      </c>
      <c r="AA391" s="5">
        <f t="shared" si="115"/>
        <v>1729540.6277790067</v>
      </c>
      <c r="AB391" s="3">
        <f>Assumptions!$E$45</f>
        <v>6.9899151946608562E-3</v>
      </c>
      <c r="AC391" s="5">
        <f t="shared" si="116"/>
        <v>1744471.603104701</v>
      </c>
      <c r="AD391" s="5">
        <f>AC391*Assumptions!$E$43</f>
        <v>1562.3060272380037</v>
      </c>
      <c r="AE391" s="2">
        <f>AD391*Assumptions!$D$44*-1</f>
        <v>-234.34590408570054</v>
      </c>
      <c r="AF391" s="2">
        <f>AC391*Assumptions!$E$46*-1</f>
        <v>-58.138395500761618</v>
      </c>
      <c r="AG391" s="22">
        <f t="shared" si="117"/>
        <v>1744179.1188051146</v>
      </c>
      <c r="AH391" s="5">
        <f>Model_30y[[#This Row],[Mortgage Payment]]+Model_30y[[#This Row],[Total Upkeep]]+Model_30y[[#This Row],[Monthly Investment]]</f>
        <v>-4678.0175394371836</v>
      </c>
      <c r="AI391" s="5">
        <f>Model_Renter!D391*-1</f>
        <v>8923.9886710457504</v>
      </c>
      <c r="AJ391" s="5">
        <f t="shared" si="118"/>
        <v>4245.9711316085668</v>
      </c>
    </row>
    <row r="392" spans="1:36" x14ac:dyDescent="0.25">
      <c r="A392" s="17">
        <f t="shared" si="113"/>
        <v>390</v>
      </c>
      <c r="B392" s="17">
        <f t="shared" si="109"/>
        <v>33</v>
      </c>
      <c r="C392" s="23">
        <f>IFERROR(IPMT(Assumptions!$D$16/12,Model_30y!A392, 360,Assumptions!$D$8), 0)</f>
        <v>0</v>
      </c>
      <c r="D392" s="2">
        <f>IFERROR(PPMT(Assumptions!$D$16/12, Model_30y!A392, 360, Assumptions!$D$8), 0)</f>
        <v>0</v>
      </c>
      <c r="E392" s="2">
        <f t="shared" si="103"/>
        <v>0</v>
      </c>
      <c r="F392" s="2">
        <f>IF(I391&gt;1, Assumptions!$E$18, 0)*-1</f>
        <v>0</v>
      </c>
      <c r="G392" s="24">
        <f t="shared" si="104"/>
        <v>1</v>
      </c>
      <c r="H392" s="20">
        <f t="shared" si="110"/>
        <v>339999.99999999994</v>
      </c>
      <c r="I392" s="2">
        <f>MAX(Assumptions!$D$8-SUM(Model_30y!H392), 0)</f>
        <v>5.8207660913467407E-11</v>
      </c>
      <c r="J392" s="2">
        <f>J391*(1+(Assumptions!$E$51))</f>
        <v>2075110.1268371057</v>
      </c>
      <c r="K392" s="22">
        <f t="shared" si="105"/>
        <v>2075110.1268371057</v>
      </c>
      <c r="L392" s="5">
        <f t="shared" si="111"/>
        <v>424999.99999999971</v>
      </c>
      <c r="M392" s="63">
        <f>L392/Assumptions!$D$6</f>
        <v>0.99999999999999933</v>
      </c>
      <c r="N392" s="24">
        <f t="shared" si="102"/>
        <v>0</v>
      </c>
      <c r="O392" s="5">
        <f>N392*Assumptions!$E$25*-1</f>
        <v>0</v>
      </c>
      <c r="P392" s="20">
        <f>Assumptions!$E$35*J392*-1</f>
        <v>-4274.3871031770404</v>
      </c>
      <c r="Q392" s="5">
        <f>J392*Assumptions!$E$36*-1</f>
        <v>-1721.3829416770782</v>
      </c>
      <c r="R392" s="5">
        <f>(R380+(Model_30y!R380*Assumptions!$D$51))</f>
        <v>-1548.2088988404546</v>
      </c>
      <c r="S392" s="5">
        <f>S380+(S380*Assumptions!$D$51)</f>
        <v>0</v>
      </c>
      <c r="T392" s="5">
        <f t="shared" si="114"/>
        <v>0</v>
      </c>
      <c r="U392" s="22">
        <f t="shared" si="106"/>
        <v>-7543.978943694573</v>
      </c>
      <c r="V392" s="5">
        <f>MAX(Assumptions!$E$18:$E$19)-U392</f>
        <v>10385.61195549327</v>
      </c>
      <c r="W392" s="5">
        <f t="shared" si="107"/>
        <v>0</v>
      </c>
      <c r="X392" s="5">
        <f t="shared" si="112"/>
        <v>-7543.978943694573</v>
      </c>
      <c r="Y392" s="5">
        <f>C392*Assumptions!$D$44*-1</f>
        <v>0</v>
      </c>
      <c r="Z392" s="5">
        <f t="shared" si="108"/>
        <v>2841.6330117986972</v>
      </c>
      <c r="AA392" s="5">
        <f t="shared" si="115"/>
        <v>1744179.1188051146</v>
      </c>
      <c r="AB392" s="3">
        <f>Assumptions!$E$45</f>
        <v>6.9899151946608562E-3</v>
      </c>
      <c r="AC392" s="5">
        <f t="shared" si="116"/>
        <v>1759212.4159416594</v>
      </c>
      <c r="AD392" s="5">
        <f>AC392*Assumptions!$E$43</f>
        <v>1575.507538056856</v>
      </c>
      <c r="AE392" s="2">
        <f>AD392*Assumptions!$D$44*-1</f>
        <v>-236.32613070852838</v>
      </c>
      <c r="AF392" s="2">
        <f>AC392*Assumptions!$E$46*-1</f>
        <v>-58.629665868930722</v>
      </c>
      <c r="AG392" s="22">
        <f t="shared" si="117"/>
        <v>1758917.4601450819</v>
      </c>
      <c r="AH392" s="5">
        <f>Model_30y[[#This Row],[Mortgage Payment]]+Model_30y[[#This Row],[Total Upkeep]]+Model_30y[[#This Row],[Monthly Investment]]</f>
        <v>-4702.3459318958758</v>
      </c>
      <c r="AI392" s="5">
        <f>Model_Renter!D392*-1</f>
        <v>8923.9886710457504</v>
      </c>
      <c r="AJ392" s="5">
        <f t="shared" si="118"/>
        <v>4221.6427391498746</v>
      </c>
    </row>
    <row r="393" spans="1:36" x14ac:dyDescent="0.25">
      <c r="A393" s="17">
        <f t="shared" si="113"/>
        <v>391</v>
      </c>
      <c r="B393" s="17">
        <f t="shared" si="109"/>
        <v>33</v>
      </c>
      <c r="C393" s="23">
        <f>IFERROR(IPMT(Assumptions!$D$16/12,Model_30y!A393, 360,Assumptions!$D$8), 0)</f>
        <v>0</v>
      </c>
      <c r="D393" s="2">
        <f>IFERROR(PPMT(Assumptions!$D$16/12, Model_30y!A393, 360, Assumptions!$D$8), 0)</f>
        <v>0</v>
      </c>
      <c r="E393" s="2">
        <f t="shared" si="103"/>
        <v>0</v>
      </c>
      <c r="F393" s="2">
        <f>IF(I392&gt;1, Assumptions!$E$18, 0)*-1</f>
        <v>0</v>
      </c>
      <c r="G393" s="24">
        <f t="shared" si="104"/>
        <v>1</v>
      </c>
      <c r="H393" s="20">
        <f t="shared" si="110"/>
        <v>339999.99999999994</v>
      </c>
      <c r="I393" s="2">
        <f>MAX(Assumptions!$D$8-SUM(Model_30y!H393), 0)</f>
        <v>5.8207660913467407E-11</v>
      </c>
      <c r="J393" s="2">
        <f>J392*(1+(Assumptions!$E$51))</f>
        <v>2083564.3823585424</v>
      </c>
      <c r="K393" s="22">
        <f t="shared" si="105"/>
        <v>2083564.3823585424</v>
      </c>
      <c r="L393" s="5">
        <f t="shared" si="111"/>
        <v>424999.99999999971</v>
      </c>
      <c r="M393" s="63">
        <f>L393/Assumptions!$D$6</f>
        <v>0.99999999999999933</v>
      </c>
      <c r="N393" s="24">
        <f t="shared" si="102"/>
        <v>0</v>
      </c>
      <c r="O393" s="5">
        <f>N393*Assumptions!$E$25*-1</f>
        <v>0</v>
      </c>
      <c r="P393" s="20">
        <f>Assumptions!$E$35*J393*-1</f>
        <v>-4291.801485334614</v>
      </c>
      <c r="Q393" s="5">
        <f>J393*Assumptions!$E$36*-1</f>
        <v>-1728.3960688605314</v>
      </c>
      <c r="R393" s="5">
        <f>(R381+(Model_30y!R381*Assumptions!$D$51))</f>
        <v>-1548.2088988404546</v>
      </c>
      <c r="S393" s="5">
        <f>S381+(S381*Assumptions!$D$51)</f>
        <v>0</v>
      </c>
      <c r="T393" s="5">
        <f t="shared" si="114"/>
        <v>0</v>
      </c>
      <c r="U393" s="22">
        <f t="shared" si="106"/>
        <v>-7568.4064530356</v>
      </c>
      <c r="V393" s="5">
        <f>MAX(Assumptions!$E$18:$E$19)-U393</f>
        <v>10410.039464834297</v>
      </c>
      <c r="W393" s="5">
        <f t="shared" si="107"/>
        <v>0</v>
      </c>
      <c r="X393" s="5">
        <f t="shared" si="112"/>
        <v>-7568.4064530356</v>
      </c>
      <c r="Y393" s="5">
        <f>C393*Assumptions!$D$44*-1</f>
        <v>0</v>
      </c>
      <c r="Z393" s="5">
        <f t="shared" si="108"/>
        <v>2841.6330117986972</v>
      </c>
      <c r="AA393" s="5">
        <f t="shared" si="115"/>
        <v>1758917.4601450819</v>
      </c>
      <c r="AB393" s="3">
        <f>Assumptions!$E$45</f>
        <v>6.9899151946608562E-3</v>
      </c>
      <c r="AC393" s="5">
        <f t="shared" si="116"/>
        <v>1774053.777037703</v>
      </c>
      <c r="AD393" s="5">
        <f>AC393*Assumptions!$E$43</f>
        <v>1588.799097433058</v>
      </c>
      <c r="AE393" s="2">
        <f>AD393*Assumptions!$D$44*-1</f>
        <v>-238.3198646149587</v>
      </c>
      <c r="AF393" s="2">
        <f>AC393*Assumptions!$E$46*-1</f>
        <v>-59.124287231431403</v>
      </c>
      <c r="AG393" s="22">
        <f t="shared" si="117"/>
        <v>1773756.3328858565</v>
      </c>
      <c r="AH393" s="5">
        <f>Model_30y[[#This Row],[Mortgage Payment]]+Model_30y[[#This Row],[Total Upkeep]]+Model_30y[[#This Row],[Monthly Investment]]</f>
        <v>-4726.7734412369027</v>
      </c>
      <c r="AI393" s="5">
        <f>Model_Renter!D393*-1</f>
        <v>8923.9886710457504</v>
      </c>
      <c r="AJ393" s="5">
        <f t="shared" si="118"/>
        <v>4197.2152298088477</v>
      </c>
    </row>
    <row r="394" spans="1:36" x14ac:dyDescent="0.25">
      <c r="A394" s="17">
        <f t="shared" si="113"/>
        <v>392</v>
      </c>
      <c r="B394" s="17">
        <f t="shared" si="109"/>
        <v>33</v>
      </c>
      <c r="C394" s="23">
        <f>IFERROR(IPMT(Assumptions!$D$16/12,Model_30y!A394, 360,Assumptions!$D$8), 0)</f>
        <v>0</v>
      </c>
      <c r="D394" s="2">
        <f>IFERROR(PPMT(Assumptions!$D$16/12, Model_30y!A394, 360, Assumptions!$D$8), 0)</f>
        <v>0</v>
      </c>
      <c r="E394" s="2">
        <f t="shared" si="103"/>
        <v>0</v>
      </c>
      <c r="F394" s="2">
        <f>IF(I393&gt;1, Assumptions!$E$18, 0)*-1</f>
        <v>0</v>
      </c>
      <c r="G394" s="24">
        <f t="shared" si="104"/>
        <v>1</v>
      </c>
      <c r="H394" s="20">
        <f t="shared" si="110"/>
        <v>339999.99999999994</v>
      </c>
      <c r="I394" s="2">
        <f>MAX(Assumptions!$D$8-SUM(Model_30y!H394), 0)</f>
        <v>5.8207660913467407E-11</v>
      </c>
      <c r="J394" s="2">
        <f>J393*(1+(Assumptions!$E$51))</f>
        <v>2092053.081563472</v>
      </c>
      <c r="K394" s="22">
        <f t="shared" si="105"/>
        <v>2092053.081563472</v>
      </c>
      <c r="L394" s="5">
        <f t="shared" si="111"/>
        <v>424999.99999999971</v>
      </c>
      <c r="M394" s="63">
        <f>L394/Assumptions!$D$6</f>
        <v>0.99999999999999933</v>
      </c>
      <c r="N394" s="24">
        <f t="shared" si="102"/>
        <v>0</v>
      </c>
      <c r="O394" s="5">
        <f>N394*Assumptions!$E$25*-1</f>
        <v>0</v>
      </c>
      <c r="P394" s="20">
        <f>Assumptions!$E$35*J394*-1</f>
        <v>-4309.2868158407136</v>
      </c>
      <c r="Q394" s="5">
        <f>J394*Assumptions!$E$36*-1</f>
        <v>-1735.4377683922405</v>
      </c>
      <c r="R394" s="5">
        <f>(R382+(Model_30y!R382*Assumptions!$D$51))</f>
        <v>-1548.2088988404546</v>
      </c>
      <c r="S394" s="5">
        <f>S382+(S382*Assumptions!$D$51)</f>
        <v>0</v>
      </c>
      <c r="T394" s="5">
        <f t="shared" si="114"/>
        <v>0</v>
      </c>
      <c r="U394" s="22">
        <f t="shared" si="106"/>
        <v>-7592.9334830734088</v>
      </c>
      <c r="V394" s="5">
        <f>MAX(Assumptions!$E$18:$E$19)-U394</f>
        <v>10434.566494872106</v>
      </c>
      <c r="W394" s="5">
        <f t="shared" si="107"/>
        <v>0</v>
      </c>
      <c r="X394" s="5">
        <f t="shared" si="112"/>
        <v>-7592.9334830734088</v>
      </c>
      <c r="Y394" s="5">
        <f>C394*Assumptions!$D$44*-1</f>
        <v>0</v>
      </c>
      <c r="Z394" s="5">
        <f t="shared" si="108"/>
        <v>2841.6330117986972</v>
      </c>
      <c r="AA394" s="5">
        <f t="shared" si="115"/>
        <v>1773756.3328858565</v>
      </c>
      <c r="AB394" s="3">
        <f>Assumptions!$E$45</f>
        <v>6.9899151946608562E-3</v>
      </c>
      <c r="AC394" s="5">
        <f t="shared" si="116"/>
        <v>1788996.3722405198</v>
      </c>
      <c r="AD394" s="5">
        <f>AC394*Assumptions!$E$43</f>
        <v>1602.1813195949958</v>
      </c>
      <c r="AE394" s="2">
        <f>AD394*Assumptions!$D$44*-1</f>
        <v>-240.32719793924934</v>
      </c>
      <c r="AF394" s="2">
        <f>AC394*Assumptions!$E$46*-1</f>
        <v>-59.622282445663053</v>
      </c>
      <c r="AG394" s="22">
        <f t="shared" si="117"/>
        <v>1788696.422760135</v>
      </c>
      <c r="AH394" s="5">
        <f>Model_30y[[#This Row],[Mortgage Payment]]+Model_30y[[#This Row],[Total Upkeep]]+Model_30y[[#This Row],[Monthly Investment]]</f>
        <v>-4751.3004712747115</v>
      </c>
      <c r="AI394" s="5">
        <f>Model_Renter!D394*-1</f>
        <v>8923.9886710457504</v>
      </c>
      <c r="AJ394" s="5">
        <f t="shared" si="118"/>
        <v>4172.6881997710389</v>
      </c>
    </row>
    <row r="395" spans="1:36" x14ac:dyDescent="0.25">
      <c r="A395" s="17">
        <f t="shared" si="113"/>
        <v>393</v>
      </c>
      <c r="B395" s="17">
        <f t="shared" si="109"/>
        <v>33</v>
      </c>
      <c r="C395" s="23">
        <f>IFERROR(IPMT(Assumptions!$D$16/12,Model_30y!A395, 360,Assumptions!$D$8), 0)</f>
        <v>0</v>
      </c>
      <c r="D395" s="2">
        <f>IFERROR(PPMT(Assumptions!$D$16/12, Model_30y!A395, 360, Assumptions!$D$8), 0)</f>
        <v>0</v>
      </c>
      <c r="E395" s="2">
        <f t="shared" si="103"/>
        <v>0</v>
      </c>
      <c r="F395" s="2">
        <f>IF(I394&gt;1, Assumptions!$E$18, 0)*-1</f>
        <v>0</v>
      </c>
      <c r="G395" s="24">
        <f t="shared" si="104"/>
        <v>1</v>
      </c>
      <c r="H395" s="20">
        <f t="shared" si="110"/>
        <v>339999.99999999994</v>
      </c>
      <c r="I395" s="2">
        <f>MAX(Assumptions!$D$8-SUM(Model_30y!H395), 0)</f>
        <v>5.8207660913467407E-11</v>
      </c>
      <c r="J395" s="2">
        <f>J394*(1+(Assumptions!$E$51))</f>
        <v>2100576.3647797247</v>
      </c>
      <c r="K395" s="22">
        <f t="shared" si="105"/>
        <v>2100576.3647797247</v>
      </c>
      <c r="L395" s="5">
        <f t="shared" si="111"/>
        <v>424999.99999999971</v>
      </c>
      <c r="M395" s="63">
        <f>L395/Assumptions!$D$6</f>
        <v>0.99999999999999933</v>
      </c>
      <c r="N395" s="24">
        <f t="shared" si="102"/>
        <v>0</v>
      </c>
      <c r="O395" s="5">
        <f>N395*Assumptions!$E$25*-1</f>
        <v>0</v>
      </c>
      <c r="P395" s="20">
        <f>Assumptions!$E$35*J395*-1</f>
        <v>-4326.8433837476923</v>
      </c>
      <c r="Q395" s="5">
        <f>J395*Assumptions!$E$36*-1</f>
        <v>-1742.508156679489</v>
      </c>
      <c r="R395" s="5">
        <f>(R383+(Model_30y!R383*Assumptions!$D$51))</f>
        <v>-1548.2088988404546</v>
      </c>
      <c r="S395" s="5">
        <f>S383+(S383*Assumptions!$D$51)</f>
        <v>0</v>
      </c>
      <c r="T395" s="5">
        <f t="shared" si="114"/>
        <v>0</v>
      </c>
      <c r="U395" s="22">
        <f t="shared" si="106"/>
        <v>-7617.560439267636</v>
      </c>
      <c r="V395" s="5">
        <f>MAX(Assumptions!$E$18:$E$19)-U395</f>
        <v>10459.193451066332</v>
      </c>
      <c r="W395" s="5">
        <f t="shared" si="107"/>
        <v>0</v>
      </c>
      <c r="X395" s="5">
        <f t="shared" si="112"/>
        <v>-7617.560439267636</v>
      </c>
      <c r="Y395" s="5">
        <f>C395*Assumptions!$D$44*-1</f>
        <v>0</v>
      </c>
      <c r="Z395" s="5">
        <f t="shared" si="108"/>
        <v>2841.6330117986963</v>
      </c>
      <c r="AA395" s="5">
        <f t="shared" si="115"/>
        <v>1788696.422760135</v>
      </c>
      <c r="AB395" s="3">
        <f>Assumptions!$E$45</f>
        <v>6.9899151946608562E-3</v>
      </c>
      <c r="AC395" s="5">
        <f t="shared" si="116"/>
        <v>1804040.8920760201</v>
      </c>
      <c r="AD395" s="5">
        <f>AC395*Assumptions!$E$43</f>
        <v>1615.6548229607556</v>
      </c>
      <c r="AE395" s="2">
        <f>AD395*Assumptions!$D$44*-1</f>
        <v>-242.34822344411333</v>
      </c>
      <c r="AF395" s="2">
        <f>AC395*Assumptions!$E$46*-1</f>
        <v>-60.123674524937194</v>
      </c>
      <c r="AG395" s="22">
        <f t="shared" si="117"/>
        <v>1803738.4201780511</v>
      </c>
      <c r="AH395" s="5">
        <f>Model_30y[[#This Row],[Mortgage Payment]]+Model_30y[[#This Row],[Total Upkeep]]+Model_30y[[#This Row],[Monthly Investment]]</f>
        <v>-4775.9274274689396</v>
      </c>
      <c r="AI395" s="5">
        <f>Model_Renter!D395*-1</f>
        <v>8923.9886710457504</v>
      </c>
      <c r="AJ395" s="5">
        <f t="shared" si="118"/>
        <v>4148.0612435768107</v>
      </c>
    </row>
    <row r="396" spans="1:36" x14ac:dyDescent="0.25">
      <c r="A396" s="17">
        <f t="shared" si="113"/>
        <v>394</v>
      </c>
      <c r="B396" s="17">
        <f t="shared" si="109"/>
        <v>33</v>
      </c>
      <c r="C396" s="23">
        <f>IFERROR(IPMT(Assumptions!$D$16/12,Model_30y!A396, 360,Assumptions!$D$8), 0)</f>
        <v>0</v>
      </c>
      <c r="D396" s="2">
        <f>IFERROR(PPMT(Assumptions!$D$16/12, Model_30y!A396, 360, Assumptions!$D$8), 0)</f>
        <v>0</v>
      </c>
      <c r="E396" s="2">
        <f t="shared" si="103"/>
        <v>0</v>
      </c>
      <c r="F396" s="2">
        <f>IF(I395&gt;1, Assumptions!$E$18, 0)*-1</f>
        <v>0</v>
      </c>
      <c r="G396" s="24">
        <f t="shared" si="104"/>
        <v>1</v>
      </c>
      <c r="H396" s="20">
        <f t="shared" si="110"/>
        <v>339999.99999999994</v>
      </c>
      <c r="I396" s="2">
        <f>MAX(Assumptions!$D$8-SUM(Model_30y!H396), 0)</f>
        <v>5.8207660913467407E-11</v>
      </c>
      <c r="J396" s="2">
        <f>J395*(1+(Assumptions!$E$51))</f>
        <v>2109134.3729068432</v>
      </c>
      <c r="K396" s="22">
        <f t="shared" si="105"/>
        <v>2109134.3729068432</v>
      </c>
      <c r="L396" s="5">
        <f t="shared" si="111"/>
        <v>424999.99999999971</v>
      </c>
      <c r="M396" s="63">
        <f>L396/Assumptions!$D$6</f>
        <v>0.99999999999999933</v>
      </c>
      <c r="N396" s="24">
        <f t="shared" si="102"/>
        <v>0</v>
      </c>
      <c r="O396" s="5">
        <f>N396*Assumptions!$E$25*-1</f>
        <v>0</v>
      </c>
      <c r="P396" s="20">
        <f>Assumptions!$E$35*J396*-1</f>
        <v>-4344.4714792855402</v>
      </c>
      <c r="Q396" s="5">
        <f>J396*Assumptions!$E$36*-1</f>
        <v>-1749.6073506038181</v>
      </c>
      <c r="R396" s="5">
        <f>(R384+(Model_30y!R384*Assumptions!$D$51))</f>
        <v>-1548.2088988404546</v>
      </c>
      <c r="S396" s="5">
        <f>S384+(S384*Assumptions!$D$51)</f>
        <v>0</v>
      </c>
      <c r="T396" s="5">
        <f t="shared" si="114"/>
        <v>0</v>
      </c>
      <c r="U396" s="22">
        <f t="shared" si="106"/>
        <v>-7642.2877287298134</v>
      </c>
      <c r="V396" s="5">
        <f>MAX(Assumptions!$E$18:$E$19)-U396</f>
        <v>10483.920740528511</v>
      </c>
      <c r="W396" s="5">
        <f t="shared" si="107"/>
        <v>0</v>
      </c>
      <c r="X396" s="5">
        <f t="shared" si="112"/>
        <v>-7642.2877287298134</v>
      </c>
      <c r="Y396" s="5">
        <f>C396*Assumptions!$D$44*-1</f>
        <v>0</v>
      </c>
      <c r="Z396" s="5">
        <f t="shared" si="108"/>
        <v>2841.6330117986972</v>
      </c>
      <c r="AA396" s="5">
        <f t="shared" si="115"/>
        <v>1803738.4201780511</v>
      </c>
      <c r="AB396" s="3">
        <f>Assumptions!$E$45</f>
        <v>6.9899151946608562E-3</v>
      </c>
      <c r="AC396" s="5">
        <f t="shared" si="116"/>
        <v>1819188.0317802459</v>
      </c>
      <c r="AD396" s="5">
        <f>AC396*Assumptions!$E$43</f>
        <v>1629.2202301667035</v>
      </c>
      <c r="AE396" s="2">
        <f>AD396*Assumptions!$D$44*-1</f>
        <v>-244.38303452500551</v>
      </c>
      <c r="AF396" s="2">
        <f>AC396*Assumptions!$E$46*-1</f>
        <v>-60.628486639541002</v>
      </c>
      <c r="AG396" s="22">
        <f t="shared" si="117"/>
        <v>1818883.0202590814</v>
      </c>
      <c r="AH396" s="5">
        <f>Model_30y[[#This Row],[Mortgage Payment]]+Model_30y[[#This Row],[Total Upkeep]]+Model_30y[[#This Row],[Monthly Investment]]</f>
        <v>-4800.6547169311161</v>
      </c>
      <c r="AI396" s="5">
        <f>Model_Renter!D396*-1</f>
        <v>8923.9886710457504</v>
      </c>
      <c r="AJ396" s="5">
        <f t="shared" si="118"/>
        <v>4123.3339541146343</v>
      </c>
    </row>
    <row r="397" spans="1:36" x14ac:dyDescent="0.25">
      <c r="A397" s="17">
        <f t="shared" si="113"/>
        <v>395</v>
      </c>
      <c r="B397" s="17">
        <f t="shared" si="109"/>
        <v>33</v>
      </c>
      <c r="C397" s="23">
        <f>IFERROR(IPMT(Assumptions!$D$16/12,Model_30y!A397, 360,Assumptions!$D$8), 0)</f>
        <v>0</v>
      </c>
      <c r="D397" s="2">
        <f>IFERROR(PPMT(Assumptions!$D$16/12, Model_30y!A397, 360, Assumptions!$D$8), 0)</f>
        <v>0</v>
      </c>
      <c r="E397" s="2">
        <f t="shared" si="103"/>
        <v>0</v>
      </c>
      <c r="F397" s="2">
        <f>IF(I396&gt;1, Assumptions!$E$18, 0)*-1</f>
        <v>0</v>
      </c>
      <c r="G397" s="24">
        <f t="shared" si="104"/>
        <v>1</v>
      </c>
      <c r="H397" s="20">
        <f t="shared" si="110"/>
        <v>339999.99999999994</v>
      </c>
      <c r="I397" s="2">
        <f>MAX(Assumptions!$D$8-SUM(Model_30y!H397), 0)</f>
        <v>5.8207660913467407E-11</v>
      </c>
      <c r="J397" s="2">
        <f>J396*(1+(Assumptions!$E$51))</f>
        <v>2117727.2474184134</v>
      </c>
      <c r="K397" s="22">
        <f t="shared" si="105"/>
        <v>2117727.2474184134</v>
      </c>
      <c r="L397" s="5">
        <f t="shared" si="111"/>
        <v>424999.99999999971</v>
      </c>
      <c r="M397" s="63">
        <f>L397/Assumptions!$D$6</f>
        <v>0.99999999999999933</v>
      </c>
      <c r="N397" s="24">
        <f t="shared" si="102"/>
        <v>0</v>
      </c>
      <c r="O397" s="5">
        <f>N397*Assumptions!$E$25*-1</f>
        <v>0</v>
      </c>
      <c r="P397" s="20">
        <f>Assumptions!$E$35*J397*-1</f>
        <v>-4362.1713938666799</v>
      </c>
      <c r="Q397" s="5">
        <f>J397*Assumptions!$E$36*-1</f>
        <v>-1756.7354675229592</v>
      </c>
      <c r="R397" s="5">
        <f>(R385+(Model_30y!R385*Assumptions!$D$51))</f>
        <v>-1548.2088988404546</v>
      </c>
      <c r="S397" s="5">
        <f>S385+(S385*Assumptions!$D$51)</f>
        <v>0</v>
      </c>
      <c r="T397" s="5">
        <f t="shared" si="114"/>
        <v>0</v>
      </c>
      <c r="U397" s="22">
        <f t="shared" si="106"/>
        <v>-7667.1157602300937</v>
      </c>
      <c r="V397" s="5">
        <f>MAX(Assumptions!$E$18:$E$19)-U397</f>
        <v>10508.74877202879</v>
      </c>
      <c r="W397" s="5">
        <f t="shared" si="107"/>
        <v>0</v>
      </c>
      <c r="X397" s="5">
        <f t="shared" si="112"/>
        <v>-7667.1157602300937</v>
      </c>
      <c r="Y397" s="5">
        <f>C397*Assumptions!$D$44*-1</f>
        <v>0</v>
      </c>
      <c r="Z397" s="5">
        <f t="shared" si="108"/>
        <v>2841.6330117986963</v>
      </c>
      <c r="AA397" s="5">
        <f t="shared" si="115"/>
        <v>1818883.0202590814</v>
      </c>
      <c r="AB397" s="3">
        <f>Assumptions!$E$45</f>
        <v>6.9899151946608562E-3</v>
      </c>
      <c r="AC397" s="5">
        <f t="shared" si="116"/>
        <v>1834438.4913314995</v>
      </c>
      <c r="AD397" s="5">
        <f>AC397*Assumptions!$E$43</f>
        <v>1642.878168096257</v>
      </c>
      <c r="AE397" s="2">
        <f>AD397*Assumptions!$D$44*-1</f>
        <v>-246.43172521443853</v>
      </c>
      <c r="AF397" s="2">
        <f>AC397*Assumptions!$E$46*-1</f>
        <v>-61.136742117807984</v>
      </c>
      <c r="AG397" s="22">
        <f t="shared" si="117"/>
        <v>1834130.9228641673</v>
      </c>
      <c r="AH397" s="5">
        <f>Model_30y[[#This Row],[Mortgage Payment]]+Model_30y[[#This Row],[Total Upkeep]]+Model_30y[[#This Row],[Monthly Investment]]</f>
        <v>-4825.4827484313973</v>
      </c>
      <c r="AI397" s="5">
        <f>Model_Renter!D397*-1</f>
        <v>8923.9886710457504</v>
      </c>
      <c r="AJ397" s="5">
        <f t="shared" si="118"/>
        <v>4098.505922614353</v>
      </c>
    </row>
    <row r="398" spans="1:36" x14ac:dyDescent="0.25">
      <c r="A398" s="17">
        <f t="shared" si="113"/>
        <v>396</v>
      </c>
      <c r="B398" s="17">
        <f t="shared" si="109"/>
        <v>33</v>
      </c>
      <c r="C398" s="23">
        <f>IFERROR(IPMT(Assumptions!$D$16/12,Model_30y!A398, 360,Assumptions!$D$8), 0)</f>
        <v>0</v>
      </c>
      <c r="D398" s="2">
        <f>IFERROR(PPMT(Assumptions!$D$16/12, Model_30y!A398, 360, Assumptions!$D$8), 0)</f>
        <v>0</v>
      </c>
      <c r="E398" s="2">
        <f t="shared" si="103"/>
        <v>0</v>
      </c>
      <c r="F398" s="2">
        <f>IF(I397&gt;1, Assumptions!$E$18, 0)*-1</f>
        <v>0</v>
      </c>
      <c r="G398" s="24">
        <f t="shared" si="104"/>
        <v>1</v>
      </c>
      <c r="H398" s="20">
        <f t="shared" si="110"/>
        <v>339999.99999999994</v>
      </c>
      <c r="I398" s="2">
        <f>MAX(Assumptions!$D$8-SUM(Model_30y!H398), 0)</f>
        <v>5.8207660913467407E-11</v>
      </c>
      <c r="J398" s="2">
        <f>J397*(1+(Assumptions!$E$51))</f>
        <v>2126355.1303644008</v>
      </c>
      <c r="K398" s="22">
        <f t="shared" si="105"/>
        <v>2126355.1303644008</v>
      </c>
      <c r="L398" s="5">
        <f t="shared" si="111"/>
        <v>424999.99999999971</v>
      </c>
      <c r="M398" s="63">
        <f>L398/Assumptions!$D$6</f>
        <v>0.99999999999999933</v>
      </c>
      <c r="N398" s="24">
        <f t="shared" si="102"/>
        <v>0</v>
      </c>
      <c r="O398" s="5">
        <f>N398*Assumptions!$E$25*-1</f>
        <v>0</v>
      </c>
      <c r="P398" s="20">
        <f>Assumptions!$E$35*J398*-1</f>
        <v>-4379.9434200907826</v>
      </c>
      <c r="Q398" s="5">
        <f>J398*Assumptions!$E$36*-1</f>
        <v>-1763.8926252727729</v>
      </c>
      <c r="R398" s="5">
        <f>(R386+(Model_30y!R386*Assumptions!$D$51))</f>
        <v>-1548.2088988404546</v>
      </c>
      <c r="S398" s="5">
        <f>S386+(S386*Assumptions!$D$51)</f>
        <v>0</v>
      </c>
      <c r="T398" s="5">
        <f t="shared" si="114"/>
        <v>0</v>
      </c>
      <c r="U398" s="22">
        <f t="shared" si="106"/>
        <v>-7692.0449442040108</v>
      </c>
      <c r="V398" s="5">
        <f>MAX(Assumptions!$E$18:$E$19)-U398</f>
        <v>10533.677956002708</v>
      </c>
      <c r="W398" s="5">
        <f t="shared" si="107"/>
        <v>0</v>
      </c>
      <c r="X398" s="5">
        <f t="shared" si="112"/>
        <v>-7692.0449442040108</v>
      </c>
      <c r="Y398" s="5">
        <f>C398*Assumptions!$D$44*-1</f>
        <v>0</v>
      </c>
      <c r="Z398" s="5">
        <f t="shared" si="108"/>
        <v>2841.6330117986972</v>
      </c>
      <c r="AA398" s="5">
        <f t="shared" si="115"/>
        <v>1834130.9228641673</v>
      </c>
      <c r="AB398" s="3">
        <f>Assumptions!$E$45</f>
        <v>6.9899151946608562E-3</v>
      </c>
      <c r="AC398" s="5">
        <f t="shared" si="116"/>
        <v>1849792.9754826915</v>
      </c>
      <c r="AD398" s="5">
        <f>AC398*Assumptions!$E$43</f>
        <v>1656.6292679088563</v>
      </c>
      <c r="AE398" s="2">
        <f>AD398*Assumptions!$D$44*-1</f>
        <v>-248.49439018632842</v>
      </c>
      <c r="AF398" s="2">
        <f>AC398*Assumptions!$E$46*-1</f>
        <v>-61.648464447196105</v>
      </c>
      <c r="AG398" s="22">
        <f t="shared" si="117"/>
        <v>1849482.832628058</v>
      </c>
      <c r="AH398" s="5">
        <f>Model_30y[[#This Row],[Mortgage Payment]]+Model_30y[[#This Row],[Total Upkeep]]+Model_30y[[#This Row],[Monthly Investment]]</f>
        <v>-4850.4119324053136</v>
      </c>
      <c r="AI398" s="5">
        <f>Model_Renter!D398*-1</f>
        <v>8923.9886710457504</v>
      </c>
      <c r="AJ398" s="5">
        <f t="shared" si="118"/>
        <v>4073.5767386404368</v>
      </c>
    </row>
    <row r="399" spans="1:36" x14ac:dyDescent="0.25">
      <c r="A399" s="17">
        <f t="shared" si="113"/>
        <v>397</v>
      </c>
      <c r="B399" s="17">
        <f t="shared" si="109"/>
        <v>34</v>
      </c>
      <c r="C399" s="23">
        <f>IFERROR(IPMT(Assumptions!$D$16/12,Model_30y!A399, 360,Assumptions!$D$8), 0)</f>
        <v>0</v>
      </c>
      <c r="D399" s="2">
        <f>IFERROR(PPMT(Assumptions!$D$16/12, Model_30y!A399, 360, Assumptions!$D$8), 0)</f>
        <v>0</v>
      </c>
      <c r="E399" s="2">
        <f t="shared" si="103"/>
        <v>0</v>
      </c>
      <c r="F399" s="2">
        <f>IF(I398&gt;1, Assumptions!$E$18, 0)*-1</f>
        <v>0</v>
      </c>
      <c r="G399" s="24">
        <f t="shared" si="104"/>
        <v>1</v>
      </c>
      <c r="H399" s="20">
        <f t="shared" si="110"/>
        <v>339999.99999999994</v>
      </c>
      <c r="I399" s="2">
        <f>MAX(Assumptions!$D$8-SUM(Model_30y!H399), 0)</f>
        <v>5.8207660913467407E-11</v>
      </c>
      <c r="J399" s="2">
        <f>J398*(1+(Assumptions!$E$51))</f>
        <v>2135018.1643735012</v>
      </c>
      <c r="K399" s="22">
        <f t="shared" si="105"/>
        <v>2135018.1643735012</v>
      </c>
      <c r="L399" s="5">
        <f t="shared" si="111"/>
        <v>424999.99999999971</v>
      </c>
      <c r="M399" s="63">
        <f>L399/Assumptions!$D$6</f>
        <v>0.99999999999999933</v>
      </c>
      <c r="N399" s="24">
        <f t="shared" si="102"/>
        <v>0</v>
      </c>
      <c r="O399" s="5">
        <f>N399*Assumptions!$E$25*-1</f>
        <v>0</v>
      </c>
      <c r="P399" s="20">
        <f>Assumptions!$E$35*J399*-1</f>
        <v>-4397.7878517496083</v>
      </c>
      <c r="Q399" s="5">
        <f>J399*Assumptions!$E$36*-1</f>
        <v>-1771.0789421691989</v>
      </c>
      <c r="R399" s="5">
        <f>(R387+(Model_30y!R387*Assumptions!$D$51))</f>
        <v>-1625.6193437824772</v>
      </c>
      <c r="S399" s="5">
        <f>S387+(S387*Assumptions!$D$51)</f>
        <v>0</v>
      </c>
      <c r="T399" s="5">
        <f t="shared" si="114"/>
        <v>0</v>
      </c>
      <c r="U399" s="22">
        <f t="shared" si="106"/>
        <v>-7794.486137701284</v>
      </c>
      <c r="V399" s="5">
        <f>MAX(Assumptions!$E$18:$E$19)-U399</f>
        <v>10636.11914949998</v>
      </c>
      <c r="W399" s="5">
        <f t="shared" si="107"/>
        <v>0</v>
      </c>
      <c r="X399" s="5">
        <f t="shared" si="112"/>
        <v>-7794.486137701284</v>
      </c>
      <c r="Y399" s="5">
        <f>C399*Assumptions!$D$44*-1</f>
        <v>0</v>
      </c>
      <c r="Z399" s="5">
        <f t="shared" si="108"/>
        <v>2841.6330117986963</v>
      </c>
      <c r="AA399" s="5">
        <f t="shared" si="115"/>
        <v>1849482.832628058</v>
      </c>
      <c r="AB399" s="3">
        <f>Assumptions!$E$45</f>
        <v>6.9899151946608562E-3</v>
      </c>
      <c r="AC399" s="5">
        <f t="shared" si="116"/>
        <v>1865252.193793908</v>
      </c>
      <c r="AD399" s="5">
        <f>AC399*Assumptions!$E$43</f>
        <v>1670.4741650691296</v>
      </c>
      <c r="AE399" s="2">
        <f>AD399*Assumptions!$D$44*-1</f>
        <v>-250.57112476036943</v>
      </c>
      <c r="AF399" s="2">
        <f>AC399*Assumptions!$E$46*-1</f>
        <v>-62.163677275373153</v>
      </c>
      <c r="AG399" s="22">
        <f t="shared" si="117"/>
        <v>1864939.4589918721</v>
      </c>
      <c r="AH399" s="5">
        <f>Model_30y[[#This Row],[Mortgage Payment]]+Model_30y[[#This Row],[Total Upkeep]]+Model_30y[[#This Row],[Monthly Investment]]</f>
        <v>-4952.8531259025876</v>
      </c>
      <c r="AI399" s="5">
        <f>Model_Renter!D399*-1</f>
        <v>9257.7458473428615</v>
      </c>
      <c r="AJ399" s="5">
        <f t="shared" si="118"/>
        <v>4304.8927214402738</v>
      </c>
    </row>
    <row r="400" spans="1:36" x14ac:dyDescent="0.25">
      <c r="A400" s="17">
        <f t="shared" si="113"/>
        <v>398</v>
      </c>
      <c r="B400" s="17">
        <f t="shared" si="109"/>
        <v>34</v>
      </c>
      <c r="C400" s="23">
        <f>IFERROR(IPMT(Assumptions!$D$16/12,Model_30y!A400, 360,Assumptions!$D$8), 0)</f>
        <v>0</v>
      </c>
      <c r="D400" s="2">
        <f>IFERROR(PPMT(Assumptions!$D$16/12, Model_30y!A400, 360, Assumptions!$D$8), 0)</f>
        <v>0</v>
      </c>
      <c r="E400" s="2">
        <f t="shared" si="103"/>
        <v>0</v>
      </c>
      <c r="F400" s="2">
        <f>IF(I399&gt;1, Assumptions!$E$18, 0)*-1</f>
        <v>0</v>
      </c>
      <c r="G400" s="24">
        <f t="shared" si="104"/>
        <v>1</v>
      </c>
      <c r="H400" s="20">
        <f t="shared" si="110"/>
        <v>339999.99999999994</v>
      </c>
      <c r="I400" s="2">
        <f>MAX(Assumptions!$D$8-SUM(Model_30y!H400), 0)</f>
        <v>5.8207660913467407E-11</v>
      </c>
      <c r="J400" s="2">
        <f>J399*(1+(Assumptions!$E$51))</f>
        <v>2143716.4926554966</v>
      </c>
      <c r="K400" s="22">
        <f t="shared" si="105"/>
        <v>2143716.4926554966</v>
      </c>
      <c r="L400" s="5">
        <f t="shared" si="111"/>
        <v>424999.99999999971</v>
      </c>
      <c r="M400" s="63">
        <f>L400/Assumptions!$D$6</f>
        <v>0.99999999999999933</v>
      </c>
      <c r="N400" s="24">
        <f t="shared" si="102"/>
        <v>0</v>
      </c>
      <c r="O400" s="5">
        <f>N400*Assumptions!$E$25*-1</f>
        <v>0</v>
      </c>
      <c r="P400" s="20">
        <f>Assumptions!$E$35*J400*-1</f>
        <v>-4415.7049838318617</v>
      </c>
      <c r="Q400" s="5">
        <f>J400*Assumptions!$E$36*-1</f>
        <v>-1778.2945370102091</v>
      </c>
      <c r="R400" s="5">
        <f>(R388+(Model_30y!R388*Assumptions!$D$51))</f>
        <v>-1625.6193437824772</v>
      </c>
      <c r="S400" s="5">
        <f>S388+(S388*Assumptions!$D$51)</f>
        <v>0</v>
      </c>
      <c r="T400" s="5">
        <f t="shared" si="114"/>
        <v>0</v>
      </c>
      <c r="U400" s="22">
        <f t="shared" si="106"/>
        <v>-7819.6188646245482</v>
      </c>
      <c r="V400" s="5">
        <f>MAX(Assumptions!$E$18:$E$19)-U400</f>
        <v>10661.251876423245</v>
      </c>
      <c r="W400" s="5">
        <f t="shared" si="107"/>
        <v>0</v>
      </c>
      <c r="X400" s="5">
        <f t="shared" si="112"/>
        <v>-7819.6188646245482</v>
      </c>
      <c r="Y400" s="5">
        <f>C400*Assumptions!$D$44*-1</f>
        <v>0</v>
      </c>
      <c r="Z400" s="5">
        <f t="shared" si="108"/>
        <v>2841.6330117986963</v>
      </c>
      <c r="AA400" s="5">
        <f t="shared" si="115"/>
        <v>1864939.4589918721</v>
      </c>
      <c r="AB400" s="3">
        <f>Assumptions!$E$45</f>
        <v>6.9899151946608562E-3</v>
      </c>
      <c r="AC400" s="5">
        <f t="shared" si="116"/>
        <v>1880816.8606652007</v>
      </c>
      <c r="AD400" s="5">
        <f>AC400*Assumptions!$E$43</f>
        <v>1684.41349937626</v>
      </c>
      <c r="AE400" s="2">
        <f>AD400*Assumptions!$D$44*-1</f>
        <v>-252.662024906439</v>
      </c>
      <c r="AF400" s="2">
        <f>AC400*Assumptions!$E$46*-1</f>
        <v>-62.68240441130952</v>
      </c>
      <c r="AG400" s="22">
        <f t="shared" si="117"/>
        <v>1880501.5162358829</v>
      </c>
      <c r="AH400" s="5">
        <f>Model_30y[[#This Row],[Mortgage Payment]]+Model_30y[[#This Row],[Total Upkeep]]+Model_30y[[#This Row],[Monthly Investment]]</f>
        <v>-4977.9858528258519</v>
      </c>
      <c r="AI400" s="5">
        <f>Model_Renter!D400*-1</f>
        <v>9257.7458473428615</v>
      </c>
      <c r="AJ400" s="5">
        <f t="shared" si="118"/>
        <v>4279.7599945170095</v>
      </c>
    </row>
    <row r="401" spans="1:36" x14ac:dyDescent="0.25">
      <c r="A401" s="17">
        <f t="shared" si="113"/>
        <v>399</v>
      </c>
      <c r="B401" s="17">
        <f t="shared" si="109"/>
        <v>34</v>
      </c>
      <c r="C401" s="23">
        <f>IFERROR(IPMT(Assumptions!$D$16/12,Model_30y!A401, 360,Assumptions!$D$8), 0)</f>
        <v>0</v>
      </c>
      <c r="D401" s="2">
        <f>IFERROR(PPMT(Assumptions!$D$16/12, Model_30y!A401, 360, Assumptions!$D$8), 0)</f>
        <v>0</v>
      </c>
      <c r="E401" s="2">
        <f t="shared" si="103"/>
        <v>0</v>
      </c>
      <c r="F401" s="2">
        <f>IF(I400&gt;1, Assumptions!$E$18, 0)*-1</f>
        <v>0</v>
      </c>
      <c r="G401" s="24">
        <f t="shared" si="104"/>
        <v>1</v>
      </c>
      <c r="H401" s="20">
        <f t="shared" si="110"/>
        <v>339999.99999999994</v>
      </c>
      <c r="I401" s="2">
        <f>MAX(Assumptions!$D$8-SUM(Model_30y!H401), 0)</f>
        <v>5.8207660913467407E-11</v>
      </c>
      <c r="J401" s="2">
        <f>J400*(1+(Assumptions!$E$51))</f>
        <v>2152450.2590036234</v>
      </c>
      <c r="K401" s="22">
        <f t="shared" si="105"/>
        <v>2152450.2590036234</v>
      </c>
      <c r="L401" s="5">
        <f t="shared" si="111"/>
        <v>424999.99999999971</v>
      </c>
      <c r="M401" s="63">
        <f>L401/Assumptions!$D$6</f>
        <v>0.99999999999999933</v>
      </c>
      <c r="N401" s="24">
        <f t="shared" si="102"/>
        <v>0</v>
      </c>
      <c r="O401" s="5">
        <f>N401*Assumptions!$E$25*-1</f>
        <v>0</v>
      </c>
      <c r="P401" s="20">
        <f>Assumptions!$E$35*J401*-1</f>
        <v>-4433.6951125280648</v>
      </c>
      <c r="Q401" s="5">
        <f>J401*Assumptions!$E$36*-1</f>
        <v>-1785.5395290777742</v>
      </c>
      <c r="R401" s="5">
        <f>(R389+(Model_30y!R389*Assumptions!$D$51))</f>
        <v>-1625.6193437824772</v>
      </c>
      <c r="S401" s="5">
        <f>S389+(S389*Assumptions!$D$51)</f>
        <v>0</v>
      </c>
      <c r="T401" s="5">
        <f t="shared" si="114"/>
        <v>0</v>
      </c>
      <c r="U401" s="22">
        <f t="shared" si="106"/>
        <v>-7844.8539853883158</v>
      </c>
      <c r="V401" s="5">
        <f>MAX(Assumptions!$E$18:$E$19)-U401</f>
        <v>10686.486997187012</v>
      </c>
      <c r="W401" s="5">
        <f t="shared" si="107"/>
        <v>0</v>
      </c>
      <c r="X401" s="5">
        <f t="shared" si="112"/>
        <v>-7844.8539853883158</v>
      </c>
      <c r="Y401" s="5">
        <f>C401*Assumptions!$D$44*-1</f>
        <v>0</v>
      </c>
      <c r="Z401" s="5">
        <f t="shared" si="108"/>
        <v>2841.6330117986963</v>
      </c>
      <c r="AA401" s="5">
        <f t="shared" si="115"/>
        <v>1880501.5162358829</v>
      </c>
      <c r="AB401" s="3">
        <f>Assumptions!$E$45</f>
        <v>6.9899151946608562E-3</v>
      </c>
      <c r="AC401" s="5">
        <f t="shared" si="116"/>
        <v>1896487.6953696015</v>
      </c>
      <c r="AD401" s="5">
        <f>AC401*Assumptions!$E$43</f>
        <v>1698.4479149935526</v>
      </c>
      <c r="AE401" s="2">
        <f>AD401*Assumptions!$D$44*-1</f>
        <v>-254.76718724903287</v>
      </c>
      <c r="AF401" s="2">
        <f>AC401*Assumptions!$E$46*-1</f>
        <v>-63.204669826378492</v>
      </c>
      <c r="AG401" s="22">
        <f t="shared" si="117"/>
        <v>1896169.7235125261</v>
      </c>
      <c r="AH401" s="5">
        <f>Model_30y[[#This Row],[Mortgage Payment]]+Model_30y[[#This Row],[Total Upkeep]]+Model_30y[[#This Row],[Monthly Investment]]</f>
        <v>-5003.2209735896195</v>
      </c>
      <c r="AI401" s="5">
        <f>Model_Renter!D401*-1</f>
        <v>9257.7458473428615</v>
      </c>
      <c r="AJ401" s="5">
        <f t="shared" si="118"/>
        <v>4254.524873753242</v>
      </c>
    </row>
    <row r="402" spans="1:36" x14ac:dyDescent="0.25">
      <c r="A402" s="17">
        <f t="shared" si="113"/>
        <v>400</v>
      </c>
      <c r="B402" s="17">
        <f t="shared" si="109"/>
        <v>34</v>
      </c>
      <c r="C402" s="23">
        <f>IFERROR(IPMT(Assumptions!$D$16/12,Model_30y!A402, 360,Assumptions!$D$8), 0)</f>
        <v>0</v>
      </c>
      <c r="D402" s="2">
        <f>IFERROR(PPMT(Assumptions!$D$16/12, Model_30y!A402, 360, Assumptions!$D$8), 0)</f>
        <v>0</v>
      </c>
      <c r="E402" s="2">
        <f t="shared" si="103"/>
        <v>0</v>
      </c>
      <c r="F402" s="2">
        <f>IF(I401&gt;1, Assumptions!$E$18, 0)*-1</f>
        <v>0</v>
      </c>
      <c r="G402" s="24">
        <f t="shared" si="104"/>
        <v>1</v>
      </c>
      <c r="H402" s="20">
        <f t="shared" si="110"/>
        <v>339999.99999999994</v>
      </c>
      <c r="I402" s="2">
        <f>MAX(Assumptions!$D$8-SUM(Model_30y!H402), 0)</f>
        <v>5.8207660913467407E-11</v>
      </c>
      <c r="J402" s="2">
        <f>J401*(1+(Assumptions!$E$51))</f>
        <v>2161219.6077969503</v>
      </c>
      <c r="K402" s="22">
        <f t="shared" si="105"/>
        <v>2161219.6077969503</v>
      </c>
      <c r="L402" s="5">
        <f t="shared" si="111"/>
        <v>424999.99999999971</v>
      </c>
      <c r="M402" s="63">
        <f>L402/Assumptions!$D$6</f>
        <v>0.99999999999999933</v>
      </c>
      <c r="N402" s="24">
        <f t="shared" ref="N402:N465" si="119">IF(M402&lt;0.2, 1, 0)</f>
        <v>0</v>
      </c>
      <c r="O402" s="5">
        <f>N402*Assumptions!$E$25*-1</f>
        <v>0</v>
      </c>
      <c r="P402" s="20">
        <f>Assumptions!$E$35*J402*-1</f>
        <v>-4451.7585352354617</v>
      </c>
      <c r="Q402" s="5">
        <f>J402*Assumptions!$E$36*-1</f>
        <v>-1792.8140381398343</v>
      </c>
      <c r="R402" s="5">
        <f>(R390+(Model_30y!R390*Assumptions!$D$51))</f>
        <v>-1625.6193437824772</v>
      </c>
      <c r="S402" s="5">
        <f>S390+(S390*Assumptions!$D$51)</f>
        <v>0</v>
      </c>
      <c r="T402" s="5">
        <f t="shared" si="114"/>
        <v>0</v>
      </c>
      <c r="U402" s="22">
        <f t="shared" si="106"/>
        <v>-7870.1919171577738</v>
      </c>
      <c r="V402" s="5">
        <f>MAX(Assumptions!$E$18:$E$19)-U402</f>
        <v>10711.82492895647</v>
      </c>
      <c r="W402" s="5">
        <f t="shared" si="107"/>
        <v>0</v>
      </c>
      <c r="X402" s="5">
        <f t="shared" si="112"/>
        <v>-7870.1919171577738</v>
      </c>
      <c r="Y402" s="5">
        <f>C402*Assumptions!$D$44*-1</f>
        <v>0</v>
      </c>
      <c r="Z402" s="5">
        <f t="shared" si="108"/>
        <v>2841.6330117986963</v>
      </c>
      <c r="AA402" s="5">
        <f t="shared" si="115"/>
        <v>1896169.7235125261</v>
      </c>
      <c r="AB402" s="3">
        <f>Assumptions!$E$45</f>
        <v>6.9899151946608562E-3</v>
      </c>
      <c r="AC402" s="5">
        <f t="shared" si="116"/>
        <v>1912265.4220863609</v>
      </c>
      <c r="AD402" s="5">
        <f>AC402*Assumptions!$E$43</f>
        <v>1712.578060478201</v>
      </c>
      <c r="AE402" s="2">
        <f>AD402*Assumptions!$D$44*-1</f>
        <v>-256.88670907173014</v>
      </c>
      <c r="AF402" s="2">
        <f>AC402*Assumptions!$E$46*-1</f>
        <v>-63.730497655464013</v>
      </c>
      <c r="AG402" s="22">
        <f t="shared" si="117"/>
        <v>1911944.8048796337</v>
      </c>
      <c r="AH402" s="5">
        <f>Model_30y[[#This Row],[Mortgage Payment]]+Model_30y[[#This Row],[Total Upkeep]]+Model_30y[[#This Row],[Monthly Investment]]</f>
        <v>-5028.5589053590775</v>
      </c>
      <c r="AI402" s="5">
        <f>Model_Renter!D402*-1</f>
        <v>9257.7458473428615</v>
      </c>
      <c r="AJ402" s="5">
        <f t="shared" si="118"/>
        <v>4229.186941983784</v>
      </c>
    </row>
    <row r="403" spans="1:36" x14ac:dyDescent="0.25">
      <c r="A403" s="17">
        <f t="shared" si="113"/>
        <v>401</v>
      </c>
      <c r="B403" s="17">
        <f t="shared" si="109"/>
        <v>34</v>
      </c>
      <c r="C403" s="23">
        <f>IFERROR(IPMT(Assumptions!$D$16/12,Model_30y!A403, 360,Assumptions!$D$8), 0)</f>
        <v>0</v>
      </c>
      <c r="D403" s="2">
        <f>IFERROR(PPMT(Assumptions!$D$16/12, Model_30y!A403, 360, Assumptions!$D$8), 0)</f>
        <v>0</v>
      </c>
      <c r="E403" s="2">
        <f t="shared" si="103"/>
        <v>0</v>
      </c>
      <c r="F403" s="2">
        <f>IF(I402&gt;1, Assumptions!$E$18, 0)*-1</f>
        <v>0</v>
      </c>
      <c r="G403" s="24">
        <f t="shared" si="104"/>
        <v>1</v>
      </c>
      <c r="H403" s="20">
        <f t="shared" si="110"/>
        <v>339999.99999999994</v>
      </c>
      <c r="I403" s="2">
        <f>MAX(Assumptions!$D$8-SUM(Model_30y!H403), 0)</f>
        <v>5.8207660913467407E-11</v>
      </c>
      <c r="J403" s="2">
        <f>J402*(1+(Assumptions!$E$51))</f>
        <v>2170024.6840027631</v>
      </c>
      <c r="K403" s="22">
        <f t="shared" si="105"/>
        <v>2170024.6840027631</v>
      </c>
      <c r="L403" s="5">
        <f t="shared" si="111"/>
        <v>424999.99999999971</v>
      </c>
      <c r="M403" s="63">
        <f>L403/Assumptions!$D$6</f>
        <v>0.99999999999999933</v>
      </c>
      <c r="N403" s="24">
        <f t="shared" si="119"/>
        <v>0</v>
      </c>
      <c r="O403" s="5">
        <f>N403*Assumptions!$E$25*-1</f>
        <v>0</v>
      </c>
      <c r="P403" s="20">
        <f>Assumptions!$E$35*J403*-1</f>
        <v>-4469.8955505629237</v>
      </c>
      <c r="Q403" s="5">
        <f>J403*Assumptions!$E$36*-1</f>
        <v>-1800.1181844522787</v>
      </c>
      <c r="R403" s="5">
        <f>(R391+(Model_30y!R391*Assumptions!$D$51))</f>
        <v>-1625.6193437824772</v>
      </c>
      <c r="S403" s="5">
        <f>S391+(S391*Assumptions!$D$51)</f>
        <v>0</v>
      </c>
      <c r="T403" s="5">
        <f t="shared" si="114"/>
        <v>0</v>
      </c>
      <c r="U403" s="22">
        <f t="shared" si="106"/>
        <v>-7895.6330787976804</v>
      </c>
      <c r="V403" s="5">
        <f>MAX(Assumptions!$E$18:$E$19)-U403</f>
        <v>10737.266090596377</v>
      </c>
      <c r="W403" s="5">
        <f t="shared" si="107"/>
        <v>0</v>
      </c>
      <c r="X403" s="5">
        <f t="shared" si="112"/>
        <v>-7895.6330787976804</v>
      </c>
      <c r="Y403" s="5">
        <f>C403*Assumptions!$D$44*-1</f>
        <v>0</v>
      </c>
      <c r="Z403" s="5">
        <f t="shared" si="108"/>
        <v>2841.6330117986963</v>
      </c>
      <c r="AA403" s="5">
        <f t="shared" si="115"/>
        <v>1911944.8048796337</v>
      </c>
      <c r="AB403" s="3">
        <f>Assumptions!$E$45</f>
        <v>6.9899151946608562E-3</v>
      </c>
      <c r="AC403" s="5">
        <f t="shared" si="116"/>
        <v>1928150.7699344133</v>
      </c>
      <c r="AD403" s="5">
        <f>AC403*Assumptions!$E$43</f>
        <v>1726.804588811259</v>
      </c>
      <c r="AE403" s="2">
        <f>AD403*Assumptions!$D$44*-1</f>
        <v>-259.02068832168885</v>
      </c>
      <c r="AF403" s="2">
        <f>AC403*Assumptions!$E$46*-1</f>
        <v>-64.25991219807598</v>
      </c>
      <c r="AG403" s="22">
        <f t="shared" si="117"/>
        <v>1927827.4893338934</v>
      </c>
      <c r="AH403" s="5">
        <f>Model_30y[[#This Row],[Mortgage Payment]]+Model_30y[[#This Row],[Total Upkeep]]+Model_30y[[#This Row],[Monthly Investment]]</f>
        <v>-5054.000066998984</v>
      </c>
      <c r="AI403" s="5">
        <f>Model_Renter!D403*-1</f>
        <v>9257.7458473428615</v>
      </c>
      <c r="AJ403" s="5">
        <f t="shared" si="118"/>
        <v>4203.7457803438774</v>
      </c>
    </row>
    <row r="404" spans="1:36" x14ac:dyDescent="0.25">
      <c r="A404" s="17">
        <f t="shared" si="113"/>
        <v>402</v>
      </c>
      <c r="B404" s="17">
        <f t="shared" si="109"/>
        <v>34</v>
      </c>
      <c r="C404" s="23">
        <f>IFERROR(IPMT(Assumptions!$D$16/12,Model_30y!A404, 360,Assumptions!$D$8), 0)</f>
        <v>0</v>
      </c>
      <c r="D404" s="2">
        <f>IFERROR(PPMT(Assumptions!$D$16/12, Model_30y!A404, 360, Assumptions!$D$8), 0)</f>
        <v>0</v>
      </c>
      <c r="E404" s="2">
        <f t="shared" si="103"/>
        <v>0</v>
      </c>
      <c r="F404" s="2">
        <f>IF(I403&gt;1, Assumptions!$E$18, 0)*-1</f>
        <v>0</v>
      </c>
      <c r="G404" s="24">
        <f t="shared" si="104"/>
        <v>1</v>
      </c>
      <c r="H404" s="20">
        <f t="shared" si="110"/>
        <v>339999.99999999994</v>
      </c>
      <c r="I404" s="2">
        <f>MAX(Assumptions!$D$8-SUM(Model_30y!H404), 0)</f>
        <v>5.8207660913467407E-11</v>
      </c>
      <c r="J404" s="2">
        <f>J403*(1+(Assumptions!$E$51))</f>
        <v>2178865.6331789629</v>
      </c>
      <c r="K404" s="22">
        <f t="shared" si="105"/>
        <v>2178865.6331789629</v>
      </c>
      <c r="L404" s="5">
        <f t="shared" si="111"/>
        <v>424999.99999999971</v>
      </c>
      <c r="M404" s="63">
        <f>L404/Assumptions!$D$6</f>
        <v>0.99999999999999933</v>
      </c>
      <c r="N404" s="24">
        <f t="shared" si="119"/>
        <v>0</v>
      </c>
      <c r="O404" s="5">
        <f>N404*Assumptions!$E$25*-1</f>
        <v>0</v>
      </c>
      <c r="P404" s="20">
        <f>Assumptions!$E$35*J404*-1</f>
        <v>-4488.1064583358966</v>
      </c>
      <c r="Q404" s="5">
        <f>J404*Assumptions!$E$36*-1</f>
        <v>-1807.4520887609335</v>
      </c>
      <c r="R404" s="5">
        <f>(R392+(Model_30y!R392*Assumptions!$D$51))</f>
        <v>-1625.6193437824772</v>
      </c>
      <c r="S404" s="5">
        <f>S392+(S392*Assumptions!$D$51)</f>
        <v>0</v>
      </c>
      <c r="T404" s="5">
        <f t="shared" si="114"/>
        <v>0</v>
      </c>
      <c r="U404" s="22">
        <f t="shared" si="106"/>
        <v>-7921.1778908793076</v>
      </c>
      <c r="V404" s="5">
        <f>MAX(Assumptions!$E$18:$E$19)-U404</f>
        <v>10762.810902678004</v>
      </c>
      <c r="W404" s="5">
        <f t="shared" si="107"/>
        <v>0</v>
      </c>
      <c r="X404" s="5">
        <f t="shared" si="112"/>
        <v>-7921.1778908793076</v>
      </c>
      <c r="Y404" s="5">
        <f>C404*Assumptions!$D$44*-1</f>
        <v>0</v>
      </c>
      <c r="Z404" s="5">
        <f t="shared" si="108"/>
        <v>2841.6330117986963</v>
      </c>
      <c r="AA404" s="5">
        <f t="shared" si="115"/>
        <v>1927827.4893338934</v>
      </c>
      <c r="AB404" s="3">
        <f>Assumptions!$E$45</f>
        <v>6.9899151946608562E-3</v>
      </c>
      <c r="AC404" s="5">
        <f t="shared" si="116"/>
        <v>1944144.473006072</v>
      </c>
      <c r="AD404" s="5">
        <f>AC404*Assumptions!$E$43</f>
        <v>1741.1281574278173</v>
      </c>
      <c r="AE404" s="2">
        <f>AD404*Assumptions!$D$44*-1</f>
        <v>-261.16922361417261</v>
      </c>
      <c r="AF404" s="2">
        <f>AC404*Assumptions!$E$46*-1</f>
        <v>-64.792937919473204</v>
      </c>
      <c r="AG404" s="22">
        <f t="shared" si="117"/>
        <v>1943818.5108445385</v>
      </c>
      <c r="AH404" s="5">
        <f>Model_30y[[#This Row],[Mortgage Payment]]+Model_30y[[#This Row],[Total Upkeep]]+Model_30y[[#This Row],[Monthly Investment]]</f>
        <v>-5079.5448790806113</v>
      </c>
      <c r="AI404" s="5">
        <f>Model_Renter!D404*-1</f>
        <v>9257.7458473428615</v>
      </c>
      <c r="AJ404" s="5">
        <f t="shared" si="118"/>
        <v>4178.2009682622502</v>
      </c>
    </row>
    <row r="405" spans="1:36" x14ac:dyDescent="0.25">
      <c r="A405" s="17">
        <f t="shared" si="113"/>
        <v>403</v>
      </c>
      <c r="B405" s="17">
        <f t="shared" si="109"/>
        <v>34</v>
      </c>
      <c r="C405" s="23">
        <f>IFERROR(IPMT(Assumptions!$D$16/12,Model_30y!A405, 360,Assumptions!$D$8), 0)</f>
        <v>0</v>
      </c>
      <c r="D405" s="2">
        <f>IFERROR(PPMT(Assumptions!$D$16/12, Model_30y!A405, 360, Assumptions!$D$8), 0)</f>
        <v>0</v>
      </c>
      <c r="E405" s="2">
        <f t="shared" si="103"/>
        <v>0</v>
      </c>
      <c r="F405" s="2">
        <f>IF(I404&gt;1, Assumptions!$E$18, 0)*-1</f>
        <v>0</v>
      </c>
      <c r="G405" s="24">
        <f t="shared" si="104"/>
        <v>1</v>
      </c>
      <c r="H405" s="20">
        <f t="shared" si="110"/>
        <v>339999.99999999994</v>
      </c>
      <c r="I405" s="2">
        <f>MAX(Assumptions!$D$8-SUM(Model_30y!H405), 0)</f>
        <v>5.8207660913467407E-11</v>
      </c>
      <c r="J405" s="2">
        <f>J404*(1+(Assumptions!$E$51))</f>
        <v>2187742.6014764714</v>
      </c>
      <c r="K405" s="22">
        <f t="shared" si="105"/>
        <v>2187742.6014764714</v>
      </c>
      <c r="L405" s="5">
        <f t="shared" si="111"/>
        <v>424999.99999999971</v>
      </c>
      <c r="M405" s="63">
        <f>L405/Assumptions!$D$6</f>
        <v>0.99999999999999933</v>
      </c>
      <c r="N405" s="24">
        <f t="shared" si="119"/>
        <v>0</v>
      </c>
      <c r="O405" s="5">
        <f>N405*Assumptions!$E$25*-1</f>
        <v>0</v>
      </c>
      <c r="P405" s="20">
        <f>Assumptions!$E$35*J405*-1</f>
        <v>-4506.3915596013485</v>
      </c>
      <c r="Q405" s="5">
        <f>J405*Assumptions!$E$36*-1</f>
        <v>-1814.8158723035594</v>
      </c>
      <c r="R405" s="5">
        <f>(R393+(Model_30y!R393*Assumptions!$D$51))</f>
        <v>-1625.6193437824772</v>
      </c>
      <c r="S405" s="5">
        <f>S393+(S393*Assumptions!$D$51)</f>
        <v>0</v>
      </c>
      <c r="T405" s="5">
        <f t="shared" si="114"/>
        <v>0</v>
      </c>
      <c r="U405" s="22">
        <f t="shared" si="106"/>
        <v>-7946.8267756873847</v>
      </c>
      <c r="V405" s="5">
        <f>MAX(Assumptions!$E$18:$E$19)-U405</f>
        <v>10788.459787486081</v>
      </c>
      <c r="W405" s="5">
        <f t="shared" si="107"/>
        <v>0</v>
      </c>
      <c r="X405" s="5">
        <f t="shared" si="112"/>
        <v>-7946.8267756873847</v>
      </c>
      <c r="Y405" s="5">
        <f>C405*Assumptions!$D$44*-1</f>
        <v>0</v>
      </c>
      <c r="Z405" s="5">
        <f t="shared" si="108"/>
        <v>2841.6330117986963</v>
      </c>
      <c r="AA405" s="5">
        <f t="shared" si="115"/>
        <v>1943818.5108445385</v>
      </c>
      <c r="AB405" s="3">
        <f>Assumptions!$E$45</f>
        <v>6.9899151946608562E-3</v>
      </c>
      <c r="AC405" s="5">
        <f t="shared" si="116"/>
        <v>1960247.2704009523</v>
      </c>
      <c r="AD405" s="5">
        <f>AC405*Assumptions!$E$43</f>
        <v>1755.5494282473826</v>
      </c>
      <c r="AE405" s="2">
        <f>AD405*Assumptions!$D$44*-1</f>
        <v>-263.3324142371074</v>
      </c>
      <c r="AF405" s="2">
        <f>AC405*Assumptions!$E$46*-1</f>
        <v>-65.329599451793939</v>
      </c>
      <c r="AG405" s="22">
        <f t="shared" si="117"/>
        <v>1959918.6083872635</v>
      </c>
      <c r="AH405" s="5">
        <f>Model_30y[[#This Row],[Mortgage Payment]]+Model_30y[[#This Row],[Total Upkeep]]+Model_30y[[#This Row],[Monthly Investment]]</f>
        <v>-5105.1937638886884</v>
      </c>
      <c r="AI405" s="5">
        <f>Model_Renter!D405*-1</f>
        <v>9257.7458473428615</v>
      </c>
      <c r="AJ405" s="5">
        <f t="shared" si="118"/>
        <v>4152.552083454173</v>
      </c>
    </row>
    <row r="406" spans="1:36" x14ac:dyDescent="0.25">
      <c r="A406" s="17">
        <f t="shared" si="113"/>
        <v>404</v>
      </c>
      <c r="B406" s="17">
        <f t="shared" si="109"/>
        <v>34</v>
      </c>
      <c r="C406" s="23">
        <f>IFERROR(IPMT(Assumptions!$D$16/12,Model_30y!A406, 360,Assumptions!$D$8), 0)</f>
        <v>0</v>
      </c>
      <c r="D406" s="2">
        <f>IFERROR(PPMT(Assumptions!$D$16/12, Model_30y!A406, 360, Assumptions!$D$8), 0)</f>
        <v>0</v>
      </c>
      <c r="E406" s="2">
        <f t="shared" si="103"/>
        <v>0</v>
      </c>
      <c r="F406" s="2">
        <f>IF(I405&gt;1, Assumptions!$E$18, 0)*-1</f>
        <v>0</v>
      </c>
      <c r="G406" s="24">
        <f t="shared" si="104"/>
        <v>1</v>
      </c>
      <c r="H406" s="20">
        <f t="shared" si="110"/>
        <v>339999.99999999994</v>
      </c>
      <c r="I406" s="2">
        <f>MAX(Assumptions!$D$8-SUM(Model_30y!H406), 0)</f>
        <v>5.8207660913467407E-11</v>
      </c>
      <c r="J406" s="2">
        <f>J405*(1+(Assumptions!$E$51))</f>
        <v>2196655.7356416476</v>
      </c>
      <c r="K406" s="22">
        <f t="shared" si="105"/>
        <v>2196655.7356416476</v>
      </c>
      <c r="L406" s="5">
        <f t="shared" si="111"/>
        <v>424999.99999999971</v>
      </c>
      <c r="M406" s="63">
        <f>L406/Assumptions!$D$6</f>
        <v>0.99999999999999933</v>
      </c>
      <c r="N406" s="24">
        <f t="shared" si="119"/>
        <v>0</v>
      </c>
      <c r="O406" s="5">
        <f>N406*Assumptions!$E$25*-1</f>
        <v>0</v>
      </c>
      <c r="P406" s="20">
        <f>Assumptions!$E$35*J406*-1</f>
        <v>-4524.751156632753</v>
      </c>
      <c r="Q406" s="5">
        <f>J406*Assumptions!$E$36*-1</f>
        <v>-1822.2096568118541</v>
      </c>
      <c r="R406" s="5">
        <f>(R394+(Model_30y!R394*Assumptions!$D$51))</f>
        <v>-1625.6193437824772</v>
      </c>
      <c r="S406" s="5">
        <f>S394+(S394*Assumptions!$D$51)</f>
        <v>0</v>
      </c>
      <c r="T406" s="5">
        <f t="shared" si="114"/>
        <v>0</v>
      </c>
      <c r="U406" s="22">
        <f t="shared" si="106"/>
        <v>-7972.5801572270848</v>
      </c>
      <c r="V406" s="5">
        <f>MAX(Assumptions!$E$18:$E$19)-U406</f>
        <v>10814.213169025781</v>
      </c>
      <c r="W406" s="5">
        <f t="shared" si="107"/>
        <v>0</v>
      </c>
      <c r="X406" s="5">
        <f t="shared" si="112"/>
        <v>-7972.5801572270848</v>
      </c>
      <c r="Y406" s="5">
        <f>C406*Assumptions!$D$44*-1</f>
        <v>0</v>
      </c>
      <c r="Z406" s="5">
        <f t="shared" si="108"/>
        <v>2841.6330117986963</v>
      </c>
      <c r="AA406" s="5">
        <f t="shared" si="115"/>
        <v>1959918.6083872635</v>
      </c>
      <c r="AB406" s="3">
        <f>Assumptions!$E$45</f>
        <v>6.9899151946608562E-3</v>
      </c>
      <c r="AC406" s="5">
        <f t="shared" si="116"/>
        <v>1976459.9062601267</v>
      </c>
      <c r="AD406" s="5">
        <f>AC406*Assumptions!$E$43</f>
        <v>1770.0690677044674</v>
      </c>
      <c r="AE406" s="2">
        <f>AD406*Assumptions!$D$44*-1</f>
        <v>-265.51036015567013</v>
      </c>
      <c r="AF406" s="2">
        <f>AC406*Assumptions!$E$46*-1</f>
        <v>-65.869921595194256</v>
      </c>
      <c r="AG406" s="22">
        <f t="shared" si="117"/>
        <v>1976128.5259783759</v>
      </c>
      <c r="AH406" s="5">
        <f>Model_30y[[#This Row],[Mortgage Payment]]+Model_30y[[#This Row],[Total Upkeep]]+Model_30y[[#This Row],[Monthly Investment]]</f>
        <v>-5130.9471454283885</v>
      </c>
      <c r="AI406" s="5">
        <f>Model_Renter!D406*-1</f>
        <v>9257.7458473428615</v>
      </c>
      <c r="AJ406" s="5">
        <f t="shared" si="118"/>
        <v>4126.798701914473</v>
      </c>
    </row>
    <row r="407" spans="1:36" x14ac:dyDescent="0.25">
      <c r="A407" s="17">
        <f t="shared" si="113"/>
        <v>405</v>
      </c>
      <c r="B407" s="17">
        <f t="shared" si="109"/>
        <v>34</v>
      </c>
      <c r="C407" s="23">
        <f>IFERROR(IPMT(Assumptions!$D$16/12,Model_30y!A407, 360,Assumptions!$D$8), 0)</f>
        <v>0</v>
      </c>
      <c r="D407" s="2">
        <f>IFERROR(PPMT(Assumptions!$D$16/12, Model_30y!A407, 360, Assumptions!$D$8), 0)</f>
        <v>0</v>
      </c>
      <c r="E407" s="2">
        <f t="shared" si="103"/>
        <v>0</v>
      </c>
      <c r="F407" s="2">
        <f>IF(I406&gt;1, Assumptions!$E$18, 0)*-1</f>
        <v>0</v>
      </c>
      <c r="G407" s="24">
        <f t="shared" si="104"/>
        <v>1</v>
      </c>
      <c r="H407" s="20">
        <f t="shared" si="110"/>
        <v>339999.99999999994</v>
      </c>
      <c r="I407" s="2">
        <f>MAX(Assumptions!$D$8-SUM(Model_30y!H407), 0)</f>
        <v>5.8207660913467407E-11</v>
      </c>
      <c r="J407" s="2">
        <f>J406*(1+(Assumptions!$E$51))</f>
        <v>2205605.1830187128</v>
      </c>
      <c r="K407" s="22">
        <f t="shared" si="105"/>
        <v>2205605.1830187128</v>
      </c>
      <c r="L407" s="5">
        <f t="shared" si="111"/>
        <v>424999.99999999971</v>
      </c>
      <c r="M407" s="63">
        <f>L407/Assumptions!$D$6</f>
        <v>0.99999999999999933</v>
      </c>
      <c r="N407" s="24">
        <f t="shared" si="119"/>
        <v>0</v>
      </c>
      <c r="O407" s="5">
        <f>N407*Assumptions!$E$25*-1</f>
        <v>0</v>
      </c>
      <c r="P407" s="20">
        <f>Assumptions!$E$35*J407*-1</f>
        <v>-4543.1855529350814</v>
      </c>
      <c r="Q407" s="5">
        <f>J407*Assumptions!$E$36*-1</f>
        <v>-1829.633564513465</v>
      </c>
      <c r="R407" s="5">
        <f>(R395+(Model_30y!R395*Assumptions!$D$51))</f>
        <v>-1625.6193437824772</v>
      </c>
      <c r="S407" s="5">
        <f>S395+(S395*Assumptions!$D$51)</f>
        <v>0</v>
      </c>
      <c r="T407" s="5">
        <f t="shared" si="114"/>
        <v>0</v>
      </c>
      <c r="U407" s="22">
        <f t="shared" si="106"/>
        <v>-7998.4384612310241</v>
      </c>
      <c r="V407" s="5">
        <f>MAX(Assumptions!$E$18:$E$19)-U407</f>
        <v>10840.07147302972</v>
      </c>
      <c r="W407" s="5">
        <f t="shared" si="107"/>
        <v>0</v>
      </c>
      <c r="X407" s="5">
        <f t="shared" si="112"/>
        <v>-7998.4384612310241</v>
      </c>
      <c r="Y407" s="5">
        <f>C407*Assumptions!$D$44*-1</f>
        <v>0</v>
      </c>
      <c r="Z407" s="5">
        <f t="shared" si="108"/>
        <v>2841.6330117986963</v>
      </c>
      <c r="AA407" s="5">
        <f t="shared" si="115"/>
        <v>1976128.5259783759</v>
      </c>
      <c r="AB407" s="3">
        <f>Assumptions!$E$45</f>
        <v>6.9899151946608562E-3</v>
      </c>
      <c r="AC407" s="5">
        <f t="shared" si="116"/>
        <v>1992783.1298005136</v>
      </c>
      <c r="AD407" s="5">
        <f>AC407*Assumptions!$E$43</f>
        <v>1784.6877467793879</v>
      </c>
      <c r="AE407" s="2">
        <f>AD407*Assumptions!$D$44*-1</f>
        <v>-267.70316201690815</v>
      </c>
      <c r="AF407" s="2">
        <f>AC407*Assumptions!$E$46*-1</f>
        <v>-66.413929318994036</v>
      </c>
      <c r="AG407" s="22">
        <f t="shared" si="117"/>
        <v>1992449.0127091778</v>
      </c>
      <c r="AH407" s="5">
        <f>Model_30y[[#This Row],[Mortgage Payment]]+Model_30y[[#This Row],[Total Upkeep]]+Model_30y[[#This Row],[Monthly Investment]]</f>
        <v>-5156.8054494323278</v>
      </c>
      <c r="AI407" s="5">
        <f>Model_Renter!D407*-1</f>
        <v>9257.7458473428615</v>
      </c>
      <c r="AJ407" s="5">
        <f t="shared" si="118"/>
        <v>4100.9403979105336</v>
      </c>
    </row>
    <row r="408" spans="1:36" x14ac:dyDescent="0.25">
      <c r="A408" s="17">
        <f t="shared" si="113"/>
        <v>406</v>
      </c>
      <c r="B408" s="17">
        <f t="shared" si="109"/>
        <v>34</v>
      </c>
      <c r="C408" s="23">
        <f>IFERROR(IPMT(Assumptions!$D$16/12,Model_30y!A408, 360,Assumptions!$D$8), 0)</f>
        <v>0</v>
      </c>
      <c r="D408" s="2">
        <f>IFERROR(PPMT(Assumptions!$D$16/12, Model_30y!A408, 360, Assumptions!$D$8), 0)</f>
        <v>0</v>
      </c>
      <c r="E408" s="2">
        <f t="shared" si="103"/>
        <v>0</v>
      </c>
      <c r="F408" s="2">
        <f>IF(I407&gt;1, Assumptions!$E$18, 0)*-1</f>
        <v>0</v>
      </c>
      <c r="G408" s="24">
        <f t="shared" si="104"/>
        <v>1</v>
      </c>
      <c r="H408" s="20">
        <f t="shared" si="110"/>
        <v>339999.99999999994</v>
      </c>
      <c r="I408" s="2">
        <f>MAX(Assumptions!$D$8-SUM(Model_30y!H408), 0)</f>
        <v>5.8207660913467407E-11</v>
      </c>
      <c r="J408" s="2">
        <f>J407*(1+(Assumptions!$E$51))</f>
        <v>2214591.0915521872</v>
      </c>
      <c r="K408" s="22">
        <f t="shared" si="105"/>
        <v>2214591.0915521872</v>
      </c>
      <c r="L408" s="5">
        <f t="shared" si="111"/>
        <v>424999.99999999971</v>
      </c>
      <c r="M408" s="63">
        <f>L408/Assumptions!$D$6</f>
        <v>0.99999999999999933</v>
      </c>
      <c r="N408" s="24">
        <f t="shared" si="119"/>
        <v>0</v>
      </c>
      <c r="O408" s="5">
        <f>N408*Assumptions!$E$25*-1</f>
        <v>0</v>
      </c>
      <c r="P408" s="20">
        <f>Assumptions!$E$35*J408*-1</f>
        <v>-4561.6950532498213</v>
      </c>
      <c r="Q408" s="5">
        <f>J408*Assumptions!$E$36*-1</f>
        <v>-1837.0877181340104</v>
      </c>
      <c r="R408" s="5">
        <f>(R396+(Model_30y!R396*Assumptions!$D$51))</f>
        <v>-1625.6193437824772</v>
      </c>
      <c r="S408" s="5">
        <f>S396+(S396*Assumptions!$D$51)</f>
        <v>0</v>
      </c>
      <c r="T408" s="5">
        <f t="shared" si="114"/>
        <v>0</v>
      </c>
      <c r="U408" s="22">
        <f t="shared" si="106"/>
        <v>-8024.4021151663092</v>
      </c>
      <c r="V408" s="5">
        <f>MAX(Assumptions!$E$18:$E$19)-U408</f>
        <v>10866.035126965005</v>
      </c>
      <c r="W408" s="5">
        <f t="shared" si="107"/>
        <v>0</v>
      </c>
      <c r="X408" s="5">
        <f t="shared" si="112"/>
        <v>-8024.4021151663092</v>
      </c>
      <c r="Y408" s="5">
        <f>C408*Assumptions!$D$44*-1</f>
        <v>0</v>
      </c>
      <c r="Z408" s="5">
        <f t="shared" si="108"/>
        <v>2841.6330117986963</v>
      </c>
      <c r="AA408" s="5">
        <f t="shared" si="115"/>
        <v>1992449.0127091778</v>
      </c>
      <c r="AB408" s="3">
        <f>Assumptions!$E$45</f>
        <v>6.9899151946608562E-3</v>
      </c>
      <c r="AC408" s="5">
        <f t="shared" si="116"/>
        <v>2009217.6953494994</v>
      </c>
      <c r="AD408" s="5">
        <f>AC408*Assumptions!$E$43</f>
        <v>1799.4061410292697</v>
      </c>
      <c r="AE408" s="2">
        <f>AD408*Assumptions!$D$44*-1</f>
        <v>-269.91092115439045</v>
      </c>
      <c r="AF408" s="2">
        <f>AC408*Assumptions!$E$46*-1</f>
        <v>-66.961647762830907</v>
      </c>
      <c r="AG408" s="22">
        <f t="shared" si="117"/>
        <v>2008880.8227805821</v>
      </c>
      <c r="AH408" s="5">
        <f>Model_30y[[#This Row],[Mortgage Payment]]+Model_30y[[#This Row],[Total Upkeep]]+Model_30y[[#This Row],[Monthly Investment]]</f>
        <v>-5182.7691033676128</v>
      </c>
      <c r="AI408" s="5">
        <f>Model_Renter!D408*-1</f>
        <v>9257.7458473428615</v>
      </c>
      <c r="AJ408" s="5">
        <f t="shared" si="118"/>
        <v>4074.9767439752486</v>
      </c>
    </row>
    <row r="409" spans="1:36" x14ac:dyDescent="0.25">
      <c r="A409" s="17">
        <f t="shared" si="113"/>
        <v>407</v>
      </c>
      <c r="B409" s="17">
        <f t="shared" si="109"/>
        <v>34</v>
      </c>
      <c r="C409" s="23">
        <f>IFERROR(IPMT(Assumptions!$D$16/12,Model_30y!A409, 360,Assumptions!$D$8), 0)</f>
        <v>0</v>
      </c>
      <c r="D409" s="2">
        <f>IFERROR(PPMT(Assumptions!$D$16/12, Model_30y!A409, 360, Assumptions!$D$8), 0)</f>
        <v>0</v>
      </c>
      <c r="E409" s="2">
        <f t="shared" si="103"/>
        <v>0</v>
      </c>
      <c r="F409" s="2">
        <f>IF(I408&gt;1, Assumptions!$E$18, 0)*-1</f>
        <v>0</v>
      </c>
      <c r="G409" s="24">
        <f t="shared" si="104"/>
        <v>1</v>
      </c>
      <c r="H409" s="20">
        <f t="shared" si="110"/>
        <v>339999.99999999994</v>
      </c>
      <c r="I409" s="2">
        <f>MAX(Assumptions!$D$8-SUM(Model_30y!H409), 0)</f>
        <v>5.8207660913467407E-11</v>
      </c>
      <c r="J409" s="2">
        <f>J408*(1+(Assumptions!$E$51))</f>
        <v>2223613.6097893356</v>
      </c>
      <c r="K409" s="22">
        <f t="shared" si="105"/>
        <v>2223613.6097893356</v>
      </c>
      <c r="L409" s="5">
        <f t="shared" si="111"/>
        <v>424999.99999999971</v>
      </c>
      <c r="M409" s="63">
        <f>L409/Assumptions!$D$6</f>
        <v>0.99999999999999933</v>
      </c>
      <c r="N409" s="24">
        <f t="shared" si="119"/>
        <v>0</v>
      </c>
      <c r="O409" s="5">
        <f>N409*Assumptions!$E$25*-1</f>
        <v>0</v>
      </c>
      <c r="P409" s="20">
        <f>Assumptions!$E$35*J409*-1</f>
        <v>-4580.2799635600168</v>
      </c>
      <c r="Q409" s="5">
        <f>J409*Assumptions!$E$36*-1</f>
        <v>-1844.5722408991085</v>
      </c>
      <c r="R409" s="5">
        <f>(R397+(Model_30y!R397*Assumptions!$D$51))</f>
        <v>-1625.6193437824772</v>
      </c>
      <c r="S409" s="5">
        <f>S397+(S397*Assumptions!$D$51)</f>
        <v>0</v>
      </c>
      <c r="T409" s="5">
        <f t="shared" si="114"/>
        <v>0</v>
      </c>
      <c r="U409" s="22">
        <f t="shared" si="106"/>
        <v>-8050.4715482416032</v>
      </c>
      <c r="V409" s="5">
        <f>MAX(Assumptions!$E$18:$E$19)-U409</f>
        <v>10892.104560040299</v>
      </c>
      <c r="W409" s="5">
        <f t="shared" si="107"/>
        <v>0</v>
      </c>
      <c r="X409" s="5">
        <f t="shared" si="112"/>
        <v>-8050.4715482416032</v>
      </c>
      <c r="Y409" s="5">
        <f>C409*Assumptions!$D$44*-1</f>
        <v>0</v>
      </c>
      <c r="Z409" s="5">
        <f t="shared" si="108"/>
        <v>2841.6330117986963</v>
      </c>
      <c r="AA409" s="5">
        <f t="shared" si="115"/>
        <v>2008880.8227805821</v>
      </c>
      <c r="AB409" s="3">
        <f>Assumptions!$E$45</f>
        <v>6.9899151946608562E-3</v>
      </c>
      <c r="AC409" s="5">
        <f t="shared" si="116"/>
        <v>2025764.3623797975</v>
      </c>
      <c r="AD409" s="5">
        <f>AC409*Assumptions!$E$43</f>
        <v>1814.2249306192678</v>
      </c>
      <c r="AE409" s="2">
        <f>AD409*Assumptions!$D$44*-1</f>
        <v>-272.13373959289015</v>
      </c>
      <c r="AF409" s="2">
        <f>AC409*Assumptions!$E$46*-1</f>
        <v>-67.513102237821954</v>
      </c>
      <c r="AG409" s="22">
        <f t="shared" si="117"/>
        <v>2025424.7155379667</v>
      </c>
      <c r="AH409" s="5">
        <f>Model_30y[[#This Row],[Mortgage Payment]]+Model_30y[[#This Row],[Total Upkeep]]+Model_30y[[#This Row],[Monthly Investment]]</f>
        <v>-5208.8385364429068</v>
      </c>
      <c r="AI409" s="5">
        <f>Model_Renter!D409*-1</f>
        <v>9257.7458473428615</v>
      </c>
      <c r="AJ409" s="5">
        <f t="shared" si="118"/>
        <v>4048.9073108999546</v>
      </c>
    </row>
    <row r="410" spans="1:36" x14ac:dyDescent="0.25">
      <c r="A410" s="17">
        <f t="shared" si="113"/>
        <v>408</v>
      </c>
      <c r="B410" s="17">
        <f t="shared" si="109"/>
        <v>34</v>
      </c>
      <c r="C410" s="23">
        <f>IFERROR(IPMT(Assumptions!$D$16/12,Model_30y!A410, 360,Assumptions!$D$8), 0)</f>
        <v>0</v>
      </c>
      <c r="D410" s="2">
        <f>IFERROR(PPMT(Assumptions!$D$16/12, Model_30y!A410, 360, Assumptions!$D$8), 0)</f>
        <v>0</v>
      </c>
      <c r="E410" s="2">
        <f t="shared" si="103"/>
        <v>0</v>
      </c>
      <c r="F410" s="2">
        <f>IF(I409&gt;1, Assumptions!$E$18, 0)*-1</f>
        <v>0</v>
      </c>
      <c r="G410" s="24">
        <f t="shared" si="104"/>
        <v>1</v>
      </c>
      <c r="H410" s="20">
        <f t="shared" si="110"/>
        <v>339999.99999999994</v>
      </c>
      <c r="I410" s="2">
        <f>MAX(Assumptions!$D$8-SUM(Model_30y!H410), 0)</f>
        <v>5.8207660913467407E-11</v>
      </c>
      <c r="J410" s="2">
        <f>J409*(1+(Assumptions!$E$51))</f>
        <v>2232672.8868826227</v>
      </c>
      <c r="K410" s="22">
        <f t="shared" si="105"/>
        <v>2232672.8868826227</v>
      </c>
      <c r="L410" s="5">
        <f t="shared" si="111"/>
        <v>424999.99999999971</v>
      </c>
      <c r="M410" s="63">
        <f>L410/Assumptions!$D$6</f>
        <v>0.99999999999999933</v>
      </c>
      <c r="N410" s="24">
        <f t="shared" si="119"/>
        <v>0</v>
      </c>
      <c r="O410" s="5">
        <f>N410*Assumptions!$E$25*-1</f>
        <v>0</v>
      </c>
      <c r="P410" s="20">
        <f>Assumptions!$E$35*J410*-1</f>
        <v>-4598.9405910953255</v>
      </c>
      <c r="Q410" s="5">
        <f>J410*Assumptions!$E$36*-1</f>
        <v>-1852.0872565364132</v>
      </c>
      <c r="R410" s="5">
        <f>(R398+(Model_30y!R398*Assumptions!$D$51))</f>
        <v>-1625.6193437824772</v>
      </c>
      <c r="S410" s="5">
        <f>S398+(S398*Assumptions!$D$51)</f>
        <v>0</v>
      </c>
      <c r="T410" s="5">
        <f t="shared" si="114"/>
        <v>0</v>
      </c>
      <c r="U410" s="22">
        <f t="shared" si="106"/>
        <v>-8076.6471914142166</v>
      </c>
      <c r="V410" s="5">
        <f>MAX(Assumptions!$E$18:$E$19)-U410</f>
        <v>10918.280203212913</v>
      </c>
      <c r="W410" s="5">
        <f t="shared" si="107"/>
        <v>0</v>
      </c>
      <c r="X410" s="5">
        <f t="shared" si="112"/>
        <v>-8076.6471914142166</v>
      </c>
      <c r="Y410" s="5">
        <f>C410*Assumptions!$D$44*-1</f>
        <v>0</v>
      </c>
      <c r="Z410" s="5">
        <f t="shared" si="108"/>
        <v>2841.6330117986963</v>
      </c>
      <c r="AA410" s="5">
        <f t="shared" si="115"/>
        <v>2025424.7155379667</v>
      </c>
      <c r="AB410" s="3">
        <f>Assumptions!$E$45</f>
        <v>6.9899151946608562E-3</v>
      </c>
      <c r="AC410" s="5">
        <f t="shared" si="116"/>
        <v>2042423.8955445457</v>
      </c>
      <c r="AD410" s="5">
        <f>AC410*Assumptions!$E$43</f>
        <v>1829.1448003539977</v>
      </c>
      <c r="AE410" s="2">
        <f>AD410*Assumptions!$D$44*-1</f>
        <v>-274.37172005309964</v>
      </c>
      <c r="AF410" s="2">
        <f>AC410*Assumptions!$E$46*-1</f>
        <v>-68.0683182277334</v>
      </c>
      <c r="AG410" s="22">
        <f t="shared" si="117"/>
        <v>2042081.4555062649</v>
      </c>
      <c r="AH410" s="5">
        <f>Model_30y[[#This Row],[Mortgage Payment]]+Model_30y[[#This Row],[Total Upkeep]]+Model_30y[[#This Row],[Monthly Investment]]</f>
        <v>-5235.0141796155203</v>
      </c>
      <c r="AI410" s="5">
        <f>Model_Renter!D410*-1</f>
        <v>9257.7458473428615</v>
      </c>
      <c r="AJ410" s="5">
        <f t="shared" si="118"/>
        <v>4022.7316677273411</v>
      </c>
    </row>
    <row r="411" spans="1:36" x14ac:dyDescent="0.25">
      <c r="A411" s="17">
        <f t="shared" si="113"/>
        <v>409</v>
      </c>
      <c r="B411" s="17">
        <f t="shared" si="109"/>
        <v>35</v>
      </c>
      <c r="C411" s="23">
        <f>IFERROR(IPMT(Assumptions!$D$16/12,Model_30y!A411, 360,Assumptions!$D$8), 0)</f>
        <v>0</v>
      </c>
      <c r="D411" s="2">
        <f>IFERROR(PPMT(Assumptions!$D$16/12, Model_30y!A411, 360, Assumptions!$D$8), 0)</f>
        <v>0</v>
      </c>
      <c r="E411" s="2">
        <f t="shared" si="103"/>
        <v>0</v>
      </c>
      <c r="F411" s="2">
        <f>IF(I410&gt;1, Assumptions!$E$18, 0)*-1</f>
        <v>0</v>
      </c>
      <c r="G411" s="24">
        <f t="shared" si="104"/>
        <v>1</v>
      </c>
      <c r="H411" s="20">
        <f t="shared" si="110"/>
        <v>339999.99999999994</v>
      </c>
      <c r="I411" s="2">
        <f>MAX(Assumptions!$D$8-SUM(Model_30y!H411), 0)</f>
        <v>5.8207660913467407E-11</v>
      </c>
      <c r="J411" s="2">
        <f>J410*(1+(Assumptions!$E$51))</f>
        <v>2241769.0725921779</v>
      </c>
      <c r="K411" s="22">
        <f t="shared" si="105"/>
        <v>2241769.0725921779</v>
      </c>
      <c r="L411" s="5">
        <f t="shared" si="111"/>
        <v>424999.99999999971</v>
      </c>
      <c r="M411" s="63">
        <f>L411/Assumptions!$D$6</f>
        <v>0.99999999999999933</v>
      </c>
      <c r="N411" s="24">
        <f t="shared" si="119"/>
        <v>0</v>
      </c>
      <c r="O411" s="5">
        <f>N411*Assumptions!$E$25*-1</f>
        <v>0</v>
      </c>
      <c r="P411" s="20">
        <f>Assumptions!$E$35*J411*-1</f>
        <v>-4617.6772443370919</v>
      </c>
      <c r="Q411" s="5">
        <f>J411*Assumptions!$E$36*-1</f>
        <v>-1859.6328892776601</v>
      </c>
      <c r="R411" s="5">
        <f>(R399+(Model_30y!R399*Assumptions!$D$51))</f>
        <v>-1706.9003109716011</v>
      </c>
      <c r="S411" s="5">
        <f>S399+(S399*Assumptions!$D$51)</f>
        <v>0</v>
      </c>
      <c r="T411" s="5">
        <f t="shared" si="114"/>
        <v>0</v>
      </c>
      <c r="U411" s="22">
        <f t="shared" si="106"/>
        <v>-8184.2104445863533</v>
      </c>
      <c r="V411" s="5">
        <f>MAX(Assumptions!$E$18:$E$19)-U411</f>
        <v>11025.84345638505</v>
      </c>
      <c r="W411" s="5">
        <f t="shared" si="107"/>
        <v>0</v>
      </c>
      <c r="X411" s="5">
        <f t="shared" si="112"/>
        <v>-8184.2104445863533</v>
      </c>
      <c r="Y411" s="5">
        <f>C411*Assumptions!$D$44*-1</f>
        <v>0</v>
      </c>
      <c r="Z411" s="5">
        <f t="shared" si="108"/>
        <v>2841.6330117986963</v>
      </c>
      <c r="AA411" s="5">
        <f t="shared" si="115"/>
        <v>2042081.4555062649</v>
      </c>
      <c r="AB411" s="3">
        <f>Assumptions!$E$45</f>
        <v>6.9899151946608562E-3</v>
      </c>
      <c r="AC411" s="5">
        <f t="shared" si="116"/>
        <v>2059197.064712642</v>
      </c>
      <c r="AD411" s="5">
        <f>AC411*Assumptions!$E$43</f>
        <v>1844.1664397091822</v>
      </c>
      <c r="AE411" s="2">
        <f>AD411*Assumptions!$D$44*-1</f>
        <v>-276.62496595637731</v>
      </c>
      <c r="AF411" s="2">
        <f>AC411*Assumptions!$E$46*-1</f>
        <v>-68.627321390158301</v>
      </c>
      <c r="AG411" s="22">
        <f t="shared" si="117"/>
        <v>2058851.8124252954</v>
      </c>
      <c r="AH411" s="5">
        <f>Model_30y[[#This Row],[Mortgage Payment]]+Model_30y[[#This Row],[Total Upkeep]]+Model_30y[[#This Row],[Monthly Investment]]</f>
        <v>-5342.577432787657</v>
      </c>
      <c r="AI411" s="5">
        <f>Model_Renter!D411*-1</f>
        <v>9603.9855420334861</v>
      </c>
      <c r="AJ411" s="5">
        <f t="shared" si="118"/>
        <v>4261.4081092458291</v>
      </c>
    </row>
    <row r="412" spans="1:36" x14ac:dyDescent="0.25">
      <c r="A412" s="17">
        <f t="shared" si="113"/>
        <v>410</v>
      </c>
      <c r="B412" s="17">
        <f t="shared" si="109"/>
        <v>35</v>
      </c>
      <c r="C412" s="23">
        <f>IFERROR(IPMT(Assumptions!$D$16/12,Model_30y!A412, 360,Assumptions!$D$8), 0)</f>
        <v>0</v>
      </c>
      <c r="D412" s="2">
        <f>IFERROR(PPMT(Assumptions!$D$16/12, Model_30y!A412, 360, Assumptions!$D$8), 0)</f>
        <v>0</v>
      </c>
      <c r="E412" s="2">
        <f t="shared" si="103"/>
        <v>0</v>
      </c>
      <c r="F412" s="2">
        <f>IF(I411&gt;1, Assumptions!$E$18, 0)*-1</f>
        <v>0</v>
      </c>
      <c r="G412" s="24">
        <f t="shared" si="104"/>
        <v>1</v>
      </c>
      <c r="H412" s="20">
        <f t="shared" si="110"/>
        <v>339999.99999999994</v>
      </c>
      <c r="I412" s="2">
        <f>MAX(Assumptions!$D$8-SUM(Model_30y!H412), 0)</f>
        <v>5.8207660913467407E-11</v>
      </c>
      <c r="J412" s="2">
        <f>J411*(1+(Assumptions!$E$51))</f>
        <v>2250902.317288273</v>
      </c>
      <c r="K412" s="22">
        <f t="shared" si="105"/>
        <v>2250902.317288273</v>
      </c>
      <c r="L412" s="5">
        <f t="shared" si="111"/>
        <v>424999.99999999971</v>
      </c>
      <c r="M412" s="63">
        <f>L412/Assumptions!$D$6</f>
        <v>0.99999999999999933</v>
      </c>
      <c r="N412" s="24">
        <f t="shared" si="119"/>
        <v>0</v>
      </c>
      <c r="O412" s="5">
        <f>N412*Assumptions!$E$25*-1</f>
        <v>0</v>
      </c>
      <c r="P412" s="20">
        <f>Assumptions!$E$35*J412*-1</f>
        <v>-4636.4902330234581</v>
      </c>
      <c r="Q412" s="5">
        <f>J412*Assumptions!$E$36*-1</f>
        <v>-1867.209263860721</v>
      </c>
      <c r="R412" s="5">
        <f>(R400+(Model_30y!R400*Assumptions!$D$51))</f>
        <v>-1706.9003109716011</v>
      </c>
      <c r="S412" s="5">
        <f>S400+(S400*Assumptions!$D$51)</f>
        <v>0</v>
      </c>
      <c r="T412" s="5">
        <f t="shared" si="114"/>
        <v>0</v>
      </c>
      <c r="U412" s="22">
        <f t="shared" si="106"/>
        <v>-8210.5998078557805</v>
      </c>
      <c r="V412" s="5">
        <f>MAX(Assumptions!$E$18:$E$19)-U412</f>
        <v>11052.232819654477</v>
      </c>
      <c r="W412" s="5">
        <f t="shared" si="107"/>
        <v>0</v>
      </c>
      <c r="X412" s="5">
        <f t="shared" si="112"/>
        <v>-8210.5998078557805</v>
      </c>
      <c r="Y412" s="5">
        <f>C412*Assumptions!$D$44*-1</f>
        <v>0</v>
      </c>
      <c r="Z412" s="5">
        <f t="shared" si="108"/>
        <v>2841.6330117986963</v>
      </c>
      <c r="AA412" s="5">
        <f t="shared" si="115"/>
        <v>2058851.8124252954</v>
      </c>
      <c r="AB412" s="3">
        <f>Assumptions!$E$45</f>
        <v>6.9899151946608562E-3</v>
      </c>
      <c r="AC412" s="5">
        <f t="shared" si="116"/>
        <v>2076084.6450043207</v>
      </c>
      <c r="AD412" s="5">
        <f>AC412*Assumptions!$E$43</f>
        <v>1859.2905428635124</v>
      </c>
      <c r="AE412" s="2">
        <f>AD412*Assumptions!$D$44*-1</f>
        <v>-278.89358142952688</v>
      </c>
      <c r="AF412" s="2">
        <f>AC412*Assumptions!$E$46*-1</f>
        <v>-69.190137557702158</v>
      </c>
      <c r="AG412" s="22">
        <f t="shared" si="117"/>
        <v>2075736.5612853335</v>
      </c>
      <c r="AH412" s="5">
        <f>Model_30y[[#This Row],[Mortgage Payment]]+Model_30y[[#This Row],[Total Upkeep]]+Model_30y[[#This Row],[Monthly Investment]]</f>
        <v>-5368.9667960570841</v>
      </c>
      <c r="AI412" s="5">
        <f>Model_Renter!D412*-1</f>
        <v>9603.9855420334861</v>
      </c>
      <c r="AJ412" s="5">
        <f t="shared" si="118"/>
        <v>4235.018745976402</v>
      </c>
    </row>
    <row r="413" spans="1:36" x14ac:dyDescent="0.25">
      <c r="A413" s="17">
        <f t="shared" si="113"/>
        <v>411</v>
      </c>
      <c r="B413" s="17">
        <f t="shared" si="109"/>
        <v>35</v>
      </c>
      <c r="C413" s="23">
        <f>IFERROR(IPMT(Assumptions!$D$16/12,Model_30y!A413, 360,Assumptions!$D$8), 0)</f>
        <v>0</v>
      </c>
      <c r="D413" s="2">
        <f>IFERROR(PPMT(Assumptions!$D$16/12, Model_30y!A413, 360, Assumptions!$D$8), 0)</f>
        <v>0</v>
      </c>
      <c r="E413" s="2">
        <f t="shared" si="103"/>
        <v>0</v>
      </c>
      <c r="F413" s="2">
        <f>IF(I412&gt;1, Assumptions!$E$18, 0)*-1</f>
        <v>0</v>
      </c>
      <c r="G413" s="24">
        <f t="shared" si="104"/>
        <v>1</v>
      </c>
      <c r="H413" s="20">
        <f t="shared" si="110"/>
        <v>339999.99999999994</v>
      </c>
      <c r="I413" s="2">
        <f>MAX(Assumptions!$D$8-SUM(Model_30y!H413), 0)</f>
        <v>5.8207660913467407E-11</v>
      </c>
      <c r="J413" s="2">
        <f>J412*(1+(Assumptions!$E$51))</f>
        <v>2260072.7719538063</v>
      </c>
      <c r="K413" s="22">
        <f t="shared" si="105"/>
        <v>2260072.7719538063</v>
      </c>
      <c r="L413" s="5">
        <f t="shared" si="111"/>
        <v>424999.99999999971</v>
      </c>
      <c r="M413" s="63">
        <f>L413/Assumptions!$D$6</f>
        <v>0.99999999999999933</v>
      </c>
      <c r="N413" s="24">
        <f t="shared" si="119"/>
        <v>0</v>
      </c>
      <c r="O413" s="5">
        <f>N413*Assumptions!$E$25*-1</f>
        <v>0</v>
      </c>
      <c r="P413" s="20">
        <f>Assumptions!$E$35*J413*-1</f>
        <v>-4655.3798681544713</v>
      </c>
      <c r="Q413" s="5">
        <f>J413*Assumptions!$E$36*-1</f>
        <v>-1874.8165055316642</v>
      </c>
      <c r="R413" s="5">
        <f>(R401+(Model_30y!R401*Assumptions!$D$51))</f>
        <v>-1706.9003109716011</v>
      </c>
      <c r="S413" s="5">
        <f>S401+(S401*Assumptions!$D$51)</f>
        <v>0</v>
      </c>
      <c r="T413" s="5">
        <f t="shared" si="114"/>
        <v>0</v>
      </c>
      <c r="U413" s="22">
        <f t="shared" si="106"/>
        <v>-8237.0966846577358</v>
      </c>
      <c r="V413" s="5">
        <f>MAX(Assumptions!$E$18:$E$19)-U413</f>
        <v>11078.729696456432</v>
      </c>
      <c r="W413" s="5">
        <f t="shared" si="107"/>
        <v>0</v>
      </c>
      <c r="X413" s="5">
        <f t="shared" si="112"/>
        <v>-8237.0966846577358</v>
      </c>
      <c r="Y413" s="5">
        <f>C413*Assumptions!$D$44*-1</f>
        <v>0</v>
      </c>
      <c r="Z413" s="5">
        <f t="shared" si="108"/>
        <v>2841.6330117986963</v>
      </c>
      <c r="AA413" s="5">
        <f t="shared" si="115"/>
        <v>2075736.5612853335</v>
      </c>
      <c r="AB413" s="3">
        <f>Assumptions!$E$45</f>
        <v>6.9899151946608562E-3</v>
      </c>
      <c r="AC413" s="5">
        <f t="shared" si="116"/>
        <v>2093087.4168269734</v>
      </c>
      <c r="AD413" s="5">
        <f>AC413*Assumptions!$E$43</f>
        <v>1874.5178087307279</v>
      </c>
      <c r="AE413" s="2">
        <f>AD413*Assumptions!$D$44*-1</f>
        <v>-281.1776713096092</v>
      </c>
      <c r="AF413" s="2">
        <f>AC413*Assumptions!$E$46*-1</f>
        <v>-69.756792739176774</v>
      </c>
      <c r="AG413" s="22">
        <f t="shared" si="117"/>
        <v>2092736.4823629246</v>
      </c>
      <c r="AH413" s="5">
        <f>Model_30y[[#This Row],[Mortgage Payment]]+Model_30y[[#This Row],[Total Upkeep]]+Model_30y[[#This Row],[Monthly Investment]]</f>
        <v>-5395.4636728590394</v>
      </c>
      <c r="AI413" s="5">
        <f>Model_Renter!D413*-1</f>
        <v>9603.9855420334861</v>
      </c>
      <c r="AJ413" s="5">
        <f t="shared" si="118"/>
        <v>4208.5218691744467</v>
      </c>
    </row>
    <row r="414" spans="1:36" x14ac:dyDescent="0.25">
      <c r="A414" s="17">
        <f t="shared" si="113"/>
        <v>412</v>
      </c>
      <c r="B414" s="17">
        <f t="shared" si="109"/>
        <v>35</v>
      </c>
      <c r="C414" s="23">
        <f>IFERROR(IPMT(Assumptions!$D$16/12,Model_30y!A414, 360,Assumptions!$D$8), 0)</f>
        <v>0</v>
      </c>
      <c r="D414" s="2">
        <f>IFERROR(PPMT(Assumptions!$D$16/12, Model_30y!A414, 360, Assumptions!$D$8), 0)</f>
        <v>0</v>
      </c>
      <c r="E414" s="2">
        <f t="shared" si="103"/>
        <v>0</v>
      </c>
      <c r="F414" s="2">
        <f>IF(I413&gt;1, Assumptions!$E$18, 0)*-1</f>
        <v>0</v>
      </c>
      <c r="G414" s="24">
        <f t="shared" si="104"/>
        <v>1</v>
      </c>
      <c r="H414" s="20">
        <f t="shared" si="110"/>
        <v>339999.99999999994</v>
      </c>
      <c r="I414" s="2">
        <f>MAX(Assumptions!$D$8-SUM(Model_30y!H414), 0)</f>
        <v>5.8207660913467407E-11</v>
      </c>
      <c r="J414" s="2">
        <f>J413*(1+(Assumptions!$E$51))</f>
        <v>2269280.5881867995</v>
      </c>
      <c r="K414" s="22">
        <f t="shared" si="105"/>
        <v>2269280.5881867995</v>
      </c>
      <c r="L414" s="5">
        <f t="shared" si="111"/>
        <v>424999.99999999971</v>
      </c>
      <c r="M414" s="63">
        <f>L414/Assumptions!$D$6</f>
        <v>0.99999999999999933</v>
      </c>
      <c r="N414" s="24">
        <f t="shared" si="119"/>
        <v>0</v>
      </c>
      <c r="O414" s="5">
        <f>N414*Assumptions!$E$25*-1</f>
        <v>0</v>
      </c>
      <c r="P414" s="20">
        <f>Assumptions!$E$35*J414*-1</f>
        <v>-4674.3464619972383</v>
      </c>
      <c r="Q414" s="5">
        <f>J414*Assumptions!$E$36*-1</f>
        <v>-1882.4547400468275</v>
      </c>
      <c r="R414" s="5">
        <f>(R402+(Model_30y!R402*Assumptions!$D$51))</f>
        <v>-1706.9003109716011</v>
      </c>
      <c r="S414" s="5">
        <f>S402+(S402*Assumptions!$D$51)</f>
        <v>0</v>
      </c>
      <c r="T414" s="5">
        <f t="shared" si="114"/>
        <v>0</v>
      </c>
      <c r="U414" s="22">
        <f t="shared" si="106"/>
        <v>-8263.7015130156669</v>
      </c>
      <c r="V414" s="5">
        <f>MAX(Assumptions!$E$18:$E$19)-U414</f>
        <v>11105.334524814363</v>
      </c>
      <c r="W414" s="5">
        <f t="shared" si="107"/>
        <v>0</v>
      </c>
      <c r="X414" s="5">
        <f t="shared" si="112"/>
        <v>-8263.7015130156669</v>
      </c>
      <c r="Y414" s="5">
        <f>C414*Assumptions!$D$44*-1</f>
        <v>0</v>
      </c>
      <c r="Z414" s="5">
        <f t="shared" si="108"/>
        <v>2841.6330117986963</v>
      </c>
      <c r="AA414" s="5">
        <f t="shared" si="115"/>
        <v>2092736.4823629246</v>
      </c>
      <c r="AB414" s="3">
        <f>Assumptions!$E$45</f>
        <v>6.9899151946608562E-3</v>
      </c>
      <c r="AC414" s="5">
        <f t="shared" si="116"/>
        <v>2110206.165911213</v>
      </c>
      <c r="AD414" s="5">
        <f>AC414*Assumptions!$E$43</f>
        <v>1889.8489409919148</v>
      </c>
      <c r="AE414" s="2">
        <f>AD414*Assumptions!$D$44*-1</f>
        <v>-283.47734114878722</v>
      </c>
      <c r="AF414" s="2">
        <f>AC414*Assumptions!$E$46*-1</f>
        <v>-70.327313120802089</v>
      </c>
      <c r="AG414" s="22">
        <f t="shared" si="117"/>
        <v>2109852.3612569435</v>
      </c>
      <c r="AH414" s="5">
        <f>Model_30y[[#This Row],[Mortgage Payment]]+Model_30y[[#This Row],[Total Upkeep]]+Model_30y[[#This Row],[Monthly Investment]]</f>
        <v>-5422.0685012169706</v>
      </c>
      <c r="AI414" s="5">
        <f>Model_Renter!D414*-1</f>
        <v>9603.9855420334861</v>
      </c>
      <c r="AJ414" s="5">
        <f t="shared" si="118"/>
        <v>4181.9170408165155</v>
      </c>
    </row>
    <row r="415" spans="1:36" x14ac:dyDescent="0.25">
      <c r="A415" s="17">
        <f t="shared" si="113"/>
        <v>413</v>
      </c>
      <c r="B415" s="17">
        <f t="shared" si="109"/>
        <v>35</v>
      </c>
      <c r="C415" s="23">
        <f>IFERROR(IPMT(Assumptions!$D$16/12,Model_30y!A415, 360,Assumptions!$D$8), 0)</f>
        <v>0</v>
      </c>
      <c r="D415" s="2">
        <f>IFERROR(PPMT(Assumptions!$D$16/12, Model_30y!A415, 360, Assumptions!$D$8), 0)</f>
        <v>0</v>
      </c>
      <c r="E415" s="2">
        <f t="shared" si="103"/>
        <v>0</v>
      </c>
      <c r="F415" s="2">
        <f>IF(I414&gt;1, Assumptions!$E$18, 0)*-1</f>
        <v>0</v>
      </c>
      <c r="G415" s="24">
        <f t="shared" si="104"/>
        <v>1</v>
      </c>
      <c r="H415" s="20">
        <f t="shared" si="110"/>
        <v>339999.99999999994</v>
      </c>
      <c r="I415" s="2">
        <f>MAX(Assumptions!$D$8-SUM(Model_30y!H415), 0)</f>
        <v>5.8207660913467407E-11</v>
      </c>
      <c r="J415" s="2">
        <f>J414*(1+(Assumptions!$E$51))</f>
        <v>2278525.9182029031</v>
      </c>
      <c r="K415" s="22">
        <f t="shared" si="105"/>
        <v>2278525.9182029031</v>
      </c>
      <c r="L415" s="5">
        <f t="shared" si="111"/>
        <v>424999.99999999971</v>
      </c>
      <c r="M415" s="63">
        <f>L415/Assumptions!$D$6</f>
        <v>0.99999999999999933</v>
      </c>
      <c r="N415" s="24">
        <f t="shared" si="119"/>
        <v>0</v>
      </c>
      <c r="O415" s="5">
        <f>N415*Assumptions!$E$25*-1</f>
        <v>0</v>
      </c>
      <c r="P415" s="20">
        <f>Assumptions!$E$35*J415*-1</f>
        <v>-4693.3903280910736</v>
      </c>
      <c r="Q415" s="5">
        <f>J415*Assumptions!$E$36*-1</f>
        <v>-1890.1240936748941</v>
      </c>
      <c r="R415" s="5">
        <f>(R403+(Model_30y!R403*Assumptions!$D$51))</f>
        <v>-1706.9003109716011</v>
      </c>
      <c r="S415" s="5">
        <f>S403+(S403*Assumptions!$D$51)</f>
        <v>0</v>
      </c>
      <c r="T415" s="5">
        <f t="shared" si="114"/>
        <v>0</v>
      </c>
      <c r="U415" s="22">
        <f t="shared" si="106"/>
        <v>-8290.4147327375686</v>
      </c>
      <c r="V415" s="5">
        <f>MAX(Assumptions!$E$18:$E$19)-U415</f>
        <v>11132.047744536265</v>
      </c>
      <c r="W415" s="5">
        <f t="shared" si="107"/>
        <v>0</v>
      </c>
      <c r="X415" s="5">
        <f t="shared" si="112"/>
        <v>-8290.4147327375686</v>
      </c>
      <c r="Y415" s="5">
        <f>C415*Assumptions!$D$44*-1</f>
        <v>0</v>
      </c>
      <c r="Z415" s="5">
        <f t="shared" si="108"/>
        <v>2841.6330117986963</v>
      </c>
      <c r="AA415" s="5">
        <f t="shared" si="115"/>
        <v>2109852.3612569435</v>
      </c>
      <c r="AB415" s="3">
        <f>Assumptions!$E$45</f>
        <v>6.9899151946608562E-3</v>
      </c>
      <c r="AC415" s="5">
        <f t="shared" si="116"/>
        <v>2127441.6833471833</v>
      </c>
      <c r="AD415" s="5">
        <f>AC415*Assumptions!$E$43</f>
        <v>1905.2846481280233</v>
      </c>
      <c r="AE415" s="2">
        <f>AD415*Assumptions!$D$44*-1</f>
        <v>-285.79269721920349</v>
      </c>
      <c r="AF415" s="2">
        <f>AC415*Assumptions!$E$46*-1</f>
        <v>-70.901725067416365</v>
      </c>
      <c r="AG415" s="22">
        <f t="shared" si="117"/>
        <v>2127084.9889248968</v>
      </c>
      <c r="AH415" s="5">
        <f>Model_30y[[#This Row],[Mortgage Payment]]+Model_30y[[#This Row],[Total Upkeep]]+Model_30y[[#This Row],[Monthly Investment]]</f>
        <v>-5448.7817209388722</v>
      </c>
      <c r="AI415" s="5">
        <f>Model_Renter!D415*-1</f>
        <v>9603.9855420334861</v>
      </c>
      <c r="AJ415" s="5">
        <f t="shared" si="118"/>
        <v>4155.2038210946139</v>
      </c>
    </row>
    <row r="416" spans="1:36" x14ac:dyDescent="0.25">
      <c r="A416" s="17">
        <f t="shared" si="113"/>
        <v>414</v>
      </c>
      <c r="B416" s="17">
        <f t="shared" si="109"/>
        <v>35</v>
      </c>
      <c r="C416" s="23">
        <f>IFERROR(IPMT(Assumptions!$D$16/12,Model_30y!A416, 360,Assumptions!$D$8), 0)</f>
        <v>0</v>
      </c>
      <c r="D416" s="2">
        <f>IFERROR(PPMT(Assumptions!$D$16/12, Model_30y!A416, 360, Assumptions!$D$8), 0)</f>
        <v>0</v>
      </c>
      <c r="E416" s="2">
        <f t="shared" si="103"/>
        <v>0</v>
      </c>
      <c r="F416" s="2">
        <f>IF(I415&gt;1, Assumptions!$E$18, 0)*-1</f>
        <v>0</v>
      </c>
      <c r="G416" s="24">
        <f t="shared" si="104"/>
        <v>1</v>
      </c>
      <c r="H416" s="20">
        <f t="shared" si="110"/>
        <v>339999.99999999994</v>
      </c>
      <c r="I416" s="2">
        <f>MAX(Assumptions!$D$8-SUM(Model_30y!H416), 0)</f>
        <v>5.8207660913467407E-11</v>
      </c>
      <c r="J416" s="2">
        <f>J415*(1+(Assumptions!$E$51))</f>
        <v>2287808.9148379127</v>
      </c>
      <c r="K416" s="22">
        <f t="shared" si="105"/>
        <v>2287808.9148379127</v>
      </c>
      <c r="L416" s="5">
        <f t="shared" si="111"/>
        <v>424999.99999999971</v>
      </c>
      <c r="M416" s="63">
        <f>L416/Assumptions!$D$6</f>
        <v>0.99999999999999933</v>
      </c>
      <c r="N416" s="24">
        <f t="shared" si="119"/>
        <v>0</v>
      </c>
      <c r="O416" s="5">
        <f>N416*Assumptions!$E$25*-1</f>
        <v>0</v>
      </c>
      <c r="P416" s="20">
        <f>Assumptions!$E$35*J416*-1</f>
        <v>-4712.5117812526951</v>
      </c>
      <c r="Q416" s="5">
        <f>J416*Assumptions!$E$36*-1</f>
        <v>-1897.8246931989815</v>
      </c>
      <c r="R416" s="5">
        <f>(R404+(Model_30y!R404*Assumptions!$D$51))</f>
        <v>-1706.9003109716011</v>
      </c>
      <c r="S416" s="5">
        <f>S404+(S404*Assumptions!$D$51)</f>
        <v>0</v>
      </c>
      <c r="T416" s="5">
        <f t="shared" si="114"/>
        <v>0</v>
      </c>
      <c r="U416" s="22">
        <f t="shared" si="106"/>
        <v>-8317.236785423278</v>
      </c>
      <c r="V416" s="5">
        <f>MAX(Assumptions!$E$18:$E$19)-U416</f>
        <v>11158.869797221974</v>
      </c>
      <c r="W416" s="5">
        <f t="shared" si="107"/>
        <v>0</v>
      </c>
      <c r="X416" s="5">
        <f t="shared" si="112"/>
        <v>-8317.236785423278</v>
      </c>
      <c r="Y416" s="5">
        <f>C416*Assumptions!$D$44*-1</f>
        <v>0</v>
      </c>
      <c r="Z416" s="5">
        <f t="shared" si="108"/>
        <v>2841.6330117986963</v>
      </c>
      <c r="AA416" s="5">
        <f t="shared" si="115"/>
        <v>2127084.9889248968</v>
      </c>
      <c r="AB416" s="3">
        <f>Assumptions!$E$45</f>
        <v>6.9899151946608562E-3</v>
      </c>
      <c r="AC416" s="5">
        <f t="shared" si="116"/>
        <v>2144794.7656211169</v>
      </c>
      <c r="AD416" s="5">
        <f>AC416*Assumptions!$E$43</f>
        <v>1920.8256434526095</v>
      </c>
      <c r="AE416" s="2">
        <f>AD416*Assumptions!$D$44*-1</f>
        <v>-288.12384651789142</v>
      </c>
      <c r="AF416" s="2">
        <f>AC416*Assumptions!$E$46*-1</f>
        <v>-71.480055123694541</v>
      </c>
      <c r="AG416" s="22">
        <f t="shared" si="117"/>
        <v>2144435.1617194754</v>
      </c>
      <c r="AH416" s="5">
        <f>Model_30y[[#This Row],[Mortgage Payment]]+Model_30y[[#This Row],[Total Upkeep]]+Model_30y[[#This Row],[Monthly Investment]]</f>
        <v>-5475.6037736245817</v>
      </c>
      <c r="AI416" s="5">
        <f>Model_Renter!D416*-1</f>
        <v>9603.9855420334861</v>
      </c>
      <c r="AJ416" s="5">
        <f t="shared" si="118"/>
        <v>4128.3817684089045</v>
      </c>
    </row>
    <row r="417" spans="1:36" x14ac:dyDescent="0.25">
      <c r="A417" s="17">
        <f t="shared" si="113"/>
        <v>415</v>
      </c>
      <c r="B417" s="17">
        <f t="shared" si="109"/>
        <v>35</v>
      </c>
      <c r="C417" s="23">
        <f>IFERROR(IPMT(Assumptions!$D$16/12,Model_30y!A417, 360,Assumptions!$D$8), 0)</f>
        <v>0</v>
      </c>
      <c r="D417" s="2">
        <f>IFERROR(PPMT(Assumptions!$D$16/12, Model_30y!A417, 360, Assumptions!$D$8), 0)</f>
        <v>0</v>
      </c>
      <c r="E417" s="2">
        <f t="shared" si="103"/>
        <v>0</v>
      </c>
      <c r="F417" s="2">
        <f>IF(I416&gt;1, Assumptions!$E$18, 0)*-1</f>
        <v>0</v>
      </c>
      <c r="G417" s="24">
        <f t="shared" si="104"/>
        <v>1</v>
      </c>
      <c r="H417" s="20">
        <f t="shared" si="110"/>
        <v>339999.99999999994</v>
      </c>
      <c r="I417" s="2">
        <f>MAX(Assumptions!$D$8-SUM(Model_30y!H417), 0)</f>
        <v>5.8207660913467407E-11</v>
      </c>
      <c r="J417" s="2">
        <f>J416*(1+(Assumptions!$E$51))</f>
        <v>2297129.7315502963</v>
      </c>
      <c r="K417" s="22">
        <f t="shared" si="105"/>
        <v>2297129.7315502963</v>
      </c>
      <c r="L417" s="5">
        <f t="shared" si="111"/>
        <v>424999.99999999971</v>
      </c>
      <c r="M417" s="63">
        <f>L417/Assumptions!$D$6</f>
        <v>0.99999999999999933</v>
      </c>
      <c r="N417" s="24">
        <f t="shared" si="119"/>
        <v>0</v>
      </c>
      <c r="O417" s="5">
        <f>N417*Assumptions!$E$25*-1</f>
        <v>0</v>
      </c>
      <c r="P417" s="20">
        <f>Assumptions!$E$35*J417*-1</f>
        <v>-4731.7111375814193</v>
      </c>
      <c r="Q417" s="5">
        <f>J417*Assumptions!$E$36*-1</f>
        <v>-1905.5566659187386</v>
      </c>
      <c r="R417" s="5">
        <f>(R405+(Model_30y!R405*Assumptions!$D$51))</f>
        <v>-1706.9003109716011</v>
      </c>
      <c r="S417" s="5">
        <f>S405+(S405*Assumptions!$D$51)</f>
        <v>0</v>
      </c>
      <c r="T417" s="5">
        <f t="shared" si="114"/>
        <v>0</v>
      </c>
      <c r="U417" s="22">
        <f t="shared" si="106"/>
        <v>-8344.1681144717586</v>
      </c>
      <c r="V417" s="5">
        <f>MAX(Assumptions!$E$18:$E$19)-U417</f>
        <v>11185.801126270455</v>
      </c>
      <c r="W417" s="5">
        <f t="shared" si="107"/>
        <v>0</v>
      </c>
      <c r="X417" s="5">
        <f t="shared" si="112"/>
        <v>-8344.1681144717586</v>
      </c>
      <c r="Y417" s="5">
        <f>C417*Assumptions!$D$44*-1</f>
        <v>0</v>
      </c>
      <c r="Z417" s="5">
        <f t="shared" si="108"/>
        <v>2841.6330117986963</v>
      </c>
      <c r="AA417" s="5">
        <f t="shared" si="115"/>
        <v>2144435.1617194754</v>
      </c>
      <c r="AB417" s="3">
        <f>Assumptions!$E$45</f>
        <v>6.9899151946608562E-3</v>
      </c>
      <c r="AC417" s="5">
        <f t="shared" si="116"/>
        <v>2162266.214652142</v>
      </c>
      <c r="AD417" s="5">
        <f>AC417*Assumptions!$E$43</f>
        <v>1936.4726451447968</v>
      </c>
      <c r="AE417" s="2">
        <f>AD417*Assumptions!$D$44*-1</f>
        <v>-290.47089677171954</v>
      </c>
      <c r="AF417" s="2">
        <f>AC417*Assumptions!$E$46*-1</f>
        <v>-72.062330015374826</v>
      </c>
      <c r="AG417" s="22">
        <f t="shared" si="117"/>
        <v>2161903.6814253549</v>
      </c>
      <c r="AH417" s="5">
        <f>Model_30y[[#This Row],[Mortgage Payment]]+Model_30y[[#This Row],[Total Upkeep]]+Model_30y[[#This Row],[Monthly Investment]]</f>
        <v>-5502.5351026730623</v>
      </c>
      <c r="AI417" s="5">
        <f>Model_Renter!D417*-1</f>
        <v>9603.9855420334861</v>
      </c>
      <c r="AJ417" s="5">
        <f t="shared" si="118"/>
        <v>4101.4504393604238</v>
      </c>
    </row>
    <row r="418" spans="1:36" x14ac:dyDescent="0.25">
      <c r="A418" s="17">
        <f t="shared" si="113"/>
        <v>416</v>
      </c>
      <c r="B418" s="17">
        <f t="shared" si="109"/>
        <v>35</v>
      </c>
      <c r="C418" s="23">
        <f>IFERROR(IPMT(Assumptions!$D$16/12,Model_30y!A418, 360,Assumptions!$D$8), 0)</f>
        <v>0</v>
      </c>
      <c r="D418" s="2">
        <f>IFERROR(PPMT(Assumptions!$D$16/12, Model_30y!A418, 360, Assumptions!$D$8), 0)</f>
        <v>0</v>
      </c>
      <c r="E418" s="2">
        <f t="shared" si="103"/>
        <v>0</v>
      </c>
      <c r="F418" s="2">
        <f>IF(I417&gt;1, Assumptions!$E$18, 0)*-1</f>
        <v>0</v>
      </c>
      <c r="G418" s="24">
        <f t="shared" si="104"/>
        <v>1</v>
      </c>
      <c r="H418" s="20">
        <f t="shared" si="110"/>
        <v>339999.99999999994</v>
      </c>
      <c r="I418" s="2">
        <f>MAX(Assumptions!$D$8-SUM(Model_30y!H418), 0)</f>
        <v>5.8207660913467407E-11</v>
      </c>
      <c r="J418" s="2">
        <f>J417*(1+(Assumptions!$E$51))</f>
        <v>2306488.5224237312</v>
      </c>
      <c r="K418" s="22">
        <f t="shared" si="105"/>
        <v>2306488.5224237312</v>
      </c>
      <c r="L418" s="5">
        <f t="shared" si="111"/>
        <v>424999.99999999971</v>
      </c>
      <c r="M418" s="63">
        <f>L418/Assumptions!$D$6</f>
        <v>0.99999999999999933</v>
      </c>
      <c r="N418" s="24">
        <f t="shared" si="119"/>
        <v>0</v>
      </c>
      <c r="O418" s="5">
        <f>N418*Assumptions!$E$25*-1</f>
        <v>0</v>
      </c>
      <c r="P418" s="20">
        <f>Assumptions!$E$35*J418*-1</f>
        <v>-4750.9887144643935</v>
      </c>
      <c r="Q418" s="5">
        <f>J418*Assumptions!$E$36*-1</f>
        <v>-1913.3201396524478</v>
      </c>
      <c r="R418" s="5">
        <f>(R406+(Model_30y!R406*Assumptions!$D$51))</f>
        <v>-1706.9003109716011</v>
      </c>
      <c r="S418" s="5">
        <f>S406+(S406*Assumptions!$D$51)</f>
        <v>0</v>
      </c>
      <c r="T418" s="5">
        <f t="shared" si="114"/>
        <v>0</v>
      </c>
      <c r="U418" s="22">
        <f t="shared" si="106"/>
        <v>-8371.2091650884431</v>
      </c>
      <c r="V418" s="5">
        <f>MAX(Assumptions!$E$18:$E$19)-U418</f>
        <v>11212.842176887139</v>
      </c>
      <c r="W418" s="5">
        <f t="shared" si="107"/>
        <v>0</v>
      </c>
      <c r="X418" s="5">
        <f t="shared" si="112"/>
        <v>-8371.2091650884431</v>
      </c>
      <c r="Y418" s="5">
        <f>C418*Assumptions!$D$44*-1</f>
        <v>0</v>
      </c>
      <c r="Z418" s="5">
        <f t="shared" si="108"/>
        <v>2841.6330117986963</v>
      </c>
      <c r="AA418" s="5">
        <f t="shared" si="115"/>
        <v>2161903.6814253549</v>
      </c>
      <c r="AB418" s="3">
        <f>Assumptions!$E$45</f>
        <v>6.9899151946608562E-3</v>
      </c>
      <c r="AC418" s="5">
        <f t="shared" si="116"/>
        <v>2179856.8378293421</v>
      </c>
      <c r="AD418" s="5">
        <f>AC418*Assumptions!$E$43</f>
        <v>1952.2263762824671</v>
      </c>
      <c r="AE418" s="2">
        <f>AD418*Assumptions!$D$44*-1</f>
        <v>-292.83395644237004</v>
      </c>
      <c r="AF418" s="2">
        <f>AC418*Assumptions!$E$46*-1</f>
        <v>-72.648576650493922</v>
      </c>
      <c r="AG418" s="22">
        <f t="shared" si="117"/>
        <v>2179491.355296249</v>
      </c>
      <c r="AH418" s="5">
        <f>Model_30y[[#This Row],[Mortgage Payment]]+Model_30y[[#This Row],[Total Upkeep]]+Model_30y[[#This Row],[Monthly Investment]]</f>
        <v>-5529.5761532897468</v>
      </c>
      <c r="AI418" s="5">
        <f>Model_Renter!D418*-1</f>
        <v>9603.9855420334861</v>
      </c>
      <c r="AJ418" s="5">
        <f t="shared" si="118"/>
        <v>4074.4093887437393</v>
      </c>
    </row>
    <row r="419" spans="1:36" x14ac:dyDescent="0.25">
      <c r="A419" s="17">
        <f t="shared" si="113"/>
        <v>417</v>
      </c>
      <c r="B419" s="17">
        <f t="shared" si="109"/>
        <v>35</v>
      </c>
      <c r="C419" s="23">
        <f>IFERROR(IPMT(Assumptions!$D$16/12,Model_30y!A419, 360,Assumptions!$D$8), 0)</f>
        <v>0</v>
      </c>
      <c r="D419" s="2">
        <f>IFERROR(PPMT(Assumptions!$D$16/12, Model_30y!A419, 360, Assumptions!$D$8), 0)</f>
        <v>0</v>
      </c>
      <c r="E419" s="2">
        <f t="shared" si="103"/>
        <v>0</v>
      </c>
      <c r="F419" s="2">
        <f>IF(I418&gt;1, Assumptions!$E$18, 0)*-1</f>
        <v>0</v>
      </c>
      <c r="G419" s="24">
        <f t="shared" si="104"/>
        <v>1</v>
      </c>
      <c r="H419" s="20">
        <f t="shared" si="110"/>
        <v>339999.99999999994</v>
      </c>
      <c r="I419" s="2">
        <f>MAX(Assumptions!$D$8-SUM(Model_30y!H419), 0)</f>
        <v>5.8207660913467407E-11</v>
      </c>
      <c r="J419" s="2">
        <f>J418*(1+(Assumptions!$E$51))</f>
        <v>2315885.4421696495</v>
      </c>
      <c r="K419" s="22">
        <f t="shared" si="105"/>
        <v>2315885.4421696495</v>
      </c>
      <c r="L419" s="5">
        <f t="shared" si="111"/>
        <v>424999.99999999971</v>
      </c>
      <c r="M419" s="63">
        <f>L419/Assumptions!$D$6</f>
        <v>0.99999999999999933</v>
      </c>
      <c r="N419" s="24">
        <f t="shared" si="119"/>
        <v>0</v>
      </c>
      <c r="O419" s="5">
        <f>N419*Assumptions!$E$25*-1</f>
        <v>0</v>
      </c>
      <c r="P419" s="20">
        <f>Assumptions!$E$35*J419*-1</f>
        <v>-4770.3448305818374</v>
      </c>
      <c r="Q419" s="5">
        <f>J419*Assumptions!$E$36*-1</f>
        <v>-1921.1152427391391</v>
      </c>
      <c r="R419" s="5">
        <f>(R407+(Model_30y!R407*Assumptions!$D$51))</f>
        <v>-1706.9003109716011</v>
      </c>
      <c r="S419" s="5">
        <f>S407+(S407*Assumptions!$D$51)</f>
        <v>0</v>
      </c>
      <c r="T419" s="5">
        <f t="shared" si="114"/>
        <v>0</v>
      </c>
      <c r="U419" s="22">
        <f t="shared" si="106"/>
        <v>-8398.3603842925768</v>
      </c>
      <c r="V419" s="5">
        <f>MAX(Assumptions!$E$18:$E$19)-U419</f>
        <v>11239.993396091273</v>
      </c>
      <c r="W419" s="5">
        <f t="shared" si="107"/>
        <v>0</v>
      </c>
      <c r="X419" s="5">
        <f t="shared" si="112"/>
        <v>-8398.3603842925768</v>
      </c>
      <c r="Y419" s="5">
        <f>C419*Assumptions!$D$44*-1</f>
        <v>0</v>
      </c>
      <c r="Z419" s="5">
        <f t="shared" si="108"/>
        <v>2841.6330117986963</v>
      </c>
      <c r="AA419" s="5">
        <f t="shared" si="115"/>
        <v>2179491.355296249</v>
      </c>
      <c r="AB419" s="3">
        <f>Assumptions!$E$45</f>
        <v>6.9899151946608562E-3</v>
      </c>
      <c r="AC419" s="5">
        <f t="shared" si="116"/>
        <v>2197567.4480490652</v>
      </c>
      <c r="AD419" s="5">
        <f>AC419*Assumptions!$E$43</f>
        <v>1968.0875648756733</v>
      </c>
      <c r="AE419" s="2">
        <f>AD419*Assumptions!$D$44*-1</f>
        <v>-295.21313473135098</v>
      </c>
      <c r="AF419" s="2">
        <f>AC419*Assumptions!$E$46*-1</f>
        <v>-73.238822120630289</v>
      </c>
      <c r="AG419" s="22">
        <f t="shared" si="117"/>
        <v>2197198.9960922133</v>
      </c>
      <c r="AH419" s="5">
        <f>Model_30y[[#This Row],[Mortgage Payment]]+Model_30y[[#This Row],[Total Upkeep]]+Model_30y[[#This Row],[Monthly Investment]]</f>
        <v>-5556.7273724938805</v>
      </c>
      <c r="AI419" s="5">
        <f>Model_Renter!D419*-1</f>
        <v>9603.9855420334861</v>
      </c>
      <c r="AJ419" s="5">
        <f t="shared" si="118"/>
        <v>4047.2581695396057</v>
      </c>
    </row>
    <row r="420" spans="1:36" x14ac:dyDescent="0.25">
      <c r="A420" s="17">
        <f t="shared" si="113"/>
        <v>418</v>
      </c>
      <c r="B420" s="17">
        <f t="shared" si="109"/>
        <v>35</v>
      </c>
      <c r="C420" s="23">
        <f>IFERROR(IPMT(Assumptions!$D$16/12,Model_30y!A420, 360,Assumptions!$D$8), 0)</f>
        <v>0</v>
      </c>
      <c r="D420" s="2">
        <f>IFERROR(PPMT(Assumptions!$D$16/12, Model_30y!A420, 360, Assumptions!$D$8), 0)</f>
        <v>0</v>
      </c>
      <c r="E420" s="2">
        <f t="shared" si="103"/>
        <v>0</v>
      </c>
      <c r="F420" s="2">
        <f>IF(I419&gt;1, Assumptions!$E$18, 0)*-1</f>
        <v>0</v>
      </c>
      <c r="G420" s="24">
        <f t="shared" si="104"/>
        <v>1</v>
      </c>
      <c r="H420" s="20">
        <f t="shared" si="110"/>
        <v>339999.99999999994</v>
      </c>
      <c r="I420" s="2">
        <f>MAX(Assumptions!$D$8-SUM(Model_30y!H420), 0)</f>
        <v>5.8207660913467407E-11</v>
      </c>
      <c r="J420" s="2">
        <f>J419*(1+(Assumptions!$E$51))</f>
        <v>2325320.6461297977</v>
      </c>
      <c r="K420" s="22">
        <f t="shared" si="105"/>
        <v>2325320.6461297977</v>
      </c>
      <c r="L420" s="5">
        <f t="shared" si="111"/>
        <v>424999.99999999971</v>
      </c>
      <c r="M420" s="63">
        <f>L420/Assumptions!$D$6</f>
        <v>0.99999999999999933</v>
      </c>
      <c r="N420" s="24">
        <f t="shared" si="119"/>
        <v>0</v>
      </c>
      <c r="O420" s="5">
        <f>N420*Assumptions!$E$25*-1</f>
        <v>0</v>
      </c>
      <c r="P420" s="20">
        <f>Assumptions!$E$35*J420*-1</f>
        <v>-4789.7798059123143</v>
      </c>
      <c r="Q420" s="5">
        <f>J420*Assumptions!$E$36*-1</f>
        <v>-1928.9421040407119</v>
      </c>
      <c r="R420" s="5">
        <f>(R408+(Model_30y!R408*Assumptions!$D$51))</f>
        <v>-1706.9003109716011</v>
      </c>
      <c r="S420" s="5">
        <f>S408+(S408*Assumptions!$D$51)</f>
        <v>0</v>
      </c>
      <c r="T420" s="5">
        <f t="shared" si="114"/>
        <v>0</v>
      </c>
      <c r="U420" s="22">
        <f t="shared" si="106"/>
        <v>-8425.622220924628</v>
      </c>
      <c r="V420" s="5">
        <f>MAX(Assumptions!$E$18:$E$19)-U420</f>
        <v>11267.255232723324</v>
      </c>
      <c r="W420" s="5">
        <f t="shared" si="107"/>
        <v>0</v>
      </c>
      <c r="X420" s="5">
        <f t="shared" si="112"/>
        <v>-8425.622220924628</v>
      </c>
      <c r="Y420" s="5">
        <f>C420*Assumptions!$D$44*-1</f>
        <v>0</v>
      </c>
      <c r="Z420" s="5">
        <f t="shared" si="108"/>
        <v>2841.6330117986963</v>
      </c>
      <c r="AA420" s="5">
        <f t="shared" si="115"/>
        <v>2197198.9960922133</v>
      </c>
      <c r="AB420" s="3">
        <f>Assumptions!$E$45</f>
        <v>6.9899151946608562E-3</v>
      </c>
      <c r="AC420" s="5">
        <f t="shared" si="116"/>
        <v>2215398.8637524908</v>
      </c>
      <c r="AD420" s="5">
        <f>AC420*Assumptions!$E$43</f>
        <v>1984.0569439002836</v>
      </c>
      <c r="AE420" s="2">
        <f>AD420*Assumptions!$D$44*-1</f>
        <v>-297.60854158504253</v>
      </c>
      <c r="AF420" s="2">
        <f>AC420*Assumptions!$E$46*-1</f>
        <v>-73.833093702156305</v>
      </c>
      <c r="AG420" s="22">
        <f t="shared" si="117"/>
        <v>2215027.4221172035</v>
      </c>
      <c r="AH420" s="5">
        <f>Model_30y[[#This Row],[Mortgage Payment]]+Model_30y[[#This Row],[Total Upkeep]]+Model_30y[[#This Row],[Monthly Investment]]</f>
        <v>-5583.9892091259317</v>
      </c>
      <c r="AI420" s="5">
        <f>Model_Renter!D420*-1</f>
        <v>9603.9855420334861</v>
      </c>
      <c r="AJ420" s="5">
        <f t="shared" si="118"/>
        <v>4019.9963329075545</v>
      </c>
    </row>
    <row r="421" spans="1:36" x14ac:dyDescent="0.25">
      <c r="A421" s="17">
        <f t="shared" si="113"/>
        <v>419</v>
      </c>
      <c r="B421" s="17">
        <f t="shared" si="109"/>
        <v>35</v>
      </c>
      <c r="C421" s="23">
        <f>IFERROR(IPMT(Assumptions!$D$16/12,Model_30y!A421, 360,Assumptions!$D$8), 0)</f>
        <v>0</v>
      </c>
      <c r="D421" s="2">
        <f>IFERROR(PPMT(Assumptions!$D$16/12, Model_30y!A421, 360, Assumptions!$D$8), 0)</f>
        <v>0</v>
      </c>
      <c r="E421" s="2">
        <f t="shared" si="103"/>
        <v>0</v>
      </c>
      <c r="F421" s="2">
        <f>IF(I420&gt;1, Assumptions!$E$18, 0)*-1</f>
        <v>0</v>
      </c>
      <c r="G421" s="24">
        <f t="shared" si="104"/>
        <v>1</v>
      </c>
      <c r="H421" s="20">
        <f t="shared" si="110"/>
        <v>339999.99999999994</v>
      </c>
      <c r="I421" s="2">
        <f>MAX(Assumptions!$D$8-SUM(Model_30y!H421), 0)</f>
        <v>5.8207660913467407E-11</v>
      </c>
      <c r="J421" s="2">
        <f>J420*(1+(Assumptions!$E$51))</f>
        <v>2334794.2902788036</v>
      </c>
      <c r="K421" s="22">
        <f t="shared" si="105"/>
        <v>2334794.2902788036</v>
      </c>
      <c r="L421" s="5">
        <f t="shared" si="111"/>
        <v>424999.99999999971</v>
      </c>
      <c r="M421" s="63">
        <f>L421/Assumptions!$D$6</f>
        <v>0.99999999999999933</v>
      </c>
      <c r="N421" s="24">
        <f t="shared" si="119"/>
        <v>0</v>
      </c>
      <c r="O421" s="5">
        <f>N421*Assumptions!$E$25*-1</f>
        <v>0</v>
      </c>
      <c r="P421" s="20">
        <f>Assumptions!$E$35*J421*-1</f>
        <v>-4809.2939617380198</v>
      </c>
      <c r="Q421" s="5">
        <f>J421*Assumptions!$E$36*-1</f>
        <v>-1936.8008529440647</v>
      </c>
      <c r="R421" s="5">
        <f>(R409+(Model_30y!R409*Assumptions!$D$51))</f>
        <v>-1706.9003109716011</v>
      </c>
      <c r="S421" s="5">
        <f>S409+(S409*Assumptions!$D$51)</f>
        <v>0</v>
      </c>
      <c r="T421" s="5">
        <f t="shared" si="114"/>
        <v>0</v>
      </c>
      <c r="U421" s="22">
        <f t="shared" si="106"/>
        <v>-8452.995125653686</v>
      </c>
      <c r="V421" s="5">
        <f>MAX(Assumptions!$E$18:$E$19)-U421</f>
        <v>11294.628137452382</v>
      </c>
      <c r="W421" s="5">
        <f t="shared" si="107"/>
        <v>0</v>
      </c>
      <c r="X421" s="5">
        <f t="shared" si="112"/>
        <v>-8452.995125653686</v>
      </c>
      <c r="Y421" s="5">
        <f>C421*Assumptions!$D$44*-1</f>
        <v>0</v>
      </c>
      <c r="Z421" s="5">
        <f t="shared" si="108"/>
        <v>2841.6330117986963</v>
      </c>
      <c r="AA421" s="5">
        <f t="shared" si="115"/>
        <v>2215027.4221172035</v>
      </c>
      <c r="AB421" s="3">
        <f>Assumptions!$E$45</f>
        <v>6.9899151946608562E-3</v>
      </c>
      <c r="AC421" s="5">
        <f t="shared" si="116"/>
        <v>2233351.9089634498</v>
      </c>
      <c r="AD421" s="5">
        <f>AC421*Assumptions!$E$43</f>
        <v>2000.1352513318514</v>
      </c>
      <c r="AE421" s="2">
        <f>AD421*Assumptions!$D$44*-1</f>
        <v>-300.02028769977767</v>
      </c>
      <c r="AF421" s="2">
        <f>AC421*Assumptions!$E$46*-1</f>
        <v>-74.431418857498571</v>
      </c>
      <c r="AG421" s="22">
        <f t="shared" si="117"/>
        <v>2232977.4572568927</v>
      </c>
      <c r="AH421" s="5">
        <f>Model_30y[[#This Row],[Mortgage Payment]]+Model_30y[[#This Row],[Total Upkeep]]+Model_30y[[#This Row],[Monthly Investment]]</f>
        <v>-5611.3621138549897</v>
      </c>
      <c r="AI421" s="5">
        <f>Model_Renter!D421*-1</f>
        <v>9603.9855420334861</v>
      </c>
      <c r="AJ421" s="5">
        <f t="shared" si="118"/>
        <v>3992.6234281784964</v>
      </c>
    </row>
    <row r="422" spans="1:36" x14ac:dyDescent="0.25">
      <c r="A422" s="17">
        <f t="shared" si="113"/>
        <v>420</v>
      </c>
      <c r="B422" s="17">
        <f t="shared" si="109"/>
        <v>35</v>
      </c>
      <c r="C422" s="23">
        <f>IFERROR(IPMT(Assumptions!$D$16/12,Model_30y!A422, 360,Assumptions!$D$8), 0)</f>
        <v>0</v>
      </c>
      <c r="D422" s="2">
        <f>IFERROR(PPMT(Assumptions!$D$16/12, Model_30y!A422, 360, Assumptions!$D$8), 0)</f>
        <v>0</v>
      </c>
      <c r="E422" s="2">
        <f t="shared" si="103"/>
        <v>0</v>
      </c>
      <c r="F422" s="2">
        <f>IF(I421&gt;1, Assumptions!$E$18, 0)*-1</f>
        <v>0</v>
      </c>
      <c r="G422" s="24">
        <f t="shared" si="104"/>
        <v>1</v>
      </c>
      <c r="H422" s="20">
        <f t="shared" si="110"/>
        <v>339999.99999999994</v>
      </c>
      <c r="I422" s="2">
        <f>MAX(Assumptions!$D$8-SUM(Model_30y!H422), 0)</f>
        <v>5.8207660913467407E-11</v>
      </c>
      <c r="J422" s="2">
        <f>J421*(1+(Assumptions!$E$51))</f>
        <v>2344306.5312267547</v>
      </c>
      <c r="K422" s="22">
        <f t="shared" si="105"/>
        <v>2344306.5312267547</v>
      </c>
      <c r="L422" s="5">
        <f t="shared" si="111"/>
        <v>424999.99999999971</v>
      </c>
      <c r="M422" s="63">
        <f>L422/Assumptions!$D$6</f>
        <v>0.99999999999999933</v>
      </c>
      <c r="N422" s="24">
        <f t="shared" si="119"/>
        <v>0</v>
      </c>
      <c r="O422" s="5">
        <f>N422*Assumptions!$E$25*-1</f>
        <v>0</v>
      </c>
      <c r="P422" s="20">
        <f>Assumptions!$E$35*J422*-1</f>
        <v>-4828.8876206500927</v>
      </c>
      <c r="Q422" s="5">
        <f>J422*Assumptions!$E$36*-1</f>
        <v>-1944.6916193632344</v>
      </c>
      <c r="R422" s="5">
        <f>(R410+(Model_30y!R410*Assumptions!$D$51))</f>
        <v>-1706.9003109716011</v>
      </c>
      <c r="S422" s="5">
        <f>S410+(S410*Assumptions!$D$51)</f>
        <v>0</v>
      </c>
      <c r="T422" s="5">
        <f t="shared" si="114"/>
        <v>0</v>
      </c>
      <c r="U422" s="22">
        <f t="shared" si="106"/>
        <v>-8480.4795509849282</v>
      </c>
      <c r="V422" s="5">
        <f>MAX(Assumptions!$E$18:$E$19)-U422</f>
        <v>11322.112562783625</v>
      </c>
      <c r="W422" s="5">
        <f t="shared" si="107"/>
        <v>0</v>
      </c>
      <c r="X422" s="5">
        <f t="shared" si="112"/>
        <v>-8480.4795509849282</v>
      </c>
      <c r="Y422" s="5">
        <f>C422*Assumptions!$D$44*-1</f>
        <v>0</v>
      </c>
      <c r="Z422" s="5">
        <f t="shared" si="108"/>
        <v>2841.6330117986963</v>
      </c>
      <c r="AA422" s="5">
        <f t="shared" si="115"/>
        <v>2232977.4572568927</v>
      </c>
      <c r="AB422" s="3">
        <f>Assumptions!$E$45</f>
        <v>6.9899151946608562E-3</v>
      </c>
      <c r="AC422" s="5">
        <f t="shared" si="116"/>
        <v>2251427.4133265065</v>
      </c>
      <c r="AD422" s="5">
        <f>AC422*Assumptions!$E$43</f>
        <v>2016.3232301797223</v>
      </c>
      <c r="AE422" s="2">
        <f>AD422*Assumptions!$D$44*-1</f>
        <v>-302.44848452695834</v>
      </c>
      <c r="AF422" s="2">
        <f>AC422*Assumptions!$E$46*-1</f>
        <v>-75.033825236407139</v>
      </c>
      <c r="AG422" s="22">
        <f t="shared" si="117"/>
        <v>2251049.9310167432</v>
      </c>
      <c r="AH422" s="5">
        <f>Model_30y[[#This Row],[Mortgage Payment]]+Model_30y[[#This Row],[Total Upkeep]]+Model_30y[[#This Row],[Monthly Investment]]</f>
        <v>-5638.8465391862319</v>
      </c>
      <c r="AI422" s="5">
        <f>Model_Renter!D422*-1</f>
        <v>9603.9855420334861</v>
      </c>
      <c r="AJ422" s="5">
        <f t="shared" si="118"/>
        <v>3965.1390028472542</v>
      </c>
    </row>
    <row r="423" spans="1:36" x14ac:dyDescent="0.25">
      <c r="A423" s="17">
        <f t="shared" si="113"/>
        <v>421</v>
      </c>
      <c r="B423" s="17">
        <f t="shared" si="109"/>
        <v>36</v>
      </c>
      <c r="C423" s="23">
        <f>IFERROR(IPMT(Assumptions!$D$16/12,Model_30y!A423, 360,Assumptions!$D$8), 0)</f>
        <v>0</v>
      </c>
      <c r="D423" s="2">
        <f>IFERROR(PPMT(Assumptions!$D$16/12, Model_30y!A423, 360, Assumptions!$D$8), 0)</f>
        <v>0</v>
      </c>
      <c r="E423" s="2">
        <f t="shared" si="103"/>
        <v>0</v>
      </c>
      <c r="F423" s="2">
        <f>IF(I422&gt;1, Assumptions!$E$18, 0)*-1</f>
        <v>0</v>
      </c>
      <c r="G423" s="24">
        <f t="shared" si="104"/>
        <v>1</v>
      </c>
      <c r="H423" s="20">
        <f t="shared" si="110"/>
        <v>339999.99999999994</v>
      </c>
      <c r="I423" s="2">
        <f>MAX(Assumptions!$D$8-SUM(Model_30y!H423), 0)</f>
        <v>5.8207660913467407E-11</v>
      </c>
      <c r="J423" s="2">
        <f>J422*(1+(Assumptions!$E$51))</f>
        <v>2353857.5262217876</v>
      </c>
      <c r="K423" s="22">
        <f t="shared" si="105"/>
        <v>2353857.5262217876</v>
      </c>
      <c r="L423" s="5">
        <f t="shared" si="111"/>
        <v>424999.99999999971</v>
      </c>
      <c r="M423" s="63">
        <f>L423/Assumptions!$D$6</f>
        <v>0.99999999999999933</v>
      </c>
      <c r="N423" s="24">
        <f t="shared" si="119"/>
        <v>0</v>
      </c>
      <c r="O423" s="5">
        <f>N423*Assumptions!$E$25*-1</f>
        <v>0</v>
      </c>
      <c r="P423" s="20">
        <f>Assumptions!$E$35*J423*-1</f>
        <v>-4848.5611065539488</v>
      </c>
      <c r="Q423" s="5">
        <f>J423*Assumptions!$E$36*-1</f>
        <v>-1952.6145337415437</v>
      </c>
      <c r="R423" s="5">
        <f>(R411+(Model_30y!R411*Assumptions!$D$51))</f>
        <v>-1792.2453265201812</v>
      </c>
      <c r="S423" s="5">
        <f>S411+(S411*Assumptions!$D$51)</f>
        <v>0</v>
      </c>
      <c r="T423" s="5">
        <f t="shared" si="114"/>
        <v>0</v>
      </c>
      <c r="U423" s="22">
        <f t="shared" si="106"/>
        <v>-8593.4209668156727</v>
      </c>
      <c r="V423" s="5">
        <f>MAX(Assumptions!$E$18:$E$19)-U423</f>
        <v>11435.053978614369</v>
      </c>
      <c r="W423" s="5">
        <f t="shared" si="107"/>
        <v>0</v>
      </c>
      <c r="X423" s="5">
        <f t="shared" si="112"/>
        <v>-8593.4209668156727</v>
      </c>
      <c r="Y423" s="5">
        <f>C423*Assumptions!$D$44*-1</f>
        <v>0</v>
      </c>
      <c r="Z423" s="5">
        <f t="shared" si="108"/>
        <v>2841.6330117986963</v>
      </c>
      <c r="AA423" s="5">
        <f t="shared" si="115"/>
        <v>2251049.9310167432</v>
      </c>
      <c r="AB423" s="3">
        <f>Assumptions!$E$45</f>
        <v>6.9899151946608562E-3</v>
      </c>
      <c r="AC423" s="5">
        <f t="shared" si="116"/>
        <v>2269626.2121452964</v>
      </c>
      <c r="AD423" s="5">
        <f>AC423*Assumptions!$E$43</f>
        <v>2032.6216285213666</v>
      </c>
      <c r="AE423" s="2">
        <f>AD423*Assumptions!$D$44*-1</f>
        <v>-304.89324427820497</v>
      </c>
      <c r="AF423" s="2">
        <f>AC423*Assumptions!$E$46*-1</f>
        <v>-75.640340677233198</v>
      </c>
      <c r="AG423" s="22">
        <f t="shared" si="117"/>
        <v>2269245.6785603408</v>
      </c>
      <c r="AH423" s="5">
        <f>Model_30y[[#This Row],[Mortgage Payment]]+Model_30y[[#This Row],[Total Upkeep]]+Model_30y[[#This Row],[Monthly Investment]]</f>
        <v>-5751.7879550169764</v>
      </c>
      <c r="AI423" s="5">
        <f>Model_Renter!D423*-1</f>
        <v>9963.1746013055399</v>
      </c>
      <c r="AJ423" s="5">
        <f t="shared" si="118"/>
        <v>4211.3866462885635</v>
      </c>
    </row>
    <row r="424" spans="1:36" x14ac:dyDescent="0.25">
      <c r="A424" s="17">
        <f t="shared" si="113"/>
        <v>422</v>
      </c>
      <c r="B424" s="17">
        <f t="shared" si="109"/>
        <v>36</v>
      </c>
      <c r="C424" s="23">
        <f>IFERROR(IPMT(Assumptions!$D$16/12,Model_30y!A424, 360,Assumptions!$D$8), 0)</f>
        <v>0</v>
      </c>
      <c r="D424" s="2">
        <f>IFERROR(PPMT(Assumptions!$D$16/12, Model_30y!A424, 360, Assumptions!$D$8), 0)</f>
        <v>0</v>
      </c>
      <c r="E424" s="2">
        <f t="shared" si="103"/>
        <v>0</v>
      </c>
      <c r="F424" s="2">
        <f>IF(I423&gt;1, Assumptions!$E$18, 0)*-1</f>
        <v>0</v>
      </c>
      <c r="G424" s="24">
        <f t="shared" si="104"/>
        <v>1</v>
      </c>
      <c r="H424" s="20">
        <f t="shared" si="110"/>
        <v>339999.99999999994</v>
      </c>
      <c r="I424" s="2">
        <f>MAX(Assumptions!$D$8-SUM(Model_30y!H424), 0)</f>
        <v>5.8207660913467407E-11</v>
      </c>
      <c r="J424" s="2">
        <f>J423*(1+(Assumptions!$E$51))</f>
        <v>2363447.4331526873</v>
      </c>
      <c r="K424" s="22">
        <f t="shared" si="105"/>
        <v>2363447.4331526873</v>
      </c>
      <c r="L424" s="5">
        <f t="shared" si="111"/>
        <v>424999.99999999971</v>
      </c>
      <c r="M424" s="63">
        <f>L424/Assumptions!$D$6</f>
        <v>0.99999999999999933</v>
      </c>
      <c r="N424" s="24">
        <f t="shared" si="119"/>
        <v>0</v>
      </c>
      <c r="O424" s="5">
        <f>N424*Assumptions!$E$25*-1</f>
        <v>0</v>
      </c>
      <c r="P424" s="20">
        <f>Assumptions!$E$35*J424*-1</f>
        <v>-4868.3147446746316</v>
      </c>
      <c r="Q424" s="5">
        <f>J424*Assumptions!$E$36*-1</f>
        <v>-1960.5697270537573</v>
      </c>
      <c r="R424" s="5">
        <f>(R412+(Model_30y!R412*Assumptions!$D$51))</f>
        <v>-1792.2453265201812</v>
      </c>
      <c r="S424" s="5">
        <f>S412+(S412*Assumptions!$D$51)</f>
        <v>0</v>
      </c>
      <c r="T424" s="5">
        <f t="shared" si="114"/>
        <v>0</v>
      </c>
      <c r="U424" s="22">
        <f t="shared" si="106"/>
        <v>-8621.1297982485703</v>
      </c>
      <c r="V424" s="5">
        <f>MAX(Assumptions!$E$18:$E$19)-U424</f>
        <v>11462.762810047267</v>
      </c>
      <c r="W424" s="5">
        <f t="shared" si="107"/>
        <v>0</v>
      </c>
      <c r="X424" s="5">
        <f t="shared" si="112"/>
        <v>-8621.1297982485703</v>
      </c>
      <c r="Y424" s="5">
        <f>C424*Assumptions!$D$44*-1</f>
        <v>0</v>
      </c>
      <c r="Z424" s="5">
        <f t="shared" si="108"/>
        <v>2841.6330117986963</v>
      </c>
      <c r="AA424" s="5">
        <f t="shared" si="115"/>
        <v>2269245.6785603408</v>
      </c>
      <c r="AB424" s="3">
        <f>Assumptions!$E$45</f>
        <v>6.9899151946608562E-3</v>
      </c>
      <c r="AC424" s="5">
        <f t="shared" si="116"/>
        <v>2287949.146421127</v>
      </c>
      <c r="AD424" s="5">
        <f>AC424*Assumptions!$E$43</f>
        <v>2049.0311995369507</v>
      </c>
      <c r="AE424" s="2">
        <f>AD424*Assumptions!$D$44*-1</f>
        <v>-307.3546799305426</v>
      </c>
      <c r="AF424" s="2">
        <f>AC424*Assumptions!$E$46*-1</f>
        <v>-76.250993208215547</v>
      </c>
      <c r="AG424" s="22">
        <f t="shared" si="117"/>
        <v>2287565.540747988</v>
      </c>
      <c r="AH424" s="5">
        <f>Model_30y[[#This Row],[Mortgage Payment]]+Model_30y[[#This Row],[Total Upkeep]]+Model_30y[[#This Row],[Monthly Investment]]</f>
        <v>-5779.496786449874</v>
      </c>
      <c r="AI424" s="5">
        <f>Model_Renter!D424*-1</f>
        <v>9963.1746013055399</v>
      </c>
      <c r="AJ424" s="5">
        <f t="shared" si="118"/>
        <v>4183.6778148556659</v>
      </c>
    </row>
    <row r="425" spans="1:36" x14ac:dyDescent="0.25">
      <c r="A425" s="17">
        <f t="shared" si="113"/>
        <v>423</v>
      </c>
      <c r="B425" s="17">
        <f t="shared" si="109"/>
        <v>36</v>
      </c>
      <c r="C425" s="23">
        <f>IFERROR(IPMT(Assumptions!$D$16/12,Model_30y!A425, 360,Assumptions!$D$8), 0)</f>
        <v>0</v>
      </c>
      <c r="D425" s="2">
        <f>IFERROR(PPMT(Assumptions!$D$16/12, Model_30y!A425, 360, Assumptions!$D$8), 0)</f>
        <v>0</v>
      </c>
      <c r="E425" s="2">
        <f t="shared" si="103"/>
        <v>0</v>
      </c>
      <c r="F425" s="2">
        <f>IF(I424&gt;1, Assumptions!$E$18, 0)*-1</f>
        <v>0</v>
      </c>
      <c r="G425" s="24">
        <f t="shared" si="104"/>
        <v>1</v>
      </c>
      <c r="H425" s="20">
        <f t="shared" si="110"/>
        <v>339999.99999999994</v>
      </c>
      <c r="I425" s="2">
        <f>MAX(Assumptions!$D$8-SUM(Model_30y!H425), 0)</f>
        <v>5.8207660913467407E-11</v>
      </c>
      <c r="J425" s="2">
        <f>J424*(1+(Assumptions!$E$51))</f>
        <v>2373076.4105514972</v>
      </c>
      <c r="K425" s="22">
        <f t="shared" si="105"/>
        <v>2373076.4105514972</v>
      </c>
      <c r="L425" s="5">
        <f t="shared" si="111"/>
        <v>424999.99999999971</v>
      </c>
      <c r="M425" s="63">
        <f>L425/Assumptions!$D$6</f>
        <v>0.99999999999999933</v>
      </c>
      <c r="N425" s="24">
        <f t="shared" si="119"/>
        <v>0</v>
      </c>
      <c r="O425" s="5">
        <f>N425*Assumptions!$E$25*-1</f>
        <v>0</v>
      </c>
      <c r="P425" s="20">
        <f>Assumptions!$E$35*J425*-1</f>
        <v>-4888.1488615621965</v>
      </c>
      <c r="Q425" s="5">
        <f>J425*Assumptions!$E$36*-1</f>
        <v>-1968.557330808248</v>
      </c>
      <c r="R425" s="5">
        <f>(R413+(Model_30y!R413*Assumptions!$D$51))</f>
        <v>-1792.2453265201812</v>
      </c>
      <c r="S425" s="5">
        <f>S413+(S413*Assumptions!$D$51)</f>
        <v>0</v>
      </c>
      <c r="T425" s="5">
        <f t="shared" si="114"/>
        <v>0</v>
      </c>
      <c r="U425" s="22">
        <f t="shared" si="106"/>
        <v>-8648.9515188906262</v>
      </c>
      <c r="V425" s="5">
        <f>MAX(Assumptions!$E$18:$E$19)-U425</f>
        <v>11490.584530689322</v>
      </c>
      <c r="W425" s="5">
        <f t="shared" si="107"/>
        <v>0</v>
      </c>
      <c r="X425" s="5">
        <f t="shared" si="112"/>
        <v>-8648.9515188906262</v>
      </c>
      <c r="Y425" s="5">
        <f>C425*Assumptions!$D$44*-1</f>
        <v>0</v>
      </c>
      <c r="Z425" s="5">
        <f t="shared" si="108"/>
        <v>2841.6330117986963</v>
      </c>
      <c r="AA425" s="5">
        <f t="shared" si="115"/>
        <v>2287565.540747988</v>
      </c>
      <c r="AB425" s="3">
        <f>Assumptions!$E$45</f>
        <v>6.9899151946608562E-3</v>
      </c>
      <c r="AC425" s="5">
        <f t="shared" si="116"/>
        <v>2306397.0628918437</v>
      </c>
      <c r="AD425" s="5">
        <f>AC425*Assumptions!$E$43</f>
        <v>2065.5527015441426</v>
      </c>
      <c r="AE425" s="2">
        <f>AD425*Assumptions!$D$44*-1</f>
        <v>-309.8329052316214</v>
      </c>
      <c r="AF425" s="2">
        <f>AC425*Assumptions!$E$46*-1</f>
        <v>-76.865811048775811</v>
      </c>
      <c r="AG425" s="22">
        <f t="shared" si="117"/>
        <v>2306010.3641755632</v>
      </c>
      <c r="AH425" s="5">
        <f>Model_30y[[#This Row],[Mortgage Payment]]+Model_30y[[#This Row],[Total Upkeep]]+Model_30y[[#This Row],[Monthly Investment]]</f>
        <v>-5807.3185070919299</v>
      </c>
      <c r="AI425" s="5">
        <f>Model_Renter!D425*-1</f>
        <v>9963.1746013055399</v>
      </c>
      <c r="AJ425" s="5">
        <f t="shared" si="118"/>
        <v>4155.85609421361</v>
      </c>
    </row>
    <row r="426" spans="1:36" x14ac:dyDescent="0.25">
      <c r="A426" s="17">
        <f t="shared" si="113"/>
        <v>424</v>
      </c>
      <c r="B426" s="17">
        <f t="shared" si="109"/>
        <v>36</v>
      </c>
      <c r="C426" s="23">
        <f>IFERROR(IPMT(Assumptions!$D$16/12,Model_30y!A426, 360,Assumptions!$D$8), 0)</f>
        <v>0</v>
      </c>
      <c r="D426" s="2">
        <f>IFERROR(PPMT(Assumptions!$D$16/12, Model_30y!A426, 360, Assumptions!$D$8), 0)</f>
        <v>0</v>
      </c>
      <c r="E426" s="2">
        <f t="shared" si="103"/>
        <v>0</v>
      </c>
      <c r="F426" s="2">
        <f>IF(I425&gt;1, Assumptions!$E$18, 0)*-1</f>
        <v>0</v>
      </c>
      <c r="G426" s="24">
        <f t="shared" si="104"/>
        <v>1</v>
      </c>
      <c r="H426" s="20">
        <f t="shared" si="110"/>
        <v>339999.99999999994</v>
      </c>
      <c r="I426" s="2">
        <f>MAX(Assumptions!$D$8-SUM(Model_30y!H426), 0)</f>
        <v>5.8207660913467407E-11</v>
      </c>
      <c r="J426" s="2">
        <f>J425*(1+(Assumptions!$E$51))</f>
        <v>2382744.6175961401</v>
      </c>
      <c r="K426" s="22">
        <f t="shared" si="105"/>
        <v>2382744.6175961401</v>
      </c>
      <c r="L426" s="5">
        <f t="shared" si="111"/>
        <v>424999.99999999971</v>
      </c>
      <c r="M426" s="63">
        <f>L426/Assumptions!$D$6</f>
        <v>0.99999999999999933</v>
      </c>
      <c r="N426" s="24">
        <f t="shared" si="119"/>
        <v>0</v>
      </c>
      <c r="O426" s="5">
        <f>N426*Assumptions!$E$25*-1</f>
        <v>0</v>
      </c>
      <c r="P426" s="20">
        <f>Assumptions!$E$35*J426*-1</f>
        <v>-4908.0637850971016</v>
      </c>
      <c r="Q426" s="5">
        <f>J426*Assumptions!$E$36*-1</f>
        <v>-1976.5774770491694</v>
      </c>
      <c r="R426" s="5">
        <f>(R414+(Model_30y!R414*Assumptions!$D$51))</f>
        <v>-1792.2453265201812</v>
      </c>
      <c r="S426" s="5">
        <f>S414+(S414*Assumptions!$D$51)</f>
        <v>0</v>
      </c>
      <c r="T426" s="5">
        <f t="shared" si="114"/>
        <v>0</v>
      </c>
      <c r="U426" s="22">
        <f t="shared" si="106"/>
        <v>-8676.8865886664535</v>
      </c>
      <c r="V426" s="5">
        <f>MAX(Assumptions!$E$18:$E$19)-U426</f>
        <v>11518.51960046515</v>
      </c>
      <c r="W426" s="5">
        <f t="shared" si="107"/>
        <v>0</v>
      </c>
      <c r="X426" s="5">
        <f t="shared" si="112"/>
        <v>-8676.8865886664535</v>
      </c>
      <c r="Y426" s="5">
        <f>C426*Assumptions!$D$44*-1</f>
        <v>0</v>
      </c>
      <c r="Z426" s="5">
        <f t="shared" si="108"/>
        <v>2841.6330117986963</v>
      </c>
      <c r="AA426" s="5">
        <f t="shared" si="115"/>
        <v>2306010.3641755632</v>
      </c>
      <c r="AB426" s="3">
        <f>Assumptions!$E$45</f>
        <v>6.9899151946608562E-3</v>
      </c>
      <c r="AC426" s="5">
        <f t="shared" si="116"/>
        <v>2324970.8140709582</v>
      </c>
      <c r="AD426" s="5">
        <f>AC426*Assumptions!$E$43</f>
        <v>2082.1868980331569</v>
      </c>
      <c r="AE426" s="2">
        <f>AD426*Assumptions!$D$44*-1</f>
        <v>-312.3280347049735</v>
      </c>
      <c r="AF426" s="2">
        <f>AC426*Assumptions!$E$46*-1</f>
        <v>-77.48482261082259</v>
      </c>
      <c r="AG426" s="22">
        <f t="shared" si="117"/>
        <v>2324581.0012136423</v>
      </c>
      <c r="AH426" s="5">
        <f>Model_30y[[#This Row],[Mortgage Payment]]+Model_30y[[#This Row],[Total Upkeep]]+Model_30y[[#This Row],[Monthly Investment]]</f>
        <v>-5835.2535768677571</v>
      </c>
      <c r="AI426" s="5">
        <f>Model_Renter!D426*-1</f>
        <v>9963.1746013055399</v>
      </c>
      <c r="AJ426" s="5">
        <f t="shared" si="118"/>
        <v>4127.9210244377828</v>
      </c>
    </row>
    <row r="427" spans="1:36" x14ac:dyDescent="0.25">
      <c r="A427" s="17">
        <f t="shared" si="113"/>
        <v>425</v>
      </c>
      <c r="B427" s="17">
        <f t="shared" si="109"/>
        <v>36</v>
      </c>
      <c r="C427" s="23">
        <f>IFERROR(IPMT(Assumptions!$D$16/12,Model_30y!A427, 360,Assumptions!$D$8), 0)</f>
        <v>0</v>
      </c>
      <c r="D427" s="2">
        <f>IFERROR(PPMT(Assumptions!$D$16/12, Model_30y!A427, 360, Assumptions!$D$8), 0)</f>
        <v>0</v>
      </c>
      <c r="E427" s="2">
        <f t="shared" si="103"/>
        <v>0</v>
      </c>
      <c r="F427" s="2">
        <f>IF(I426&gt;1, Assumptions!$E$18, 0)*-1</f>
        <v>0</v>
      </c>
      <c r="G427" s="24">
        <f t="shared" si="104"/>
        <v>1</v>
      </c>
      <c r="H427" s="20">
        <f t="shared" si="110"/>
        <v>339999.99999999994</v>
      </c>
      <c r="I427" s="2">
        <f>MAX(Assumptions!$D$8-SUM(Model_30y!H427), 0)</f>
        <v>5.8207660913467407E-11</v>
      </c>
      <c r="J427" s="2">
        <f>J426*(1+(Assumptions!$E$51))</f>
        <v>2392452.2141130487</v>
      </c>
      <c r="K427" s="22">
        <f t="shared" si="105"/>
        <v>2392452.2141130487</v>
      </c>
      <c r="L427" s="5">
        <f t="shared" si="111"/>
        <v>424999.99999999971</v>
      </c>
      <c r="M427" s="63">
        <f>L427/Assumptions!$D$6</f>
        <v>0.99999999999999933</v>
      </c>
      <c r="N427" s="24">
        <f t="shared" si="119"/>
        <v>0</v>
      </c>
      <c r="O427" s="5">
        <f>N427*Assumptions!$E$25*-1</f>
        <v>0</v>
      </c>
      <c r="P427" s="20">
        <f>Assumptions!$E$35*J427*-1</f>
        <v>-4928.0598444956286</v>
      </c>
      <c r="Q427" s="5">
        <f>J427*Assumptions!$E$36*-1</f>
        <v>-1984.6302983586393</v>
      </c>
      <c r="R427" s="5">
        <f>(R415+(Model_30y!R415*Assumptions!$D$51))</f>
        <v>-1792.2453265201812</v>
      </c>
      <c r="S427" s="5">
        <f>S415+(S415*Assumptions!$D$51)</f>
        <v>0</v>
      </c>
      <c r="T427" s="5">
        <f t="shared" si="114"/>
        <v>0</v>
      </c>
      <c r="U427" s="22">
        <f t="shared" si="106"/>
        <v>-8704.9354693744499</v>
      </c>
      <c r="V427" s="5">
        <f>MAX(Assumptions!$E$18:$E$19)-U427</f>
        <v>11546.568481173146</v>
      </c>
      <c r="W427" s="5">
        <f t="shared" si="107"/>
        <v>0</v>
      </c>
      <c r="X427" s="5">
        <f t="shared" si="112"/>
        <v>-8704.9354693744499</v>
      </c>
      <c r="Y427" s="5">
        <f>C427*Assumptions!$D$44*-1</f>
        <v>0</v>
      </c>
      <c r="Z427" s="5">
        <f t="shared" si="108"/>
        <v>2841.6330117986963</v>
      </c>
      <c r="AA427" s="5">
        <f t="shared" si="115"/>
        <v>2324581.0012136423</v>
      </c>
      <c r="AB427" s="3">
        <f>Assumptions!$E$45</f>
        <v>6.9899151946608562E-3</v>
      </c>
      <c r="AC427" s="5">
        <f t="shared" si="116"/>
        <v>2343671.2582870442</v>
      </c>
      <c r="AD427" s="5">
        <f>AC427*Assumptions!$E$43</f>
        <v>2098.9345577020349</v>
      </c>
      <c r="AE427" s="2">
        <f>AD427*Assumptions!$D$44*-1</f>
        <v>-314.84018365530522</v>
      </c>
      <c r="AF427" s="2">
        <f>AC427*Assumptions!$E$46*-1</f>
        <v>-78.10805650006435</v>
      </c>
      <c r="AG427" s="22">
        <f t="shared" si="117"/>
        <v>2343278.3100468889</v>
      </c>
      <c r="AH427" s="5">
        <f>Model_30y[[#This Row],[Mortgage Payment]]+Model_30y[[#This Row],[Total Upkeep]]+Model_30y[[#This Row],[Monthly Investment]]</f>
        <v>-5863.3024575757536</v>
      </c>
      <c r="AI427" s="5">
        <f>Model_Renter!D427*-1</f>
        <v>9963.1746013055399</v>
      </c>
      <c r="AJ427" s="5">
        <f t="shared" si="118"/>
        <v>4099.8721437297863</v>
      </c>
    </row>
    <row r="428" spans="1:36" x14ac:dyDescent="0.25">
      <c r="A428" s="17">
        <f t="shared" si="113"/>
        <v>426</v>
      </c>
      <c r="B428" s="17">
        <f t="shared" si="109"/>
        <v>36</v>
      </c>
      <c r="C428" s="23">
        <f>IFERROR(IPMT(Assumptions!$D$16/12,Model_30y!A428, 360,Assumptions!$D$8), 0)</f>
        <v>0</v>
      </c>
      <c r="D428" s="2">
        <f>IFERROR(PPMT(Assumptions!$D$16/12, Model_30y!A428, 360, Assumptions!$D$8), 0)</f>
        <v>0</v>
      </c>
      <c r="E428" s="2">
        <f t="shared" si="103"/>
        <v>0</v>
      </c>
      <c r="F428" s="2">
        <f>IF(I427&gt;1, Assumptions!$E$18, 0)*-1</f>
        <v>0</v>
      </c>
      <c r="G428" s="24">
        <f t="shared" si="104"/>
        <v>1</v>
      </c>
      <c r="H428" s="20">
        <f t="shared" si="110"/>
        <v>339999.99999999994</v>
      </c>
      <c r="I428" s="2">
        <f>MAX(Assumptions!$D$8-SUM(Model_30y!H428), 0)</f>
        <v>5.8207660913467407E-11</v>
      </c>
      <c r="J428" s="2">
        <f>J427*(1+(Assumptions!$E$51))</f>
        <v>2402199.3605798087</v>
      </c>
      <c r="K428" s="22">
        <f t="shared" si="105"/>
        <v>2402199.3605798087</v>
      </c>
      <c r="L428" s="5">
        <f t="shared" si="111"/>
        <v>424999.99999999971</v>
      </c>
      <c r="M428" s="63">
        <f>L428/Assumptions!$D$6</f>
        <v>0.99999999999999933</v>
      </c>
      <c r="N428" s="24">
        <f t="shared" si="119"/>
        <v>0</v>
      </c>
      <c r="O428" s="5">
        <f>N428*Assumptions!$E$25*-1</f>
        <v>0</v>
      </c>
      <c r="P428" s="20">
        <f>Assumptions!$E$35*J428*-1</f>
        <v>-4948.1373703153304</v>
      </c>
      <c r="Q428" s="5">
        <f>J428*Assumptions!$E$36*-1</f>
        <v>-1992.7159278589311</v>
      </c>
      <c r="R428" s="5">
        <f>(R416+(Model_30y!R416*Assumptions!$D$51))</f>
        <v>-1792.2453265201812</v>
      </c>
      <c r="S428" s="5">
        <f>S416+(S416*Assumptions!$D$51)</f>
        <v>0</v>
      </c>
      <c r="T428" s="5">
        <f t="shared" si="114"/>
        <v>0</v>
      </c>
      <c r="U428" s="22">
        <f t="shared" si="106"/>
        <v>-8733.0986246944412</v>
      </c>
      <c r="V428" s="5">
        <f>MAX(Assumptions!$E$18:$E$19)-U428</f>
        <v>11574.731636493138</v>
      </c>
      <c r="W428" s="5">
        <f t="shared" si="107"/>
        <v>0</v>
      </c>
      <c r="X428" s="5">
        <f t="shared" si="112"/>
        <v>-8733.0986246944412</v>
      </c>
      <c r="Y428" s="5">
        <f>C428*Assumptions!$D$44*-1</f>
        <v>0</v>
      </c>
      <c r="Z428" s="5">
        <f t="shared" si="108"/>
        <v>2841.6330117986963</v>
      </c>
      <c r="AA428" s="5">
        <f t="shared" si="115"/>
        <v>2343278.3100468889</v>
      </c>
      <c r="AB428" s="3">
        <f>Assumptions!$E$45</f>
        <v>6.9899151946608562E-3</v>
      </c>
      <c r="AC428" s="5">
        <f t="shared" si="116"/>
        <v>2362499.2597234035</v>
      </c>
      <c r="AD428" s="5">
        <f>AC428*Assumptions!$E$43</f>
        <v>2115.7964544921683</v>
      </c>
      <c r="AE428" s="2">
        <f>AD428*Assumptions!$D$44*-1</f>
        <v>-317.36946817382523</v>
      </c>
      <c r="AF428" s="2">
        <f>AC428*Assumptions!$E$46*-1</f>
        <v>-78.735541517331356</v>
      </c>
      <c r="AG428" s="22">
        <f t="shared" si="117"/>
        <v>2362103.1547137122</v>
      </c>
      <c r="AH428" s="5">
        <f>Model_30y[[#This Row],[Mortgage Payment]]+Model_30y[[#This Row],[Total Upkeep]]+Model_30y[[#This Row],[Monthly Investment]]</f>
        <v>-5891.4656128957449</v>
      </c>
      <c r="AI428" s="5">
        <f>Model_Renter!D428*-1</f>
        <v>9963.1746013055399</v>
      </c>
      <c r="AJ428" s="5">
        <f t="shared" si="118"/>
        <v>4071.708988409795</v>
      </c>
    </row>
    <row r="429" spans="1:36" x14ac:dyDescent="0.25">
      <c r="A429" s="17">
        <f t="shared" si="113"/>
        <v>427</v>
      </c>
      <c r="B429" s="17">
        <f t="shared" si="109"/>
        <v>36</v>
      </c>
      <c r="C429" s="23">
        <f>IFERROR(IPMT(Assumptions!$D$16/12,Model_30y!A429, 360,Assumptions!$D$8), 0)</f>
        <v>0</v>
      </c>
      <c r="D429" s="2">
        <f>IFERROR(PPMT(Assumptions!$D$16/12, Model_30y!A429, 360, Assumptions!$D$8), 0)</f>
        <v>0</v>
      </c>
      <c r="E429" s="2">
        <f t="shared" si="103"/>
        <v>0</v>
      </c>
      <c r="F429" s="2">
        <f>IF(I428&gt;1, Assumptions!$E$18, 0)*-1</f>
        <v>0</v>
      </c>
      <c r="G429" s="24">
        <f t="shared" si="104"/>
        <v>1</v>
      </c>
      <c r="H429" s="20">
        <f t="shared" si="110"/>
        <v>339999.99999999994</v>
      </c>
      <c r="I429" s="2">
        <f>MAX(Assumptions!$D$8-SUM(Model_30y!H429), 0)</f>
        <v>5.8207660913467407E-11</v>
      </c>
      <c r="J429" s="2">
        <f>J428*(1+(Assumptions!$E$51))</f>
        <v>2411986.2181278118</v>
      </c>
      <c r="K429" s="22">
        <f t="shared" si="105"/>
        <v>2411986.2181278118</v>
      </c>
      <c r="L429" s="5">
        <f t="shared" si="111"/>
        <v>424999.99999999971</v>
      </c>
      <c r="M429" s="63">
        <f>L429/Assumptions!$D$6</f>
        <v>0.99999999999999933</v>
      </c>
      <c r="N429" s="24">
        <f t="shared" si="119"/>
        <v>0</v>
      </c>
      <c r="O429" s="5">
        <f>N429*Assumptions!$E$25*-1</f>
        <v>0</v>
      </c>
      <c r="P429" s="20">
        <f>Assumptions!$E$35*J429*-1</f>
        <v>-4968.2966944604914</v>
      </c>
      <c r="Q429" s="5">
        <f>J429*Assumptions!$E$36*-1</f>
        <v>-2000.834499214676</v>
      </c>
      <c r="R429" s="5">
        <f>(R417+(Model_30y!R417*Assumptions!$D$51))</f>
        <v>-1792.2453265201812</v>
      </c>
      <c r="S429" s="5">
        <f>S417+(S417*Assumptions!$D$51)</f>
        <v>0</v>
      </c>
      <c r="T429" s="5">
        <f t="shared" si="114"/>
        <v>0</v>
      </c>
      <c r="U429" s="22">
        <f t="shared" si="106"/>
        <v>-8761.3765201953483</v>
      </c>
      <c r="V429" s="5">
        <f>MAX(Assumptions!$E$18:$E$19)-U429</f>
        <v>11603.009531994045</v>
      </c>
      <c r="W429" s="5">
        <f t="shared" si="107"/>
        <v>0</v>
      </c>
      <c r="X429" s="5">
        <f t="shared" si="112"/>
        <v>-8761.3765201953483</v>
      </c>
      <c r="Y429" s="5">
        <f>C429*Assumptions!$D$44*-1</f>
        <v>0</v>
      </c>
      <c r="Z429" s="5">
        <f t="shared" si="108"/>
        <v>2841.6330117986963</v>
      </c>
      <c r="AA429" s="5">
        <f t="shared" si="115"/>
        <v>2362103.1547137122</v>
      </c>
      <c r="AB429" s="3">
        <f>Assumptions!$E$45</f>
        <v>6.9899151946608562E-3</v>
      </c>
      <c r="AC429" s="5">
        <f t="shared" si="116"/>
        <v>2381455.6884580008</v>
      </c>
      <c r="AD429" s="5">
        <f>AC429*Assumptions!$E$43</f>
        <v>2132.773367624065</v>
      </c>
      <c r="AE429" s="2">
        <f>AD429*Assumptions!$D$44*-1</f>
        <v>-319.91600514360977</v>
      </c>
      <c r="AF429" s="2">
        <f>AC429*Assumptions!$E$46*-1</f>
        <v>-79.36730665990666</v>
      </c>
      <c r="AG429" s="22">
        <f t="shared" si="117"/>
        <v>2381056.4051461974</v>
      </c>
      <c r="AH429" s="5">
        <f>Model_30y[[#This Row],[Mortgage Payment]]+Model_30y[[#This Row],[Total Upkeep]]+Model_30y[[#This Row],[Monthly Investment]]</f>
        <v>-5919.743508396652</v>
      </c>
      <c r="AI429" s="5">
        <f>Model_Renter!D429*-1</f>
        <v>9963.1746013055399</v>
      </c>
      <c r="AJ429" s="5">
        <f t="shared" si="118"/>
        <v>4043.4310929088879</v>
      </c>
    </row>
    <row r="430" spans="1:36" x14ac:dyDescent="0.25">
      <c r="A430" s="17">
        <f t="shared" si="113"/>
        <v>428</v>
      </c>
      <c r="B430" s="17">
        <f t="shared" si="109"/>
        <v>36</v>
      </c>
      <c r="C430" s="23">
        <f>IFERROR(IPMT(Assumptions!$D$16/12,Model_30y!A430, 360,Assumptions!$D$8), 0)</f>
        <v>0</v>
      </c>
      <c r="D430" s="2">
        <f>IFERROR(PPMT(Assumptions!$D$16/12, Model_30y!A430, 360, Assumptions!$D$8), 0)</f>
        <v>0</v>
      </c>
      <c r="E430" s="2">
        <f t="shared" si="103"/>
        <v>0</v>
      </c>
      <c r="F430" s="2">
        <f>IF(I429&gt;1, Assumptions!$E$18, 0)*-1</f>
        <v>0</v>
      </c>
      <c r="G430" s="24">
        <f t="shared" si="104"/>
        <v>1</v>
      </c>
      <c r="H430" s="20">
        <f t="shared" si="110"/>
        <v>339999.99999999994</v>
      </c>
      <c r="I430" s="2">
        <f>MAX(Assumptions!$D$8-SUM(Model_30y!H430), 0)</f>
        <v>5.8207660913467407E-11</v>
      </c>
      <c r="J430" s="2">
        <f>J429*(1+(Assumptions!$E$51))</f>
        <v>2421812.9485449186</v>
      </c>
      <c r="K430" s="22">
        <f t="shared" si="105"/>
        <v>2421812.9485449186</v>
      </c>
      <c r="L430" s="5">
        <f t="shared" si="111"/>
        <v>424999.99999999971</v>
      </c>
      <c r="M430" s="63">
        <f>L430/Assumptions!$D$6</f>
        <v>0.99999999999999933</v>
      </c>
      <c r="N430" s="24">
        <f t="shared" si="119"/>
        <v>0</v>
      </c>
      <c r="O430" s="5">
        <f>N430*Assumptions!$E$25*-1</f>
        <v>0</v>
      </c>
      <c r="P430" s="20">
        <f>Assumptions!$E$35*J430*-1</f>
        <v>-4988.5381501876145</v>
      </c>
      <c r="Q430" s="5">
        <f>J430*Assumptions!$E$36*-1</f>
        <v>-2008.9861466350708</v>
      </c>
      <c r="R430" s="5">
        <f>(R418+(Model_30y!R418*Assumptions!$D$51))</f>
        <v>-1792.2453265201812</v>
      </c>
      <c r="S430" s="5">
        <f>S418+(S418*Assumptions!$D$51)</f>
        <v>0</v>
      </c>
      <c r="T430" s="5">
        <f t="shared" si="114"/>
        <v>0</v>
      </c>
      <c r="U430" s="22">
        <f t="shared" si="106"/>
        <v>-8789.7696233428651</v>
      </c>
      <c r="V430" s="5">
        <f>MAX(Assumptions!$E$18:$E$19)-U430</f>
        <v>11631.402635141561</v>
      </c>
      <c r="W430" s="5">
        <f t="shared" si="107"/>
        <v>0</v>
      </c>
      <c r="X430" s="5">
        <f t="shared" si="112"/>
        <v>-8789.7696233428651</v>
      </c>
      <c r="Y430" s="5">
        <f>C430*Assumptions!$D$44*-1</f>
        <v>0</v>
      </c>
      <c r="Z430" s="5">
        <f t="shared" si="108"/>
        <v>2841.6330117986963</v>
      </c>
      <c r="AA430" s="5">
        <f t="shared" si="115"/>
        <v>2381056.4051461974</v>
      </c>
      <c r="AB430" s="3">
        <f>Assumptions!$E$45</f>
        <v>6.9899151946608562E-3</v>
      </c>
      <c r="AC430" s="5">
        <f t="shared" si="116"/>
        <v>2400541.4205036722</v>
      </c>
      <c r="AD430" s="5">
        <f>AC430*Assumptions!$E$43</f>
        <v>2149.8660816333581</v>
      </c>
      <c r="AE430" s="2">
        <f>AD430*Assumptions!$D$44*-1</f>
        <v>-322.47991224500373</v>
      </c>
      <c r="AF430" s="2">
        <f>AC430*Assumptions!$E$46*-1</f>
        <v>-80.003381122866102</v>
      </c>
      <c r="AG430" s="22">
        <f t="shared" si="117"/>
        <v>2400138.9372103042</v>
      </c>
      <c r="AH430" s="5">
        <f>Model_30y[[#This Row],[Mortgage Payment]]+Model_30y[[#This Row],[Total Upkeep]]+Model_30y[[#This Row],[Monthly Investment]]</f>
        <v>-5948.1366115441688</v>
      </c>
      <c r="AI430" s="5">
        <f>Model_Renter!D430*-1</f>
        <v>9963.1746013055399</v>
      </c>
      <c r="AJ430" s="5">
        <f t="shared" si="118"/>
        <v>4015.0379897613711</v>
      </c>
    </row>
    <row r="431" spans="1:36" x14ac:dyDescent="0.25">
      <c r="A431" s="17">
        <f t="shared" si="113"/>
        <v>429</v>
      </c>
      <c r="B431" s="17">
        <f t="shared" si="109"/>
        <v>36</v>
      </c>
      <c r="C431" s="23">
        <f>IFERROR(IPMT(Assumptions!$D$16/12,Model_30y!A431, 360,Assumptions!$D$8), 0)</f>
        <v>0</v>
      </c>
      <c r="D431" s="2">
        <f>IFERROR(PPMT(Assumptions!$D$16/12, Model_30y!A431, 360, Assumptions!$D$8), 0)</f>
        <v>0</v>
      </c>
      <c r="E431" s="2">
        <f t="shared" si="103"/>
        <v>0</v>
      </c>
      <c r="F431" s="2">
        <f>IF(I430&gt;1, Assumptions!$E$18, 0)*-1</f>
        <v>0</v>
      </c>
      <c r="G431" s="24">
        <f t="shared" si="104"/>
        <v>1</v>
      </c>
      <c r="H431" s="20">
        <f t="shared" si="110"/>
        <v>339999.99999999994</v>
      </c>
      <c r="I431" s="2">
        <f>MAX(Assumptions!$D$8-SUM(Model_30y!H431), 0)</f>
        <v>5.8207660913467407E-11</v>
      </c>
      <c r="J431" s="2">
        <f>J430*(1+(Assumptions!$E$51))</f>
        <v>2431679.7142781331</v>
      </c>
      <c r="K431" s="22">
        <f t="shared" si="105"/>
        <v>2431679.7142781331</v>
      </c>
      <c r="L431" s="5">
        <f t="shared" si="111"/>
        <v>424999.99999999971</v>
      </c>
      <c r="M431" s="63">
        <f>L431/Assumptions!$D$6</f>
        <v>0.99999999999999933</v>
      </c>
      <c r="N431" s="24">
        <f t="shared" si="119"/>
        <v>0</v>
      </c>
      <c r="O431" s="5">
        <f>N431*Assumptions!$E$25*-1</f>
        <v>0</v>
      </c>
      <c r="P431" s="20">
        <f>Assumptions!$E$35*J431*-1</f>
        <v>-5008.8620721109319</v>
      </c>
      <c r="Q431" s="5">
        <f>J431*Assumptions!$E$36*-1</f>
        <v>-2017.171004876097</v>
      </c>
      <c r="R431" s="5">
        <f>(R419+(Model_30y!R419*Assumptions!$D$51))</f>
        <v>-1792.2453265201812</v>
      </c>
      <c r="S431" s="5">
        <f>S419+(S419*Assumptions!$D$51)</f>
        <v>0</v>
      </c>
      <c r="T431" s="5">
        <f t="shared" si="114"/>
        <v>0</v>
      </c>
      <c r="U431" s="22">
        <f t="shared" si="106"/>
        <v>-8818.2784035072109</v>
      </c>
      <c r="V431" s="5">
        <f>MAX(Assumptions!$E$18:$E$19)-U431</f>
        <v>11659.911415305907</v>
      </c>
      <c r="W431" s="5">
        <f t="shared" si="107"/>
        <v>0</v>
      </c>
      <c r="X431" s="5">
        <f t="shared" si="112"/>
        <v>-8818.2784035072109</v>
      </c>
      <c r="Y431" s="5">
        <f>C431*Assumptions!$D$44*-1</f>
        <v>0</v>
      </c>
      <c r="Z431" s="5">
        <f t="shared" si="108"/>
        <v>2841.6330117986963</v>
      </c>
      <c r="AA431" s="5">
        <f t="shared" si="115"/>
        <v>2400138.9372103042</v>
      </c>
      <c r="AB431" s="3">
        <f>Assumptions!$E$45</f>
        <v>6.9899151946608562E-3</v>
      </c>
      <c r="AC431" s="5">
        <f t="shared" si="116"/>
        <v>2419757.3378486065</v>
      </c>
      <c r="AD431" s="5">
        <f>AC431*Assumptions!$E$43</f>
        <v>2167.0753864070607</v>
      </c>
      <c r="AE431" s="2">
        <f>AD431*Assumptions!$D$44*-1</f>
        <v>-325.06130796105907</v>
      </c>
      <c r="AF431" s="2">
        <f>AC431*Assumptions!$E$46*-1</f>
        <v>-80.643794300427402</v>
      </c>
      <c r="AG431" s="22">
        <f t="shared" si="117"/>
        <v>2419351.6327463449</v>
      </c>
      <c r="AH431" s="5">
        <f>Model_30y[[#This Row],[Mortgage Payment]]+Model_30y[[#This Row],[Total Upkeep]]+Model_30y[[#This Row],[Monthly Investment]]</f>
        <v>-5976.6453917085146</v>
      </c>
      <c r="AI431" s="5">
        <f>Model_Renter!D431*-1</f>
        <v>9963.1746013055399</v>
      </c>
      <c r="AJ431" s="5">
        <f t="shared" si="118"/>
        <v>3986.5292095970253</v>
      </c>
    </row>
    <row r="432" spans="1:36" x14ac:dyDescent="0.25">
      <c r="A432" s="17">
        <f t="shared" si="113"/>
        <v>430</v>
      </c>
      <c r="B432" s="17">
        <f t="shared" si="109"/>
        <v>36</v>
      </c>
      <c r="C432" s="23">
        <f>IFERROR(IPMT(Assumptions!$D$16/12,Model_30y!A432, 360,Assumptions!$D$8), 0)</f>
        <v>0</v>
      </c>
      <c r="D432" s="2">
        <f>IFERROR(PPMT(Assumptions!$D$16/12, Model_30y!A432, 360, Assumptions!$D$8), 0)</f>
        <v>0</v>
      </c>
      <c r="E432" s="2">
        <f t="shared" si="103"/>
        <v>0</v>
      </c>
      <c r="F432" s="2">
        <f>IF(I431&gt;1, Assumptions!$E$18, 0)*-1</f>
        <v>0</v>
      </c>
      <c r="G432" s="24">
        <f t="shared" si="104"/>
        <v>1</v>
      </c>
      <c r="H432" s="20">
        <f t="shared" si="110"/>
        <v>339999.99999999994</v>
      </c>
      <c r="I432" s="2">
        <f>MAX(Assumptions!$D$8-SUM(Model_30y!H432), 0)</f>
        <v>5.8207660913467407E-11</v>
      </c>
      <c r="J432" s="2">
        <f>J431*(1+(Assumptions!$E$51))</f>
        <v>2441586.6784362891</v>
      </c>
      <c r="K432" s="22">
        <f t="shared" si="105"/>
        <v>2441586.6784362891</v>
      </c>
      <c r="L432" s="5">
        <f t="shared" si="111"/>
        <v>424999.99999999971</v>
      </c>
      <c r="M432" s="63">
        <f>L432/Assumptions!$D$6</f>
        <v>0.99999999999999933</v>
      </c>
      <c r="N432" s="24">
        <f t="shared" si="119"/>
        <v>0</v>
      </c>
      <c r="O432" s="5">
        <f>N432*Assumptions!$E$25*-1</f>
        <v>0</v>
      </c>
      <c r="P432" s="20">
        <f>Assumptions!$E$35*J432*-1</f>
        <v>-5029.2687962079335</v>
      </c>
      <c r="Q432" s="5">
        <f>J432*Assumptions!$E$36*-1</f>
        <v>-2025.3892092427486</v>
      </c>
      <c r="R432" s="5">
        <f>(R420+(Model_30y!R420*Assumptions!$D$51))</f>
        <v>-1792.2453265201812</v>
      </c>
      <c r="S432" s="5">
        <f>S420+(S420*Assumptions!$D$51)</f>
        <v>0</v>
      </c>
      <c r="T432" s="5">
        <f t="shared" si="114"/>
        <v>0</v>
      </c>
      <c r="U432" s="22">
        <f t="shared" si="106"/>
        <v>-8846.9033319708633</v>
      </c>
      <c r="V432" s="5">
        <f>MAX(Assumptions!$E$18:$E$19)-U432</f>
        <v>11688.53634376956</v>
      </c>
      <c r="W432" s="5">
        <f t="shared" si="107"/>
        <v>0</v>
      </c>
      <c r="X432" s="5">
        <f t="shared" si="112"/>
        <v>-8846.9033319708633</v>
      </c>
      <c r="Y432" s="5">
        <f>C432*Assumptions!$D$44*-1</f>
        <v>0</v>
      </c>
      <c r="Z432" s="5">
        <f t="shared" si="108"/>
        <v>2841.6330117986963</v>
      </c>
      <c r="AA432" s="5">
        <f t="shared" si="115"/>
        <v>2419351.6327463449</v>
      </c>
      <c r="AB432" s="3">
        <f>Assumptions!$E$45</f>
        <v>6.9899151946608562E-3</v>
      </c>
      <c r="AC432" s="5">
        <f t="shared" si="116"/>
        <v>2439104.3284971048</v>
      </c>
      <c r="AD432" s="5">
        <f>AC432*Assumptions!$E$43</f>
        <v>2184.4020772200679</v>
      </c>
      <c r="AE432" s="2">
        <f>AD432*Assumptions!$D$44*-1</f>
        <v>-327.66031158301018</v>
      </c>
      <c r="AF432" s="2">
        <f>AC432*Assumptions!$E$46*-1</f>
        <v>-81.288575787308631</v>
      </c>
      <c r="AG432" s="22">
        <f t="shared" si="117"/>
        <v>2438695.3796097343</v>
      </c>
      <c r="AH432" s="5">
        <f>Model_30y[[#This Row],[Mortgage Payment]]+Model_30y[[#This Row],[Total Upkeep]]+Model_30y[[#This Row],[Monthly Investment]]</f>
        <v>-6005.270320172167</v>
      </c>
      <c r="AI432" s="5">
        <f>Model_Renter!D432*-1</f>
        <v>9963.1746013055399</v>
      </c>
      <c r="AJ432" s="5">
        <f t="shared" si="118"/>
        <v>3957.9042811333729</v>
      </c>
    </row>
    <row r="433" spans="1:36" x14ac:dyDescent="0.25">
      <c r="A433" s="17">
        <f t="shared" si="113"/>
        <v>431</v>
      </c>
      <c r="B433" s="17">
        <f t="shared" si="109"/>
        <v>36</v>
      </c>
      <c r="C433" s="23">
        <f>IFERROR(IPMT(Assumptions!$D$16/12,Model_30y!A433, 360,Assumptions!$D$8), 0)</f>
        <v>0</v>
      </c>
      <c r="D433" s="2">
        <f>IFERROR(PPMT(Assumptions!$D$16/12, Model_30y!A433, 360, Assumptions!$D$8), 0)</f>
        <v>0</v>
      </c>
      <c r="E433" s="2">
        <f t="shared" si="103"/>
        <v>0</v>
      </c>
      <c r="F433" s="2">
        <f>IF(I432&gt;1, Assumptions!$E$18, 0)*-1</f>
        <v>0</v>
      </c>
      <c r="G433" s="24">
        <f t="shared" si="104"/>
        <v>1</v>
      </c>
      <c r="H433" s="20">
        <f t="shared" si="110"/>
        <v>339999.99999999994</v>
      </c>
      <c r="I433" s="2">
        <f>MAX(Assumptions!$D$8-SUM(Model_30y!H433), 0)</f>
        <v>5.8207660913467407E-11</v>
      </c>
      <c r="J433" s="2">
        <f>J432*(1+(Assumptions!$E$51))</f>
        <v>2451534.0047927452</v>
      </c>
      <c r="K433" s="22">
        <f t="shared" si="105"/>
        <v>2451534.0047927452</v>
      </c>
      <c r="L433" s="5">
        <f t="shared" si="111"/>
        <v>424999.99999999971</v>
      </c>
      <c r="M433" s="63">
        <f>L433/Assumptions!$D$6</f>
        <v>0.99999999999999933</v>
      </c>
      <c r="N433" s="24">
        <f t="shared" si="119"/>
        <v>0</v>
      </c>
      <c r="O433" s="5">
        <f>N433*Assumptions!$E$25*-1</f>
        <v>0</v>
      </c>
      <c r="P433" s="20">
        <f>Assumptions!$E$35*J433*-1</f>
        <v>-5049.7586598249245</v>
      </c>
      <c r="Q433" s="5">
        <f>J433*Assumptions!$E$36*-1</f>
        <v>-2033.6408955912693</v>
      </c>
      <c r="R433" s="5">
        <f>(R421+(Model_30y!R421*Assumptions!$D$51))</f>
        <v>-1792.2453265201812</v>
      </c>
      <c r="S433" s="5">
        <f>S421+(S421*Assumptions!$D$51)</f>
        <v>0</v>
      </c>
      <c r="T433" s="5">
        <f t="shared" si="114"/>
        <v>0</v>
      </c>
      <c r="U433" s="22">
        <f t="shared" si="106"/>
        <v>-8875.6448819363759</v>
      </c>
      <c r="V433" s="5">
        <f>MAX(Assumptions!$E$18:$E$19)-U433</f>
        <v>11717.277893735072</v>
      </c>
      <c r="W433" s="5">
        <f t="shared" si="107"/>
        <v>0</v>
      </c>
      <c r="X433" s="5">
        <f t="shared" si="112"/>
        <v>-8875.6448819363759</v>
      </c>
      <c r="Y433" s="5">
        <f>C433*Assumptions!$D$44*-1</f>
        <v>0</v>
      </c>
      <c r="Z433" s="5">
        <f t="shared" si="108"/>
        <v>2841.6330117986963</v>
      </c>
      <c r="AA433" s="5">
        <f t="shared" si="115"/>
        <v>2438695.3796097343</v>
      </c>
      <c r="AB433" s="3">
        <f>Assumptions!$E$45</f>
        <v>6.9899151946608562E-3</v>
      </c>
      <c r="AC433" s="5">
        <f t="shared" si="116"/>
        <v>2458583.2865106165</v>
      </c>
      <c r="AD433" s="5">
        <f>AC433*Assumptions!$E$43</f>
        <v>2201.8469547719087</v>
      </c>
      <c r="AE433" s="2">
        <f>AD433*Assumptions!$D$44*-1</f>
        <v>-330.27704321578631</v>
      </c>
      <c r="AF433" s="2">
        <f>AC433*Assumptions!$E$46*-1</f>
        <v>-81.937755380095794</v>
      </c>
      <c r="AG433" s="22">
        <f t="shared" si="117"/>
        <v>2458171.0717120208</v>
      </c>
      <c r="AH433" s="5">
        <f>Model_30y[[#This Row],[Mortgage Payment]]+Model_30y[[#This Row],[Total Upkeep]]+Model_30y[[#This Row],[Monthly Investment]]</f>
        <v>-6034.0118701376796</v>
      </c>
      <c r="AI433" s="5">
        <f>Model_Renter!D433*-1</f>
        <v>9963.1746013055399</v>
      </c>
      <c r="AJ433" s="5">
        <f t="shared" si="118"/>
        <v>3929.1627311678603</v>
      </c>
    </row>
    <row r="434" spans="1:36" x14ac:dyDescent="0.25">
      <c r="A434" s="17">
        <f t="shared" si="113"/>
        <v>432</v>
      </c>
      <c r="B434" s="17">
        <f t="shared" si="109"/>
        <v>36</v>
      </c>
      <c r="C434" s="23">
        <f>IFERROR(IPMT(Assumptions!$D$16/12,Model_30y!A434, 360,Assumptions!$D$8), 0)</f>
        <v>0</v>
      </c>
      <c r="D434" s="2">
        <f>IFERROR(PPMT(Assumptions!$D$16/12, Model_30y!A434, 360, Assumptions!$D$8), 0)</f>
        <v>0</v>
      </c>
      <c r="E434" s="2">
        <f t="shared" si="103"/>
        <v>0</v>
      </c>
      <c r="F434" s="2">
        <f>IF(I433&gt;1, Assumptions!$E$18, 0)*-1</f>
        <v>0</v>
      </c>
      <c r="G434" s="24">
        <f t="shared" si="104"/>
        <v>1</v>
      </c>
      <c r="H434" s="20">
        <f t="shared" si="110"/>
        <v>339999.99999999994</v>
      </c>
      <c r="I434" s="2">
        <f>MAX(Assumptions!$D$8-SUM(Model_30y!H434), 0)</f>
        <v>5.8207660913467407E-11</v>
      </c>
      <c r="J434" s="2">
        <f>J433*(1+(Assumptions!$E$51))</f>
        <v>2461521.8577880939</v>
      </c>
      <c r="K434" s="22">
        <f t="shared" si="105"/>
        <v>2461521.8577880939</v>
      </c>
      <c r="L434" s="5">
        <f t="shared" si="111"/>
        <v>424999.99999999971</v>
      </c>
      <c r="M434" s="63">
        <f>L434/Assumptions!$D$6</f>
        <v>0.99999999999999933</v>
      </c>
      <c r="N434" s="24">
        <f t="shared" si="119"/>
        <v>0</v>
      </c>
      <c r="O434" s="5">
        <f>N434*Assumptions!$E$25*-1</f>
        <v>0</v>
      </c>
      <c r="P434" s="20">
        <f>Assumptions!$E$35*J434*-1</f>
        <v>-5070.332001682601</v>
      </c>
      <c r="Q434" s="5">
        <f>J434*Assumptions!$E$36*-1</f>
        <v>-2041.9262003313975</v>
      </c>
      <c r="R434" s="5">
        <f>(R422+(Model_30y!R422*Assumptions!$D$51))</f>
        <v>-1792.2453265201812</v>
      </c>
      <c r="S434" s="5">
        <f>S422+(S422*Assumptions!$D$51)</f>
        <v>0</v>
      </c>
      <c r="T434" s="5">
        <f t="shared" si="114"/>
        <v>0</v>
      </c>
      <c r="U434" s="22">
        <f t="shared" si="106"/>
        <v>-8904.5035285341801</v>
      </c>
      <c r="V434" s="5">
        <f>MAX(Assumptions!$E$18:$E$19)-U434</f>
        <v>11746.136540332876</v>
      </c>
      <c r="W434" s="5">
        <f t="shared" si="107"/>
        <v>0</v>
      </c>
      <c r="X434" s="5">
        <f t="shared" si="112"/>
        <v>-8904.5035285341801</v>
      </c>
      <c r="Y434" s="5">
        <f>C434*Assumptions!$D$44*-1</f>
        <v>0</v>
      </c>
      <c r="Z434" s="5">
        <f t="shared" si="108"/>
        <v>2841.6330117986963</v>
      </c>
      <c r="AA434" s="5">
        <f t="shared" si="115"/>
        <v>2458171.0717120208</v>
      </c>
      <c r="AB434" s="3">
        <f>Assumptions!$E$45</f>
        <v>6.9899151946608562E-3</v>
      </c>
      <c r="AC434" s="5">
        <f t="shared" si="116"/>
        <v>2478195.1120490553</v>
      </c>
      <c r="AD434" s="5">
        <f>AC434*Assumptions!$E$43</f>
        <v>2219.4108252237479</v>
      </c>
      <c r="AE434" s="2">
        <f>AD434*Assumptions!$D$44*-1</f>
        <v>-332.91162378356216</v>
      </c>
      <c r="AF434" s="2">
        <f>AC434*Assumptions!$E$46*-1</f>
        <v>-82.591363078619764</v>
      </c>
      <c r="AG434" s="22">
        <f t="shared" si="117"/>
        <v>2477779.609062193</v>
      </c>
      <c r="AH434" s="5">
        <f>Model_30y[[#This Row],[Mortgage Payment]]+Model_30y[[#This Row],[Total Upkeep]]+Model_30y[[#This Row],[Monthly Investment]]</f>
        <v>-6062.8705167354838</v>
      </c>
      <c r="AI434" s="5">
        <f>Model_Renter!D434*-1</f>
        <v>9963.1746013055399</v>
      </c>
      <c r="AJ434" s="5">
        <f t="shared" si="118"/>
        <v>3900.3040845700561</v>
      </c>
    </row>
    <row r="435" spans="1:36" x14ac:dyDescent="0.25">
      <c r="A435" s="17">
        <f t="shared" si="113"/>
        <v>433</v>
      </c>
      <c r="B435" s="17">
        <f t="shared" si="109"/>
        <v>37</v>
      </c>
      <c r="C435" s="23">
        <f>IFERROR(IPMT(Assumptions!$D$16/12,Model_30y!A435, 360,Assumptions!$D$8), 0)</f>
        <v>0</v>
      </c>
      <c r="D435" s="2">
        <f>IFERROR(PPMT(Assumptions!$D$16/12, Model_30y!A435, 360, Assumptions!$D$8), 0)</f>
        <v>0</v>
      </c>
      <c r="E435" s="2">
        <f t="shared" si="103"/>
        <v>0</v>
      </c>
      <c r="F435" s="2">
        <f>IF(I434&gt;1, Assumptions!$E$18, 0)*-1</f>
        <v>0</v>
      </c>
      <c r="G435" s="24">
        <f t="shared" si="104"/>
        <v>1</v>
      </c>
      <c r="H435" s="20">
        <f t="shared" si="110"/>
        <v>339999.99999999994</v>
      </c>
      <c r="I435" s="2">
        <f>MAX(Assumptions!$D$8-SUM(Model_30y!H435), 0)</f>
        <v>5.8207660913467407E-11</v>
      </c>
      <c r="J435" s="2">
        <f>J434*(1+(Assumptions!$E$51))</f>
        <v>2471550.4025328788</v>
      </c>
      <c r="K435" s="22">
        <f t="shared" si="105"/>
        <v>2471550.4025328788</v>
      </c>
      <c r="L435" s="5">
        <f t="shared" si="111"/>
        <v>424999.99999999971</v>
      </c>
      <c r="M435" s="63">
        <f>L435/Assumptions!$D$6</f>
        <v>0.99999999999999933</v>
      </c>
      <c r="N435" s="24">
        <f t="shared" si="119"/>
        <v>0</v>
      </c>
      <c r="O435" s="5">
        <f>N435*Assumptions!$E$25*-1</f>
        <v>0</v>
      </c>
      <c r="P435" s="20">
        <f>Assumptions!$E$35*J435*-1</f>
        <v>-5090.98916188165</v>
      </c>
      <c r="Q435" s="5">
        <f>J435*Assumptions!$E$36*-1</f>
        <v>-2050.2452604286223</v>
      </c>
      <c r="R435" s="5">
        <f>(R423+(Model_30y!R423*Assumptions!$D$51))</f>
        <v>-1881.8575928461903</v>
      </c>
      <c r="S435" s="5">
        <f>S423+(S423*Assumptions!$D$51)</f>
        <v>0</v>
      </c>
      <c r="T435" s="5">
        <f t="shared" si="114"/>
        <v>0</v>
      </c>
      <c r="U435" s="22">
        <f t="shared" si="106"/>
        <v>-9023.0920151564624</v>
      </c>
      <c r="V435" s="5">
        <f>MAX(Assumptions!$E$18:$E$19)-U435</f>
        <v>11864.725026955159</v>
      </c>
      <c r="W435" s="5">
        <f t="shared" si="107"/>
        <v>0</v>
      </c>
      <c r="X435" s="5">
        <f t="shared" si="112"/>
        <v>-9023.0920151564624</v>
      </c>
      <c r="Y435" s="5">
        <f>C435*Assumptions!$D$44*-1</f>
        <v>0</v>
      </c>
      <c r="Z435" s="5">
        <f t="shared" si="108"/>
        <v>2841.6330117986963</v>
      </c>
      <c r="AA435" s="5">
        <f t="shared" si="115"/>
        <v>2477779.609062193</v>
      </c>
      <c r="AB435" s="3">
        <f>Assumptions!$E$45</f>
        <v>6.9899151946608562E-3</v>
      </c>
      <c r="AC435" s="5">
        <f t="shared" si="116"/>
        <v>2497940.7114123963</v>
      </c>
      <c r="AD435" s="5">
        <f>AC435*Assumptions!$E$43</f>
        <v>2237.094500235638</v>
      </c>
      <c r="AE435" s="2">
        <f>AD435*Assumptions!$D$44*-1</f>
        <v>-335.56417503534567</v>
      </c>
      <c r="AF435" s="2">
        <f>AC435*Assumptions!$E$46*-1</f>
        <v>-83.249429087342634</v>
      </c>
      <c r="AG435" s="22">
        <f t="shared" si="117"/>
        <v>2497521.8978082738</v>
      </c>
      <c r="AH435" s="5">
        <f>Model_30y[[#This Row],[Mortgage Payment]]+Model_30y[[#This Row],[Total Upkeep]]+Model_30y[[#This Row],[Monthly Investment]]</f>
        <v>-6181.4590033577661</v>
      </c>
      <c r="AI435" s="5">
        <f>Model_Renter!D435*-1</f>
        <v>10335.797331394368</v>
      </c>
      <c r="AJ435" s="5">
        <f t="shared" si="118"/>
        <v>4154.3383280366015</v>
      </c>
    </row>
    <row r="436" spans="1:36" x14ac:dyDescent="0.25">
      <c r="A436" s="17">
        <f t="shared" si="113"/>
        <v>434</v>
      </c>
      <c r="B436" s="17">
        <f t="shared" si="109"/>
        <v>37</v>
      </c>
      <c r="C436" s="23">
        <f>IFERROR(IPMT(Assumptions!$D$16/12,Model_30y!A436, 360,Assumptions!$D$8), 0)</f>
        <v>0</v>
      </c>
      <c r="D436" s="2">
        <f>IFERROR(PPMT(Assumptions!$D$16/12, Model_30y!A436, 360, Assumptions!$D$8), 0)</f>
        <v>0</v>
      </c>
      <c r="E436" s="2">
        <f t="shared" si="103"/>
        <v>0</v>
      </c>
      <c r="F436" s="2">
        <f>IF(I435&gt;1, Assumptions!$E$18, 0)*-1</f>
        <v>0</v>
      </c>
      <c r="G436" s="24">
        <f t="shared" si="104"/>
        <v>1</v>
      </c>
      <c r="H436" s="20">
        <f t="shared" si="110"/>
        <v>339999.99999999994</v>
      </c>
      <c r="I436" s="2">
        <f>MAX(Assumptions!$D$8-SUM(Model_30y!H436), 0)</f>
        <v>5.8207660913467407E-11</v>
      </c>
      <c r="J436" s="2">
        <f>J435*(1+(Assumptions!$E$51))</f>
        <v>2481619.8048103238</v>
      </c>
      <c r="K436" s="22">
        <f t="shared" si="105"/>
        <v>2481619.8048103238</v>
      </c>
      <c r="L436" s="5">
        <f t="shared" si="111"/>
        <v>424999.99999999971</v>
      </c>
      <c r="M436" s="63">
        <f>L436/Assumptions!$D$6</f>
        <v>0.99999999999999933</v>
      </c>
      <c r="N436" s="24">
        <f t="shared" si="119"/>
        <v>0</v>
      </c>
      <c r="O436" s="5">
        <f>N436*Assumptions!$E$25*-1</f>
        <v>0</v>
      </c>
      <c r="P436" s="20">
        <f>Assumptions!$E$35*J436*-1</f>
        <v>-5111.7304819083674</v>
      </c>
      <c r="Q436" s="5">
        <f>J436*Assumptions!$E$36*-1</f>
        <v>-2058.598213406447</v>
      </c>
      <c r="R436" s="5">
        <f>(R424+(Model_30y!R424*Assumptions!$D$51))</f>
        <v>-1881.8575928461903</v>
      </c>
      <c r="S436" s="5">
        <f>S424+(S424*Assumptions!$D$51)</f>
        <v>0</v>
      </c>
      <c r="T436" s="5">
        <f t="shared" si="114"/>
        <v>0</v>
      </c>
      <c r="U436" s="22">
        <f t="shared" si="106"/>
        <v>-9052.186288161005</v>
      </c>
      <c r="V436" s="5">
        <f>MAX(Assumptions!$E$18:$E$19)-U436</f>
        <v>11893.819299959701</v>
      </c>
      <c r="W436" s="5">
        <f t="shared" si="107"/>
        <v>0</v>
      </c>
      <c r="X436" s="5">
        <f t="shared" si="112"/>
        <v>-9052.186288161005</v>
      </c>
      <c r="Y436" s="5">
        <f>C436*Assumptions!$D$44*-1</f>
        <v>0</v>
      </c>
      <c r="Z436" s="5">
        <f t="shared" si="108"/>
        <v>2841.6330117986963</v>
      </c>
      <c r="AA436" s="5">
        <f t="shared" si="115"/>
        <v>2497521.8978082738</v>
      </c>
      <c r="AB436" s="3">
        <f>Assumptions!$E$45</f>
        <v>6.9899151946608562E-3</v>
      </c>
      <c r="AC436" s="5">
        <f t="shared" si="116"/>
        <v>2517820.9970825608</v>
      </c>
      <c r="AD436" s="5">
        <f>AC436*Assumptions!$E$43</f>
        <v>2254.8987970040316</v>
      </c>
      <c r="AE436" s="2">
        <f>AD436*Assumptions!$D$44*-1</f>
        <v>-338.23481955060475</v>
      </c>
      <c r="AF436" s="2">
        <f>AC436*Assumptions!$E$46*-1</f>
        <v>-83.911983816753605</v>
      </c>
      <c r="AG436" s="22">
        <f t="shared" si="117"/>
        <v>2517398.8502791934</v>
      </c>
      <c r="AH436" s="5">
        <f>Model_30y[[#This Row],[Mortgage Payment]]+Model_30y[[#This Row],[Total Upkeep]]+Model_30y[[#This Row],[Monthly Investment]]</f>
        <v>-6210.5532763623087</v>
      </c>
      <c r="AI436" s="5">
        <f>Model_Renter!D436*-1</f>
        <v>10335.797331394368</v>
      </c>
      <c r="AJ436" s="5">
        <f t="shared" si="118"/>
        <v>4125.2440550320589</v>
      </c>
    </row>
    <row r="437" spans="1:36" x14ac:dyDescent="0.25">
      <c r="A437" s="17">
        <f t="shared" si="113"/>
        <v>435</v>
      </c>
      <c r="B437" s="17">
        <f t="shared" si="109"/>
        <v>37</v>
      </c>
      <c r="C437" s="23">
        <f>IFERROR(IPMT(Assumptions!$D$16/12,Model_30y!A437, 360,Assumptions!$D$8), 0)</f>
        <v>0</v>
      </c>
      <c r="D437" s="2">
        <f>IFERROR(PPMT(Assumptions!$D$16/12, Model_30y!A437, 360, Assumptions!$D$8), 0)</f>
        <v>0</v>
      </c>
      <c r="E437" s="2">
        <f t="shared" si="103"/>
        <v>0</v>
      </c>
      <c r="F437" s="2">
        <f>IF(I436&gt;1, Assumptions!$E$18, 0)*-1</f>
        <v>0</v>
      </c>
      <c r="G437" s="24">
        <f t="shared" si="104"/>
        <v>1</v>
      </c>
      <c r="H437" s="20">
        <f t="shared" si="110"/>
        <v>339999.99999999994</v>
      </c>
      <c r="I437" s="2">
        <f>MAX(Assumptions!$D$8-SUM(Model_30y!H437), 0)</f>
        <v>5.8207660913467407E-11</v>
      </c>
      <c r="J437" s="2">
        <f>J436*(1+(Assumptions!$E$51))</f>
        <v>2491730.2310790741</v>
      </c>
      <c r="K437" s="22">
        <f t="shared" si="105"/>
        <v>2491730.2310790741</v>
      </c>
      <c r="L437" s="5">
        <f t="shared" si="111"/>
        <v>424999.99999999971</v>
      </c>
      <c r="M437" s="63">
        <f>L437/Assumptions!$D$6</f>
        <v>0.99999999999999933</v>
      </c>
      <c r="N437" s="24">
        <f t="shared" si="119"/>
        <v>0</v>
      </c>
      <c r="O437" s="5">
        <f>N437*Assumptions!$E$25*-1</f>
        <v>0</v>
      </c>
      <c r="P437" s="20">
        <f>Assumptions!$E$35*J437*-1</f>
        <v>-5132.5563046403104</v>
      </c>
      <c r="Q437" s="5">
        <f>J437*Assumptions!$E$36*-1</f>
        <v>-2066.985197348662</v>
      </c>
      <c r="R437" s="5">
        <f>(R425+(Model_30y!R425*Assumptions!$D$51))</f>
        <v>-1881.8575928461903</v>
      </c>
      <c r="S437" s="5">
        <f>S425+(S425*Assumptions!$D$51)</f>
        <v>0</v>
      </c>
      <c r="T437" s="5">
        <f t="shared" si="114"/>
        <v>0</v>
      </c>
      <c r="U437" s="22">
        <f t="shared" si="106"/>
        <v>-9081.399094835162</v>
      </c>
      <c r="V437" s="5">
        <f>MAX(Assumptions!$E$18:$E$19)-U437</f>
        <v>11923.032106633858</v>
      </c>
      <c r="W437" s="5">
        <f t="shared" si="107"/>
        <v>0</v>
      </c>
      <c r="X437" s="5">
        <f t="shared" si="112"/>
        <v>-9081.399094835162</v>
      </c>
      <c r="Y437" s="5">
        <f>C437*Assumptions!$D$44*-1</f>
        <v>0</v>
      </c>
      <c r="Z437" s="5">
        <f t="shared" si="108"/>
        <v>2841.6330117986963</v>
      </c>
      <c r="AA437" s="5">
        <f t="shared" si="115"/>
        <v>2517398.8502791934</v>
      </c>
      <c r="AB437" s="3">
        <f>Assumptions!$E$45</f>
        <v>6.9899151946608562E-3</v>
      </c>
      <c r="AC437" s="5">
        <f t="shared" si="116"/>
        <v>2537836.8877655803</v>
      </c>
      <c r="AD437" s="5">
        <f>AC437*Assumptions!$E$43</f>
        <v>2272.8245382995415</v>
      </c>
      <c r="AE437" s="2">
        <f>AD437*Assumptions!$D$44*-1</f>
        <v>-340.92368074493123</v>
      </c>
      <c r="AF437" s="2">
        <f>AC437*Assumptions!$E$46*-1</f>
        <v>-84.579057884774159</v>
      </c>
      <c r="AG437" s="22">
        <f t="shared" si="117"/>
        <v>2537411.3850269504</v>
      </c>
      <c r="AH437" s="5">
        <f>Model_30y[[#This Row],[Mortgage Payment]]+Model_30y[[#This Row],[Total Upkeep]]+Model_30y[[#This Row],[Monthly Investment]]</f>
        <v>-6239.7660830364657</v>
      </c>
      <c r="AI437" s="5">
        <f>Model_Renter!D437*-1</f>
        <v>10335.797331394368</v>
      </c>
      <c r="AJ437" s="5">
        <f t="shared" si="118"/>
        <v>4096.0312483579019</v>
      </c>
    </row>
    <row r="438" spans="1:36" x14ac:dyDescent="0.25">
      <c r="A438" s="17">
        <f t="shared" si="113"/>
        <v>436</v>
      </c>
      <c r="B438" s="17">
        <f t="shared" si="109"/>
        <v>37</v>
      </c>
      <c r="C438" s="23">
        <f>IFERROR(IPMT(Assumptions!$D$16/12,Model_30y!A438, 360,Assumptions!$D$8), 0)</f>
        <v>0</v>
      </c>
      <c r="D438" s="2">
        <f>IFERROR(PPMT(Assumptions!$D$16/12, Model_30y!A438, 360, Assumptions!$D$8), 0)</f>
        <v>0</v>
      </c>
      <c r="E438" s="2">
        <f t="shared" si="103"/>
        <v>0</v>
      </c>
      <c r="F438" s="2">
        <f>IF(I437&gt;1, Assumptions!$E$18, 0)*-1</f>
        <v>0</v>
      </c>
      <c r="G438" s="24">
        <f t="shared" si="104"/>
        <v>1</v>
      </c>
      <c r="H438" s="20">
        <f t="shared" si="110"/>
        <v>339999.99999999994</v>
      </c>
      <c r="I438" s="2">
        <f>MAX(Assumptions!$D$8-SUM(Model_30y!H438), 0)</f>
        <v>5.8207660913467407E-11</v>
      </c>
      <c r="J438" s="2">
        <f>J437*(1+(Assumptions!$E$51))</f>
        <v>2501881.8484759489</v>
      </c>
      <c r="K438" s="22">
        <f t="shared" si="105"/>
        <v>2501881.8484759489</v>
      </c>
      <c r="L438" s="5">
        <f t="shared" si="111"/>
        <v>424999.99999999971</v>
      </c>
      <c r="M438" s="63">
        <f>L438/Assumptions!$D$6</f>
        <v>0.99999999999999933</v>
      </c>
      <c r="N438" s="24">
        <f t="shared" si="119"/>
        <v>0</v>
      </c>
      <c r="O438" s="5">
        <f>N438*Assumptions!$E$25*-1</f>
        <v>0</v>
      </c>
      <c r="P438" s="20">
        <f>Assumptions!$E$35*J438*-1</f>
        <v>-5153.4669743519598</v>
      </c>
      <c r="Q438" s="5">
        <f>J438*Assumptions!$E$36*-1</f>
        <v>-2075.4063509016291</v>
      </c>
      <c r="R438" s="5">
        <f>(R426+(Model_30y!R426*Assumptions!$D$51))</f>
        <v>-1881.8575928461903</v>
      </c>
      <c r="S438" s="5">
        <f>S426+(S426*Assumptions!$D$51)</f>
        <v>0</v>
      </c>
      <c r="T438" s="5">
        <f t="shared" si="114"/>
        <v>0</v>
      </c>
      <c r="U438" s="22">
        <f t="shared" si="106"/>
        <v>-9110.73091809978</v>
      </c>
      <c r="V438" s="5">
        <f>MAX(Assumptions!$E$18:$E$19)-U438</f>
        <v>11952.363929898476</v>
      </c>
      <c r="W438" s="5">
        <f t="shared" si="107"/>
        <v>0</v>
      </c>
      <c r="X438" s="5">
        <f t="shared" si="112"/>
        <v>-9110.73091809978</v>
      </c>
      <c r="Y438" s="5">
        <f>C438*Assumptions!$D$44*-1</f>
        <v>0</v>
      </c>
      <c r="Z438" s="5">
        <f t="shared" si="108"/>
        <v>2841.6330117986963</v>
      </c>
      <c r="AA438" s="5">
        <f t="shared" si="115"/>
        <v>2537411.3850269504</v>
      </c>
      <c r="AB438" s="3">
        <f>Assumptions!$E$45</f>
        <v>6.9899151946608562E-3</v>
      </c>
      <c r="AC438" s="5">
        <f t="shared" si="116"/>
        <v>2557989.3084340547</v>
      </c>
      <c r="AD438" s="5">
        <f>AC438*Assumptions!$E$43</f>
        <v>2290.8725525049663</v>
      </c>
      <c r="AE438" s="2">
        <f>AD438*Assumptions!$D$44*-1</f>
        <v>-343.63088287574493</v>
      </c>
      <c r="AF438" s="2">
        <f>AC438*Assumptions!$E$46*-1</f>
        <v>-85.250682118173145</v>
      </c>
      <c r="AG438" s="22">
        <f t="shared" si="117"/>
        <v>2557560.4268690608</v>
      </c>
      <c r="AH438" s="5">
        <f>Model_30y[[#This Row],[Mortgage Payment]]+Model_30y[[#This Row],[Total Upkeep]]+Model_30y[[#This Row],[Monthly Investment]]</f>
        <v>-6269.0979063010836</v>
      </c>
      <c r="AI438" s="5">
        <f>Model_Renter!D438*-1</f>
        <v>10335.797331394368</v>
      </c>
      <c r="AJ438" s="5">
        <f t="shared" si="118"/>
        <v>4066.6994250932839</v>
      </c>
    </row>
    <row r="439" spans="1:36" x14ac:dyDescent="0.25">
      <c r="A439" s="17">
        <f t="shared" si="113"/>
        <v>437</v>
      </c>
      <c r="B439" s="17">
        <f t="shared" si="109"/>
        <v>37</v>
      </c>
      <c r="C439" s="23">
        <f>IFERROR(IPMT(Assumptions!$D$16/12,Model_30y!A439, 360,Assumptions!$D$8), 0)</f>
        <v>0</v>
      </c>
      <c r="D439" s="2">
        <f>IFERROR(PPMT(Assumptions!$D$16/12, Model_30y!A439, 360, Assumptions!$D$8), 0)</f>
        <v>0</v>
      </c>
      <c r="E439" s="2">
        <f t="shared" si="103"/>
        <v>0</v>
      </c>
      <c r="F439" s="2">
        <f>IF(I438&gt;1, Assumptions!$E$18, 0)*-1</f>
        <v>0</v>
      </c>
      <c r="G439" s="24">
        <f t="shared" si="104"/>
        <v>1</v>
      </c>
      <c r="H439" s="20">
        <f t="shared" si="110"/>
        <v>339999.99999999994</v>
      </c>
      <c r="I439" s="2">
        <f>MAX(Assumptions!$D$8-SUM(Model_30y!H439), 0)</f>
        <v>5.8207660913467407E-11</v>
      </c>
      <c r="J439" s="2">
        <f>J438*(1+(Assumptions!$E$51))</f>
        <v>2512074.8248187029</v>
      </c>
      <c r="K439" s="22">
        <f t="shared" si="105"/>
        <v>2512074.8248187029</v>
      </c>
      <c r="L439" s="5">
        <f t="shared" si="111"/>
        <v>424999.99999999971</v>
      </c>
      <c r="M439" s="63">
        <f>L439/Assumptions!$D$6</f>
        <v>0.99999999999999933</v>
      </c>
      <c r="N439" s="24">
        <f t="shared" si="119"/>
        <v>0</v>
      </c>
      <c r="O439" s="5">
        <f>N439*Assumptions!$E$25*-1</f>
        <v>0</v>
      </c>
      <c r="P439" s="20">
        <f>Assumptions!$E$35*J439*-1</f>
        <v>-5174.4628367204132</v>
      </c>
      <c r="Q439" s="5">
        <f>J439*Assumptions!$E$36*-1</f>
        <v>-2083.8618132765723</v>
      </c>
      <c r="R439" s="5">
        <f>(R427+(Model_30y!R427*Assumptions!$D$51))</f>
        <v>-1881.8575928461903</v>
      </c>
      <c r="S439" s="5">
        <f>S427+(S427*Assumptions!$D$51)</f>
        <v>0</v>
      </c>
      <c r="T439" s="5">
        <f t="shared" si="114"/>
        <v>0</v>
      </c>
      <c r="U439" s="22">
        <f t="shared" si="106"/>
        <v>-9140.1822428431751</v>
      </c>
      <c r="V439" s="5">
        <f>MAX(Assumptions!$E$18:$E$19)-U439</f>
        <v>11981.815254641871</v>
      </c>
      <c r="W439" s="5">
        <f t="shared" si="107"/>
        <v>0</v>
      </c>
      <c r="X439" s="5">
        <f t="shared" si="112"/>
        <v>-9140.1822428431751</v>
      </c>
      <c r="Y439" s="5">
        <f>C439*Assumptions!$D$44*-1</f>
        <v>0</v>
      </c>
      <c r="Z439" s="5">
        <f t="shared" si="108"/>
        <v>2841.6330117986963</v>
      </c>
      <c r="AA439" s="5">
        <f t="shared" si="115"/>
        <v>2557560.4268690608</v>
      </c>
      <c r="AB439" s="3">
        <f>Assumptions!$E$45</f>
        <v>6.9899151946608562E-3</v>
      </c>
      <c r="AC439" s="5">
        <f t="shared" si="116"/>
        <v>2578279.1903698952</v>
      </c>
      <c r="AD439" s="5">
        <f>AC439*Assumptions!$E$43</f>
        <v>2309.043673653568</v>
      </c>
      <c r="AE439" s="2">
        <f>AD439*Assumptions!$D$44*-1</f>
        <v>-346.35655104803521</v>
      </c>
      <c r="AF439" s="2">
        <f>AC439*Assumptions!$E$46*-1</f>
        <v>-85.926887553991207</v>
      </c>
      <c r="AG439" s="22">
        <f t="shared" si="117"/>
        <v>2577846.9069312932</v>
      </c>
      <c r="AH439" s="5">
        <f>Model_30y[[#This Row],[Mortgage Payment]]+Model_30y[[#This Row],[Total Upkeep]]+Model_30y[[#This Row],[Monthly Investment]]</f>
        <v>-6298.5492310444788</v>
      </c>
      <c r="AI439" s="5">
        <f>Model_Renter!D439*-1</f>
        <v>10335.797331394368</v>
      </c>
      <c r="AJ439" s="5">
        <f t="shared" si="118"/>
        <v>4037.2481003498888</v>
      </c>
    </row>
    <row r="440" spans="1:36" x14ac:dyDescent="0.25">
      <c r="A440" s="17">
        <f t="shared" si="113"/>
        <v>438</v>
      </c>
      <c r="B440" s="17">
        <f t="shared" si="109"/>
        <v>37</v>
      </c>
      <c r="C440" s="23">
        <f>IFERROR(IPMT(Assumptions!$D$16/12,Model_30y!A440, 360,Assumptions!$D$8), 0)</f>
        <v>0</v>
      </c>
      <c r="D440" s="2">
        <f>IFERROR(PPMT(Assumptions!$D$16/12, Model_30y!A440, 360, Assumptions!$D$8), 0)</f>
        <v>0</v>
      </c>
      <c r="E440" s="2">
        <f t="shared" si="103"/>
        <v>0</v>
      </c>
      <c r="F440" s="2">
        <f>IF(I439&gt;1, Assumptions!$E$18, 0)*-1</f>
        <v>0</v>
      </c>
      <c r="G440" s="24">
        <f t="shared" si="104"/>
        <v>1</v>
      </c>
      <c r="H440" s="20">
        <f t="shared" si="110"/>
        <v>339999.99999999994</v>
      </c>
      <c r="I440" s="2">
        <f>MAX(Assumptions!$D$8-SUM(Model_30y!H440), 0)</f>
        <v>5.8207660913467407E-11</v>
      </c>
      <c r="J440" s="2">
        <f>J439*(1+(Assumptions!$E$51))</f>
        <v>2522309.3286088011</v>
      </c>
      <c r="K440" s="22">
        <f t="shared" si="105"/>
        <v>2522309.3286088011</v>
      </c>
      <c r="L440" s="5">
        <f t="shared" si="111"/>
        <v>424999.99999999971</v>
      </c>
      <c r="M440" s="63">
        <f>L440/Assumptions!$D$6</f>
        <v>0.99999999999999933</v>
      </c>
      <c r="N440" s="24">
        <f t="shared" si="119"/>
        <v>0</v>
      </c>
      <c r="O440" s="5">
        <f>N440*Assumptions!$E$25*-1</f>
        <v>0</v>
      </c>
      <c r="P440" s="20">
        <f>Assumptions!$E$35*J440*-1</f>
        <v>-5195.5442388311012</v>
      </c>
      <c r="Q440" s="5">
        <f>J440*Assumptions!$E$36*-1</f>
        <v>-2092.3517242518792</v>
      </c>
      <c r="R440" s="5">
        <f>(R428+(Model_30y!R428*Assumptions!$D$51))</f>
        <v>-1881.8575928461903</v>
      </c>
      <c r="S440" s="5">
        <f>S428+(S428*Assumptions!$D$51)</f>
        <v>0</v>
      </c>
      <c r="T440" s="5">
        <f t="shared" si="114"/>
        <v>0</v>
      </c>
      <c r="U440" s="22">
        <f t="shared" si="106"/>
        <v>-9169.75355592917</v>
      </c>
      <c r="V440" s="5">
        <f>MAX(Assumptions!$E$18:$E$19)-U440</f>
        <v>12011.386567727866</v>
      </c>
      <c r="W440" s="5">
        <f t="shared" si="107"/>
        <v>0</v>
      </c>
      <c r="X440" s="5">
        <f t="shared" si="112"/>
        <v>-9169.75355592917</v>
      </c>
      <c r="Y440" s="5">
        <f>C440*Assumptions!$D$44*-1</f>
        <v>0</v>
      </c>
      <c r="Z440" s="5">
        <f t="shared" si="108"/>
        <v>2841.6330117986963</v>
      </c>
      <c r="AA440" s="5">
        <f t="shared" si="115"/>
        <v>2577846.9069312932</v>
      </c>
      <c r="AB440" s="3">
        <f>Assumptions!$E$45</f>
        <v>6.9899151946608562E-3</v>
      </c>
      <c r="AC440" s="5">
        <f t="shared" si="116"/>
        <v>2598707.4712073607</v>
      </c>
      <c r="AD440" s="5">
        <f>AC440*Assumptions!$E$43</f>
        <v>2327.3387414676167</v>
      </c>
      <c r="AE440" s="2">
        <f>AD440*Assumptions!$D$44*-1</f>
        <v>-349.10081122014248</v>
      </c>
      <c r="AF440" s="2">
        <f>AC440*Assumptions!$E$46*-1</f>
        <v>-86.607705440975124</v>
      </c>
      <c r="AG440" s="22">
        <f t="shared" si="117"/>
        <v>2598271.7626906997</v>
      </c>
      <c r="AH440" s="5">
        <f>Model_30y[[#This Row],[Mortgage Payment]]+Model_30y[[#This Row],[Total Upkeep]]+Model_30y[[#This Row],[Monthly Investment]]</f>
        <v>-6328.1205441304737</v>
      </c>
      <c r="AI440" s="5">
        <f>Model_Renter!D440*-1</f>
        <v>10335.797331394368</v>
      </c>
      <c r="AJ440" s="5">
        <f t="shared" si="118"/>
        <v>4007.6767872638939</v>
      </c>
    </row>
    <row r="441" spans="1:36" x14ac:dyDescent="0.25">
      <c r="A441" s="17">
        <f t="shared" si="113"/>
        <v>439</v>
      </c>
      <c r="B441" s="17">
        <f t="shared" si="109"/>
        <v>37</v>
      </c>
      <c r="C441" s="23">
        <f>IFERROR(IPMT(Assumptions!$D$16/12,Model_30y!A441, 360,Assumptions!$D$8), 0)</f>
        <v>0</v>
      </c>
      <c r="D441" s="2">
        <f>IFERROR(PPMT(Assumptions!$D$16/12, Model_30y!A441, 360, Assumptions!$D$8), 0)</f>
        <v>0</v>
      </c>
      <c r="E441" s="2">
        <f t="shared" si="103"/>
        <v>0</v>
      </c>
      <c r="F441" s="2">
        <f>IF(I440&gt;1, Assumptions!$E$18, 0)*-1</f>
        <v>0</v>
      </c>
      <c r="G441" s="24">
        <f t="shared" si="104"/>
        <v>1</v>
      </c>
      <c r="H441" s="20">
        <f t="shared" si="110"/>
        <v>339999.99999999994</v>
      </c>
      <c r="I441" s="2">
        <f>MAX(Assumptions!$D$8-SUM(Model_30y!H441), 0)</f>
        <v>5.8207660913467407E-11</v>
      </c>
      <c r="J441" s="2">
        <f>J440*(1+(Assumptions!$E$51))</f>
        <v>2532585.5290342043</v>
      </c>
      <c r="K441" s="22">
        <f t="shared" si="105"/>
        <v>2532585.5290342043</v>
      </c>
      <c r="L441" s="5">
        <f t="shared" si="111"/>
        <v>424999.99999999971</v>
      </c>
      <c r="M441" s="63">
        <f>L441/Assumptions!$D$6</f>
        <v>0.99999999999999933</v>
      </c>
      <c r="N441" s="24">
        <f t="shared" si="119"/>
        <v>0</v>
      </c>
      <c r="O441" s="5">
        <f>N441*Assumptions!$E$25*-1</f>
        <v>0</v>
      </c>
      <c r="P441" s="20">
        <f>Assumptions!$E$35*J441*-1</f>
        <v>-5216.7115291835198</v>
      </c>
      <c r="Q441" s="5">
        <f>J441*Assumptions!$E$36*-1</f>
        <v>-2100.8762241754116</v>
      </c>
      <c r="R441" s="5">
        <f>(R429+(Model_30y!R429*Assumptions!$D$51))</f>
        <v>-1881.8575928461903</v>
      </c>
      <c r="S441" s="5">
        <f>S429+(S429*Assumptions!$D$51)</f>
        <v>0</v>
      </c>
      <c r="T441" s="5">
        <f t="shared" si="114"/>
        <v>0</v>
      </c>
      <c r="U441" s="22">
        <f t="shared" si="106"/>
        <v>-9199.4453462051224</v>
      </c>
      <c r="V441" s="5">
        <f>MAX(Assumptions!$E$18:$E$19)-U441</f>
        <v>12041.078358003819</v>
      </c>
      <c r="W441" s="5">
        <f t="shared" si="107"/>
        <v>0</v>
      </c>
      <c r="X441" s="5">
        <f t="shared" si="112"/>
        <v>-9199.4453462051224</v>
      </c>
      <c r="Y441" s="5">
        <f>C441*Assumptions!$D$44*-1</f>
        <v>0</v>
      </c>
      <c r="Z441" s="5">
        <f t="shared" si="108"/>
        <v>2841.6330117986963</v>
      </c>
      <c r="AA441" s="5">
        <f t="shared" si="115"/>
        <v>2598271.7626906997</v>
      </c>
      <c r="AB441" s="3">
        <f>Assumptions!$E$45</f>
        <v>6.9899151946608562E-3</v>
      </c>
      <c r="AC441" s="5">
        <f t="shared" si="116"/>
        <v>2619275.0949763884</v>
      </c>
      <c r="AD441" s="5">
        <f>AC441*Assumptions!$E$43</f>
        <v>2345.758601397195</v>
      </c>
      <c r="AE441" s="2">
        <f>AD441*Assumptions!$D$44*-1</f>
        <v>-351.86379020957924</v>
      </c>
      <c r="AF441" s="2">
        <f>AC441*Assumptions!$E$46*-1</f>
        <v>-87.293167241021891</v>
      </c>
      <c r="AG441" s="22">
        <f t="shared" si="117"/>
        <v>2618835.9380189376</v>
      </c>
      <c r="AH441" s="5">
        <f>Model_30y[[#This Row],[Mortgage Payment]]+Model_30y[[#This Row],[Total Upkeep]]+Model_30y[[#This Row],[Monthly Investment]]</f>
        <v>-6357.8123344064261</v>
      </c>
      <c r="AI441" s="5">
        <f>Model_Renter!D441*-1</f>
        <v>10335.797331394368</v>
      </c>
      <c r="AJ441" s="5">
        <f t="shared" si="118"/>
        <v>3977.9849969879415</v>
      </c>
    </row>
    <row r="442" spans="1:36" x14ac:dyDescent="0.25">
      <c r="A442" s="17">
        <f t="shared" si="113"/>
        <v>440</v>
      </c>
      <c r="B442" s="17">
        <f t="shared" si="109"/>
        <v>37</v>
      </c>
      <c r="C442" s="23">
        <f>IFERROR(IPMT(Assumptions!$D$16/12,Model_30y!A442, 360,Assumptions!$D$8), 0)</f>
        <v>0</v>
      </c>
      <c r="D442" s="2">
        <f>IFERROR(PPMT(Assumptions!$D$16/12, Model_30y!A442, 360, Assumptions!$D$8), 0)</f>
        <v>0</v>
      </c>
      <c r="E442" s="2">
        <f t="shared" si="103"/>
        <v>0</v>
      </c>
      <c r="F442" s="2">
        <f>IF(I441&gt;1, Assumptions!$E$18, 0)*-1</f>
        <v>0</v>
      </c>
      <c r="G442" s="24">
        <f t="shared" si="104"/>
        <v>1</v>
      </c>
      <c r="H442" s="20">
        <f t="shared" si="110"/>
        <v>339999.99999999994</v>
      </c>
      <c r="I442" s="2">
        <f>MAX(Assumptions!$D$8-SUM(Model_30y!H442), 0)</f>
        <v>5.8207660913467407E-11</v>
      </c>
      <c r="J442" s="2">
        <f>J441*(1+(Assumptions!$E$51))</f>
        <v>2542903.5959721664</v>
      </c>
      <c r="K442" s="22">
        <f t="shared" si="105"/>
        <v>2542903.5959721664</v>
      </c>
      <c r="L442" s="5">
        <f t="shared" si="111"/>
        <v>424999.99999999971</v>
      </c>
      <c r="M442" s="63">
        <f>L442/Assumptions!$D$6</f>
        <v>0.99999999999999933</v>
      </c>
      <c r="N442" s="24">
        <f t="shared" si="119"/>
        <v>0</v>
      </c>
      <c r="O442" s="5">
        <f>N442*Assumptions!$E$25*-1</f>
        <v>0</v>
      </c>
      <c r="P442" s="20">
        <f>Assumptions!$E$35*J442*-1</f>
        <v>-5237.9650576969989</v>
      </c>
      <c r="Q442" s="5">
        <f>J442*Assumptions!$E$36*-1</f>
        <v>-2109.4354539668261</v>
      </c>
      <c r="R442" s="5">
        <f>(R430+(Model_30y!R430*Assumptions!$D$51))</f>
        <v>-1881.8575928461903</v>
      </c>
      <c r="S442" s="5">
        <f>S430+(S430*Assumptions!$D$51)</f>
        <v>0</v>
      </c>
      <c r="T442" s="5">
        <f t="shared" si="114"/>
        <v>0</v>
      </c>
      <c r="U442" s="22">
        <f t="shared" si="106"/>
        <v>-9229.258104510016</v>
      </c>
      <c r="V442" s="5">
        <f>MAX(Assumptions!$E$18:$E$19)-U442</f>
        <v>12070.891116308712</v>
      </c>
      <c r="W442" s="5">
        <f t="shared" si="107"/>
        <v>0</v>
      </c>
      <c r="X442" s="5">
        <f t="shared" si="112"/>
        <v>-9229.258104510016</v>
      </c>
      <c r="Y442" s="5">
        <f>C442*Assumptions!$D$44*-1</f>
        <v>0</v>
      </c>
      <c r="Z442" s="5">
        <f t="shared" si="108"/>
        <v>2841.6330117986963</v>
      </c>
      <c r="AA442" s="5">
        <f t="shared" si="115"/>
        <v>2618835.9380189376</v>
      </c>
      <c r="AB442" s="3">
        <f>Assumptions!$E$45</f>
        <v>6.9899151946608562E-3</v>
      </c>
      <c r="AC442" s="5">
        <f t="shared" si="116"/>
        <v>2639983.0121462191</v>
      </c>
      <c r="AD442" s="5">
        <f>AC442*Assumptions!$E$43</f>
        <v>2364.304104659268</v>
      </c>
      <c r="AE442" s="2">
        <f>AD442*Assumptions!$D$44*-1</f>
        <v>-354.6456156988902</v>
      </c>
      <c r="AF442" s="2">
        <f>AC442*Assumptions!$E$46*-1</f>
        <v>-87.98330463063256</v>
      </c>
      <c r="AG442" s="22">
        <f t="shared" si="117"/>
        <v>2639540.3832258894</v>
      </c>
      <c r="AH442" s="5">
        <f>Model_30y[[#This Row],[Mortgage Payment]]+Model_30y[[#This Row],[Total Upkeep]]+Model_30y[[#This Row],[Monthly Investment]]</f>
        <v>-6387.6250927113197</v>
      </c>
      <c r="AI442" s="5">
        <f>Model_Renter!D442*-1</f>
        <v>10335.797331394368</v>
      </c>
      <c r="AJ442" s="5">
        <f t="shared" si="118"/>
        <v>3948.1722386830479</v>
      </c>
    </row>
    <row r="443" spans="1:36" x14ac:dyDescent="0.25">
      <c r="A443" s="17">
        <f t="shared" si="113"/>
        <v>441</v>
      </c>
      <c r="B443" s="17">
        <f t="shared" si="109"/>
        <v>37</v>
      </c>
      <c r="C443" s="23">
        <f>IFERROR(IPMT(Assumptions!$D$16/12,Model_30y!A443, 360,Assumptions!$D$8), 0)</f>
        <v>0</v>
      </c>
      <c r="D443" s="2">
        <f>IFERROR(PPMT(Assumptions!$D$16/12, Model_30y!A443, 360, Assumptions!$D$8), 0)</f>
        <v>0</v>
      </c>
      <c r="E443" s="2">
        <f t="shared" si="103"/>
        <v>0</v>
      </c>
      <c r="F443" s="2">
        <f>IF(I442&gt;1, Assumptions!$E$18, 0)*-1</f>
        <v>0</v>
      </c>
      <c r="G443" s="24">
        <f t="shared" si="104"/>
        <v>1</v>
      </c>
      <c r="H443" s="20">
        <f t="shared" si="110"/>
        <v>339999.99999999994</v>
      </c>
      <c r="I443" s="2">
        <f>MAX(Assumptions!$D$8-SUM(Model_30y!H443), 0)</f>
        <v>5.8207660913467407E-11</v>
      </c>
      <c r="J443" s="2">
        <f>J442*(1+(Assumptions!$E$51))</f>
        <v>2553263.6999920416</v>
      </c>
      <c r="K443" s="22">
        <f t="shared" si="105"/>
        <v>2553263.6999920416</v>
      </c>
      <c r="L443" s="5">
        <f t="shared" si="111"/>
        <v>424999.99999999971</v>
      </c>
      <c r="M443" s="63">
        <f>L443/Assumptions!$D$6</f>
        <v>0.99999999999999933</v>
      </c>
      <c r="N443" s="24">
        <f t="shared" si="119"/>
        <v>0</v>
      </c>
      <c r="O443" s="5">
        <f>N443*Assumptions!$E$25*-1</f>
        <v>0</v>
      </c>
      <c r="P443" s="20">
        <f>Assumptions!$E$35*J443*-1</f>
        <v>-5259.3051757164822</v>
      </c>
      <c r="Q443" s="5">
        <f>J443*Assumptions!$E$36*-1</f>
        <v>-2118.0295551199033</v>
      </c>
      <c r="R443" s="5">
        <f>(R431+(Model_30y!R431*Assumptions!$D$51))</f>
        <v>-1881.8575928461903</v>
      </c>
      <c r="S443" s="5">
        <f>S431+(S431*Assumptions!$D$51)</f>
        <v>0</v>
      </c>
      <c r="T443" s="5">
        <f t="shared" si="114"/>
        <v>0</v>
      </c>
      <c r="U443" s="22">
        <f t="shared" si="106"/>
        <v>-9259.1923236825751</v>
      </c>
      <c r="V443" s="5">
        <f>MAX(Assumptions!$E$18:$E$19)-U443</f>
        <v>12100.825335481271</v>
      </c>
      <c r="W443" s="5">
        <f t="shared" si="107"/>
        <v>0</v>
      </c>
      <c r="X443" s="5">
        <f t="shared" si="112"/>
        <v>-9259.1923236825751</v>
      </c>
      <c r="Y443" s="5">
        <f>C443*Assumptions!$D$44*-1</f>
        <v>0</v>
      </c>
      <c r="Z443" s="5">
        <f t="shared" si="108"/>
        <v>2841.6330117986963</v>
      </c>
      <c r="AA443" s="5">
        <f t="shared" si="115"/>
        <v>2639540.3832258894</v>
      </c>
      <c r="AB443" s="3">
        <f>Assumptions!$E$45</f>
        <v>6.9899151946608562E-3</v>
      </c>
      <c r="AC443" s="5">
        <f t="shared" si="116"/>
        <v>2660832.1796693197</v>
      </c>
      <c r="AD443" s="5">
        <f>AC443*Assumptions!$E$43</f>
        <v>2382.9761082770192</v>
      </c>
      <c r="AE443" s="2">
        <f>AD443*Assumptions!$D$44*-1</f>
        <v>-357.44641624155287</v>
      </c>
      <c r="AF443" s="2">
        <f>AC443*Assumptions!$E$46*-1</f>
        <v>-88.678149502376172</v>
      </c>
      <c r="AG443" s="22">
        <f t="shared" si="117"/>
        <v>2660386.0551035758</v>
      </c>
      <c r="AH443" s="5">
        <f>Model_30y[[#This Row],[Mortgage Payment]]+Model_30y[[#This Row],[Total Upkeep]]+Model_30y[[#This Row],[Monthly Investment]]</f>
        <v>-6417.5593118838788</v>
      </c>
      <c r="AI443" s="5">
        <f>Model_Renter!D443*-1</f>
        <v>10335.797331394368</v>
      </c>
      <c r="AJ443" s="5">
        <f t="shared" si="118"/>
        <v>3918.2380195104888</v>
      </c>
    </row>
    <row r="444" spans="1:36" x14ac:dyDescent="0.25">
      <c r="A444" s="17">
        <f t="shared" si="113"/>
        <v>442</v>
      </c>
      <c r="B444" s="17">
        <f t="shared" si="109"/>
        <v>37</v>
      </c>
      <c r="C444" s="23">
        <f>IFERROR(IPMT(Assumptions!$D$16/12,Model_30y!A444, 360,Assumptions!$D$8), 0)</f>
        <v>0</v>
      </c>
      <c r="D444" s="2">
        <f>IFERROR(PPMT(Assumptions!$D$16/12, Model_30y!A444, 360, Assumptions!$D$8), 0)</f>
        <v>0</v>
      </c>
      <c r="E444" s="2">
        <f t="shared" si="103"/>
        <v>0</v>
      </c>
      <c r="F444" s="2">
        <f>IF(I443&gt;1, Assumptions!$E$18, 0)*-1</f>
        <v>0</v>
      </c>
      <c r="G444" s="24">
        <f t="shared" si="104"/>
        <v>1</v>
      </c>
      <c r="H444" s="20">
        <f t="shared" si="110"/>
        <v>339999.99999999994</v>
      </c>
      <c r="I444" s="2">
        <f>MAX(Assumptions!$D$8-SUM(Model_30y!H444), 0)</f>
        <v>5.8207660913467407E-11</v>
      </c>
      <c r="J444" s="2">
        <f>J443*(1+(Assumptions!$E$51))</f>
        <v>2563666.0123581053</v>
      </c>
      <c r="K444" s="22">
        <f t="shared" si="105"/>
        <v>2563666.0123581053</v>
      </c>
      <c r="L444" s="5">
        <f t="shared" si="111"/>
        <v>424999.99999999971</v>
      </c>
      <c r="M444" s="63">
        <f>L444/Assumptions!$D$6</f>
        <v>0.99999999999999933</v>
      </c>
      <c r="N444" s="24">
        <f t="shared" si="119"/>
        <v>0</v>
      </c>
      <c r="O444" s="5">
        <f>N444*Assumptions!$E$25*-1</f>
        <v>0</v>
      </c>
      <c r="P444" s="20">
        <f>Assumptions!$E$35*J444*-1</f>
        <v>-5280.7322360183334</v>
      </c>
      <c r="Q444" s="5">
        <f>J444*Assumptions!$E$36*-1</f>
        <v>-2126.6586697048874</v>
      </c>
      <c r="R444" s="5">
        <f>(R432+(Model_30y!R432*Assumptions!$D$51))</f>
        <v>-1881.8575928461903</v>
      </c>
      <c r="S444" s="5">
        <f>S432+(S432*Assumptions!$D$51)</f>
        <v>0</v>
      </c>
      <c r="T444" s="5">
        <f t="shared" si="114"/>
        <v>0</v>
      </c>
      <c r="U444" s="22">
        <f t="shared" si="106"/>
        <v>-9289.2484985694118</v>
      </c>
      <c r="V444" s="5">
        <f>MAX(Assumptions!$E$18:$E$19)-U444</f>
        <v>12130.881510368108</v>
      </c>
      <c r="W444" s="5">
        <f t="shared" si="107"/>
        <v>0</v>
      </c>
      <c r="X444" s="5">
        <f t="shared" si="112"/>
        <v>-9289.2484985694118</v>
      </c>
      <c r="Y444" s="5">
        <f>C444*Assumptions!$D$44*-1</f>
        <v>0</v>
      </c>
      <c r="Z444" s="5">
        <f t="shared" si="108"/>
        <v>2841.6330117986963</v>
      </c>
      <c r="AA444" s="5">
        <f t="shared" si="115"/>
        <v>2660386.0551035758</v>
      </c>
      <c r="AB444" s="3">
        <f>Assumptions!$E$45</f>
        <v>6.9899151946608562E-3</v>
      </c>
      <c r="AC444" s="5">
        <f t="shared" si="116"/>
        <v>2681823.5610256069</v>
      </c>
      <c r="AD444" s="5">
        <f>AC444*Assumptions!$E$43</f>
        <v>2401.7754751194557</v>
      </c>
      <c r="AE444" s="2">
        <f>AD444*Assumptions!$D$44*-1</f>
        <v>-360.26632126791833</v>
      </c>
      <c r="AF444" s="2">
        <f>AC444*Assumptions!$E$46*-1</f>
        <v>-89.377733966363508</v>
      </c>
      <c r="AG444" s="22">
        <f t="shared" si="117"/>
        <v>2681373.9169703727</v>
      </c>
      <c r="AH444" s="5">
        <f>Model_30y[[#This Row],[Mortgage Payment]]+Model_30y[[#This Row],[Total Upkeep]]+Model_30y[[#This Row],[Monthly Investment]]</f>
        <v>-6447.6154867707155</v>
      </c>
      <c r="AI444" s="5">
        <f>Model_Renter!D444*-1</f>
        <v>10335.797331394368</v>
      </c>
      <c r="AJ444" s="5">
        <f t="shared" si="118"/>
        <v>3888.1818446236521</v>
      </c>
    </row>
    <row r="445" spans="1:36" x14ac:dyDescent="0.25">
      <c r="A445" s="17">
        <f t="shared" si="113"/>
        <v>443</v>
      </c>
      <c r="B445" s="17">
        <f t="shared" si="109"/>
        <v>37</v>
      </c>
      <c r="C445" s="23">
        <f>IFERROR(IPMT(Assumptions!$D$16/12,Model_30y!A445, 360,Assumptions!$D$8), 0)</f>
        <v>0</v>
      </c>
      <c r="D445" s="2">
        <f>IFERROR(PPMT(Assumptions!$D$16/12, Model_30y!A445, 360, Assumptions!$D$8), 0)</f>
        <v>0</v>
      </c>
      <c r="E445" s="2">
        <f t="shared" si="103"/>
        <v>0</v>
      </c>
      <c r="F445" s="2">
        <f>IF(I444&gt;1, Assumptions!$E$18, 0)*-1</f>
        <v>0</v>
      </c>
      <c r="G445" s="24">
        <f t="shared" si="104"/>
        <v>1</v>
      </c>
      <c r="H445" s="20">
        <f t="shared" si="110"/>
        <v>339999.99999999994</v>
      </c>
      <c r="I445" s="2">
        <f>MAX(Assumptions!$D$8-SUM(Model_30y!H445), 0)</f>
        <v>5.8207660913467407E-11</v>
      </c>
      <c r="J445" s="2">
        <f>J444*(1+(Assumptions!$E$51))</f>
        <v>2574110.7050323845</v>
      </c>
      <c r="K445" s="22">
        <f t="shared" si="105"/>
        <v>2574110.7050323845</v>
      </c>
      <c r="L445" s="5">
        <f t="shared" si="111"/>
        <v>424999.99999999971</v>
      </c>
      <c r="M445" s="63">
        <f>L445/Assumptions!$D$6</f>
        <v>0.99999999999999933</v>
      </c>
      <c r="N445" s="24">
        <f t="shared" si="119"/>
        <v>0</v>
      </c>
      <c r="O445" s="5">
        <f>N445*Assumptions!$E$25*-1</f>
        <v>0</v>
      </c>
      <c r="P445" s="20">
        <f>Assumptions!$E$35*J445*-1</f>
        <v>-5302.2465928161746</v>
      </c>
      <c r="Q445" s="5">
        <f>J445*Assumptions!$E$36*-1</f>
        <v>-2135.3229403708342</v>
      </c>
      <c r="R445" s="5">
        <f>(R433+(Model_30y!R433*Assumptions!$D$51))</f>
        <v>-1881.8575928461903</v>
      </c>
      <c r="S445" s="5">
        <f>S433+(S433*Assumptions!$D$51)</f>
        <v>0</v>
      </c>
      <c r="T445" s="5">
        <f t="shared" si="114"/>
        <v>0</v>
      </c>
      <c r="U445" s="22">
        <f t="shared" si="106"/>
        <v>-9319.4271260331989</v>
      </c>
      <c r="V445" s="5">
        <f>MAX(Assumptions!$E$18:$E$19)-U445</f>
        <v>12161.060137831895</v>
      </c>
      <c r="W445" s="5">
        <f t="shared" si="107"/>
        <v>0</v>
      </c>
      <c r="X445" s="5">
        <f t="shared" si="112"/>
        <v>-9319.4271260331989</v>
      </c>
      <c r="Y445" s="5">
        <f>C445*Assumptions!$D$44*-1</f>
        <v>0</v>
      </c>
      <c r="Z445" s="5">
        <f t="shared" si="108"/>
        <v>2841.6330117986963</v>
      </c>
      <c r="AA445" s="5">
        <f t="shared" si="115"/>
        <v>2681373.9169703727</v>
      </c>
      <c r="AB445" s="3">
        <f>Assumptions!$E$45</f>
        <v>6.9899151946608562E-3</v>
      </c>
      <c r="AC445" s="5">
        <f t="shared" si="116"/>
        <v>2702958.1262669698</v>
      </c>
      <c r="AD445" s="5">
        <f>AC445*Assumptions!$E$43</f>
        <v>2420.7030739412835</v>
      </c>
      <c r="AE445" s="2">
        <f>AD445*Assumptions!$D$44*-1</f>
        <v>-363.10546109119252</v>
      </c>
      <c r="AF445" s="2">
        <f>AC445*Assumptions!$E$46*-1</f>
        <v>-90.082090351730969</v>
      </c>
      <c r="AG445" s="22">
        <f t="shared" si="117"/>
        <v>2702504.9387155268</v>
      </c>
      <c r="AH445" s="5">
        <f>Model_30y[[#This Row],[Mortgage Payment]]+Model_30y[[#This Row],[Total Upkeep]]+Model_30y[[#This Row],[Monthly Investment]]</f>
        <v>-6477.7941142345026</v>
      </c>
      <c r="AI445" s="5">
        <f>Model_Renter!D445*-1</f>
        <v>10335.797331394368</v>
      </c>
      <c r="AJ445" s="5">
        <f t="shared" si="118"/>
        <v>3858.003217159865</v>
      </c>
    </row>
    <row r="446" spans="1:36" x14ac:dyDescent="0.25">
      <c r="A446" s="17">
        <f t="shared" si="113"/>
        <v>444</v>
      </c>
      <c r="B446" s="17">
        <f t="shared" si="109"/>
        <v>37</v>
      </c>
      <c r="C446" s="23">
        <f>IFERROR(IPMT(Assumptions!$D$16/12,Model_30y!A446, 360,Assumptions!$D$8), 0)</f>
        <v>0</v>
      </c>
      <c r="D446" s="2">
        <f>IFERROR(PPMT(Assumptions!$D$16/12, Model_30y!A446, 360, Assumptions!$D$8), 0)</f>
        <v>0</v>
      </c>
      <c r="E446" s="2">
        <f t="shared" si="103"/>
        <v>0</v>
      </c>
      <c r="F446" s="2">
        <f>IF(I445&gt;1, Assumptions!$E$18, 0)*-1</f>
        <v>0</v>
      </c>
      <c r="G446" s="24">
        <f t="shared" si="104"/>
        <v>1</v>
      </c>
      <c r="H446" s="20">
        <f t="shared" si="110"/>
        <v>339999.99999999994</v>
      </c>
      <c r="I446" s="2">
        <f>MAX(Assumptions!$D$8-SUM(Model_30y!H446), 0)</f>
        <v>5.8207660913467407E-11</v>
      </c>
      <c r="J446" s="2">
        <f>J445*(1+(Assumptions!$E$51))</f>
        <v>2584597.9506775006</v>
      </c>
      <c r="K446" s="22">
        <f t="shared" si="105"/>
        <v>2584597.9506775006</v>
      </c>
      <c r="L446" s="5">
        <f t="shared" si="111"/>
        <v>424999.99999999971</v>
      </c>
      <c r="M446" s="63">
        <f>L446/Assumptions!$D$6</f>
        <v>0.99999999999999933</v>
      </c>
      <c r="N446" s="24">
        <f t="shared" si="119"/>
        <v>0</v>
      </c>
      <c r="O446" s="5">
        <f>N446*Assumptions!$E$25*-1</f>
        <v>0</v>
      </c>
      <c r="P446" s="20">
        <f>Assumptions!$E$35*J446*-1</f>
        <v>-5323.8486017667346</v>
      </c>
      <c r="Q446" s="5">
        <f>J446*Assumptions!$E$36*-1</f>
        <v>-2144.0225103479688</v>
      </c>
      <c r="R446" s="5">
        <f>(R434+(Model_30y!R434*Assumptions!$D$51))</f>
        <v>-1881.8575928461903</v>
      </c>
      <c r="S446" s="5">
        <f>S434+(S434*Assumptions!$D$51)</f>
        <v>0</v>
      </c>
      <c r="T446" s="5">
        <f t="shared" si="114"/>
        <v>0</v>
      </c>
      <c r="U446" s="22">
        <f t="shared" si="106"/>
        <v>-9349.7287049608931</v>
      </c>
      <c r="V446" s="5">
        <f>MAX(Assumptions!$E$18:$E$19)-U446</f>
        <v>12191.361716759589</v>
      </c>
      <c r="W446" s="5">
        <f t="shared" si="107"/>
        <v>0</v>
      </c>
      <c r="X446" s="5">
        <f t="shared" si="112"/>
        <v>-9349.7287049608931</v>
      </c>
      <c r="Y446" s="5">
        <f>C446*Assumptions!$D$44*-1</f>
        <v>0</v>
      </c>
      <c r="Z446" s="5">
        <f t="shared" si="108"/>
        <v>2841.6330117986963</v>
      </c>
      <c r="AA446" s="5">
        <f t="shared" si="115"/>
        <v>2702504.9387155268</v>
      </c>
      <c r="AB446" s="3">
        <f>Assumptions!$E$45</f>
        <v>6.9899151946608562E-3</v>
      </c>
      <c r="AC446" s="5">
        <f t="shared" si="116"/>
        <v>2724236.8520620991</v>
      </c>
      <c r="AD446" s="5">
        <f>AC446*Assumptions!$E$43</f>
        <v>2439.7597794230519</v>
      </c>
      <c r="AE446" s="2">
        <f>AD446*Assumptions!$D$44*-1</f>
        <v>-365.9639669134578</v>
      </c>
      <c r="AF446" s="2">
        <f>AC446*Assumptions!$E$46*-1</f>
        <v>-90.791251208134568</v>
      </c>
      <c r="AG446" s="22">
        <f t="shared" si="117"/>
        <v>2723780.0968439775</v>
      </c>
      <c r="AH446" s="5">
        <f>Model_30y[[#This Row],[Mortgage Payment]]+Model_30y[[#This Row],[Total Upkeep]]+Model_30y[[#This Row],[Monthly Investment]]</f>
        <v>-6508.0956931621968</v>
      </c>
      <c r="AI446" s="5">
        <f>Model_Renter!D446*-1</f>
        <v>10335.797331394368</v>
      </c>
      <c r="AJ446" s="5">
        <f t="shared" si="118"/>
        <v>3827.7016382321708</v>
      </c>
    </row>
    <row r="447" spans="1:36" x14ac:dyDescent="0.25">
      <c r="A447" s="17">
        <f t="shared" si="113"/>
        <v>445</v>
      </c>
      <c r="B447" s="17">
        <f t="shared" si="109"/>
        <v>38</v>
      </c>
      <c r="C447" s="23">
        <f>IFERROR(IPMT(Assumptions!$D$16/12,Model_30y!A447, 360,Assumptions!$D$8), 0)</f>
        <v>0</v>
      </c>
      <c r="D447" s="2">
        <f>IFERROR(PPMT(Assumptions!$D$16/12, Model_30y!A447, 360, Assumptions!$D$8), 0)</f>
        <v>0</v>
      </c>
      <c r="E447" s="2">
        <f t="shared" si="103"/>
        <v>0</v>
      </c>
      <c r="F447" s="2">
        <f>IF(I446&gt;1, Assumptions!$E$18, 0)*-1</f>
        <v>0</v>
      </c>
      <c r="G447" s="24">
        <f t="shared" si="104"/>
        <v>1</v>
      </c>
      <c r="H447" s="20">
        <f t="shared" si="110"/>
        <v>339999.99999999994</v>
      </c>
      <c r="I447" s="2">
        <f>MAX(Assumptions!$D$8-SUM(Model_30y!H447), 0)</f>
        <v>5.8207660913467407E-11</v>
      </c>
      <c r="J447" s="2">
        <f>J446*(1+(Assumptions!$E$51))</f>
        <v>2595127.9226595247</v>
      </c>
      <c r="K447" s="22">
        <f t="shared" si="105"/>
        <v>2595127.9226595247</v>
      </c>
      <c r="L447" s="5">
        <f t="shared" si="111"/>
        <v>424999.99999999971</v>
      </c>
      <c r="M447" s="63">
        <f>L447/Assumptions!$D$6</f>
        <v>0.99999999999999933</v>
      </c>
      <c r="N447" s="24">
        <f t="shared" si="119"/>
        <v>0</v>
      </c>
      <c r="O447" s="5">
        <f>N447*Assumptions!$E$25*-1</f>
        <v>0</v>
      </c>
      <c r="P447" s="20">
        <f>Assumptions!$E$35*J447*-1</f>
        <v>-5345.5386199757359</v>
      </c>
      <c r="Q447" s="5">
        <f>J447*Assumptions!$E$36*-1</f>
        <v>-2152.757523450055</v>
      </c>
      <c r="R447" s="5">
        <f>(R435+(Model_30y!R435*Assumptions!$D$51))</f>
        <v>-1975.9504724884998</v>
      </c>
      <c r="S447" s="5">
        <f>S435+(S435*Assumptions!$D$51)</f>
        <v>0</v>
      </c>
      <c r="T447" s="5">
        <f t="shared" si="114"/>
        <v>0</v>
      </c>
      <c r="U447" s="22">
        <f t="shared" si="106"/>
        <v>-9474.2466159142896</v>
      </c>
      <c r="V447" s="5">
        <f>MAX(Assumptions!$E$18:$E$19)-U447</f>
        <v>12315.879627712986</v>
      </c>
      <c r="W447" s="5">
        <f t="shared" si="107"/>
        <v>0</v>
      </c>
      <c r="X447" s="5">
        <f t="shared" si="112"/>
        <v>-9474.2466159142896</v>
      </c>
      <c r="Y447" s="5">
        <f>C447*Assumptions!$D$44*-1</f>
        <v>0</v>
      </c>
      <c r="Z447" s="5">
        <f t="shared" si="108"/>
        <v>2841.6330117986963</v>
      </c>
      <c r="AA447" s="5">
        <f t="shared" si="115"/>
        <v>2723780.0968439775</v>
      </c>
      <c r="AB447" s="3">
        <f>Assumptions!$E$45</f>
        <v>6.9899151946608562E-3</v>
      </c>
      <c r="AC447" s="5">
        <f t="shared" si="116"/>
        <v>2745660.7217416209</v>
      </c>
      <c r="AD447" s="5">
        <f>AC447*Assumptions!$E$43</f>
        <v>2458.9464722115786</v>
      </c>
      <c r="AE447" s="2">
        <f>AD447*Assumptions!$D$44*-1</f>
        <v>-368.84197083173677</v>
      </c>
      <c r="AF447" s="2">
        <f>AC447*Assumptions!$E$46*-1</f>
        <v>-91.505249307254132</v>
      </c>
      <c r="AG447" s="22">
        <f t="shared" si="117"/>
        <v>2745200.3745214818</v>
      </c>
      <c r="AH447" s="5">
        <f>Model_30y[[#This Row],[Mortgage Payment]]+Model_30y[[#This Row],[Total Upkeep]]+Model_30y[[#This Row],[Monthly Investment]]</f>
        <v>-6632.6136041155933</v>
      </c>
      <c r="AI447" s="5">
        <f>Model_Renter!D447*-1</f>
        <v>10722.356151588518</v>
      </c>
      <c r="AJ447" s="5">
        <f t="shared" si="118"/>
        <v>4089.7425474729243</v>
      </c>
    </row>
    <row r="448" spans="1:36" x14ac:dyDescent="0.25">
      <c r="A448" s="17">
        <f t="shared" si="113"/>
        <v>446</v>
      </c>
      <c r="B448" s="17">
        <f t="shared" si="109"/>
        <v>38</v>
      </c>
      <c r="C448" s="23">
        <f>IFERROR(IPMT(Assumptions!$D$16/12,Model_30y!A448, 360,Assumptions!$D$8), 0)</f>
        <v>0</v>
      </c>
      <c r="D448" s="2">
        <f>IFERROR(PPMT(Assumptions!$D$16/12, Model_30y!A448, 360, Assumptions!$D$8), 0)</f>
        <v>0</v>
      </c>
      <c r="E448" s="2">
        <f t="shared" si="103"/>
        <v>0</v>
      </c>
      <c r="F448" s="2">
        <f>IF(I447&gt;1, Assumptions!$E$18, 0)*-1</f>
        <v>0</v>
      </c>
      <c r="G448" s="24">
        <f t="shared" si="104"/>
        <v>1</v>
      </c>
      <c r="H448" s="20">
        <f t="shared" si="110"/>
        <v>339999.99999999994</v>
      </c>
      <c r="I448" s="2">
        <f>MAX(Assumptions!$D$8-SUM(Model_30y!H448), 0)</f>
        <v>5.8207660913467407E-11</v>
      </c>
      <c r="J448" s="2">
        <f>J447*(1+(Assumptions!$E$51))</f>
        <v>2605700.7950508418</v>
      </c>
      <c r="K448" s="22">
        <f t="shared" si="105"/>
        <v>2605700.7950508418</v>
      </c>
      <c r="L448" s="5">
        <f t="shared" si="111"/>
        <v>424999.99999999971</v>
      </c>
      <c r="M448" s="63">
        <f>L448/Assumptions!$D$6</f>
        <v>0.99999999999999933</v>
      </c>
      <c r="N448" s="24">
        <f t="shared" si="119"/>
        <v>0</v>
      </c>
      <c r="O448" s="5">
        <f>N448*Assumptions!$E$25*-1</f>
        <v>0</v>
      </c>
      <c r="P448" s="20">
        <f>Assumptions!$E$35*J448*-1</f>
        <v>-5367.3170060037901</v>
      </c>
      <c r="Q448" s="5">
        <f>J448*Assumptions!$E$36*-1</f>
        <v>-2161.5281240767708</v>
      </c>
      <c r="R448" s="5">
        <f>(R436+(Model_30y!R436*Assumptions!$D$51))</f>
        <v>-1975.9504724884998</v>
      </c>
      <c r="S448" s="5">
        <f>S436+(S436*Assumptions!$D$51)</f>
        <v>0</v>
      </c>
      <c r="T448" s="5">
        <f t="shared" si="114"/>
        <v>0</v>
      </c>
      <c r="U448" s="22">
        <f t="shared" si="106"/>
        <v>-9504.7956025690601</v>
      </c>
      <c r="V448" s="5">
        <f>MAX(Assumptions!$E$18:$E$19)-U448</f>
        <v>12346.428614367756</v>
      </c>
      <c r="W448" s="5">
        <f t="shared" si="107"/>
        <v>0</v>
      </c>
      <c r="X448" s="5">
        <f t="shared" si="112"/>
        <v>-9504.7956025690601</v>
      </c>
      <c r="Y448" s="5">
        <f>C448*Assumptions!$D$44*-1</f>
        <v>0</v>
      </c>
      <c r="Z448" s="5">
        <f t="shared" si="108"/>
        <v>2841.6330117986963</v>
      </c>
      <c r="AA448" s="5">
        <f t="shared" si="115"/>
        <v>2745200.3745214818</v>
      </c>
      <c r="AB448" s="3">
        <f>Assumptions!$E$45</f>
        <v>6.9899151946608562E-3</v>
      </c>
      <c r="AC448" s="5">
        <f t="shared" si="116"/>
        <v>2767230.7253435371</v>
      </c>
      <c r="AD448" s="5">
        <f>AC448*Assumptions!$E$43</f>
        <v>2478.2640389606413</v>
      </c>
      <c r="AE448" s="2">
        <f>AD448*Assumptions!$D$44*-1</f>
        <v>-371.73960584409616</v>
      </c>
      <c r="AF448" s="2">
        <f>AC448*Assumptions!$E$46*-1</f>
        <v>-92.224117644307697</v>
      </c>
      <c r="AG448" s="22">
        <f t="shared" si="117"/>
        <v>2766766.7616200484</v>
      </c>
      <c r="AH448" s="5">
        <f>Model_30y[[#This Row],[Mortgage Payment]]+Model_30y[[#This Row],[Total Upkeep]]+Model_30y[[#This Row],[Monthly Investment]]</f>
        <v>-6663.1625907703637</v>
      </c>
      <c r="AI448" s="5">
        <f>Model_Renter!D448*-1</f>
        <v>10722.356151588518</v>
      </c>
      <c r="AJ448" s="5">
        <f t="shared" si="118"/>
        <v>4059.1935608181539</v>
      </c>
    </row>
    <row r="449" spans="1:36" x14ac:dyDescent="0.25">
      <c r="A449" s="17">
        <f t="shared" si="113"/>
        <v>447</v>
      </c>
      <c r="B449" s="17">
        <f t="shared" si="109"/>
        <v>38</v>
      </c>
      <c r="C449" s="23">
        <f>IFERROR(IPMT(Assumptions!$D$16/12,Model_30y!A449, 360,Assumptions!$D$8), 0)</f>
        <v>0</v>
      </c>
      <c r="D449" s="2">
        <f>IFERROR(PPMT(Assumptions!$D$16/12, Model_30y!A449, 360, Assumptions!$D$8), 0)</f>
        <v>0</v>
      </c>
      <c r="E449" s="2">
        <f t="shared" si="103"/>
        <v>0</v>
      </c>
      <c r="F449" s="2">
        <f>IF(I448&gt;1, Assumptions!$E$18, 0)*-1</f>
        <v>0</v>
      </c>
      <c r="G449" s="24">
        <f t="shared" si="104"/>
        <v>1</v>
      </c>
      <c r="H449" s="20">
        <f t="shared" si="110"/>
        <v>339999.99999999994</v>
      </c>
      <c r="I449" s="2">
        <f>MAX(Assumptions!$D$8-SUM(Model_30y!H449), 0)</f>
        <v>5.8207660913467407E-11</v>
      </c>
      <c r="J449" s="2">
        <f>J448*(1+(Assumptions!$E$51))</f>
        <v>2616316.7426330298</v>
      </c>
      <c r="K449" s="22">
        <f t="shared" si="105"/>
        <v>2616316.7426330298</v>
      </c>
      <c r="L449" s="5">
        <f t="shared" si="111"/>
        <v>424999.99999999971</v>
      </c>
      <c r="M449" s="63">
        <f>L449/Assumptions!$D$6</f>
        <v>0.99999999999999933</v>
      </c>
      <c r="N449" s="24">
        <f t="shared" si="119"/>
        <v>0</v>
      </c>
      <c r="O449" s="5">
        <f>N449*Assumptions!$E$25*-1</f>
        <v>0</v>
      </c>
      <c r="P449" s="20">
        <f>Assumptions!$E$35*J449*-1</f>
        <v>-5389.1841198723305</v>
      </c>
      <c r="Q449" s="5">
        <f>J449*Assumptions!$E$36*-1</f>
        <v>-2170.3344572160968</v>
      </c>
      <c r="R449" s="5">
        <f>(R437+(Model_30y!R437*Assumptions!$D$51))</f>
        <v>-1975.9504724884998</v>
      </c>
      <c r="S449" s="5">
        <f>S437+(S437*Assumptions!$D$51)</f>
        <v>0</v>
      </c>
      <c r="T449" s="5">
        <f t="shared" si="114"/>
        <v>0</v>
      </c>
      <c r="U449" s="22">
        <f t="shared" si="106"/>
        <v>-9535.4690495769264</v>
      </c>
      <c r="V449" s="5">
        <f>MAX(Assumptions!$E$18:$E$19)-U449</f>
        <v>12377.102061375623</v>
      </c>
      <c r="W449" s="5">
        <f t="shared" si="107"/>
        <v>0</v>
      </c>
      <c r="X449" s="5">
        <f t="shared" si="112"/>
        <v>-9535.4690495769264</v>
      </c>
      <c r="Y449" s="5">
        <f>C449*Assumptions!$D$44*-1</f>
        <v>0</v>
      </c>
      <c r="Z449" s="5">
        <f t="shared" si="108"/>
        <v>2841.6330117986963</v>
      </c>
      <c r="AA449" s="5">
        <f t="shared" si="115"/>
        <v>2766766.7616200484</v>
      </c>
      <c r="AB449" s="3">
        <f>Assumptions!$E$45</f>
        <v>6.9899151946608562E-3</v>
      </c>
      <c r="AC449" s="5">
        <f t="shared" si="116"/>
        <v>2788947.8596589779</v>
      </c>
      <c r="AD449" s="5">
        <f>AC449*Assumptions!$E$43</f>
        <v>2497.7133723719539</v>
      </c>
      <c r="AE449" s="2">
        <f>AD449*Assumptions!$D$44*-1</f>
        <v>-374.6570058557931</v>
      </c>
      <c r="AF449" s="2">
        <f>AC449*Assumptions!$E$46*-1</f>
        <v>-92.947889439576358</v>
      </c>
      <c r="AG449" s="22">
        <f t="shared" si="117"/>
        <v>2788480.2547636824</v>
      </c>
      <c r="AH449" s="5">
        <f>Model_30y[[#This Row],[Mortgage Payment]]+Model_30y[[#This Row],[Total Upkeep]]+Model_30y[[#This Row],[Monthly Investment]]</f>
        <v>-6693.8360377782301</v>
      </c>
      <c r="AI449" s="5">
        <f>Model_Renter!D449*-1</f>
        <v>10722.356151588518</v>
      </c>
      <c r="AJ449" s="5">
        <f t="shared" si="118"/>
        <v>4028.5201138102875</v>
      </c>
    </row>
    <row r="450" spans="1:36" x14ac:dyDescent="0.25">
      <c r="A450" s="17">
        <f t="shared" si="113"/>
        <v>448</v>
      </c>
      <c r="B450" s="17">
        <f t="shared" si="109"/>
        <v>38</v>
      </c>
      <c r="C450" s="23">
        <f>IFERROR(IPMT(Assumptions!$D$16/12,Model_30y!A450, 360,Assumptions!$D$8), 0)</f>
        <v>0</v>
      </c>
      <c r="D450" s="2">
        <f>IFERROR(PPMT(Assumptions!$D$16/12, Model_30y!A450, 360, Assumptions!$D$8), 0)</f>
        <v>0</v>
      </c>
      <c r="E450" s="2">
        <f t="shared" ref="E450:E513" si="120">SUM(C450:D450)</f>
        <v>0</v>
      </c>
      <c r="F450" s="2">
        <f>IF(I449&gt;1, Assumptions!$E$18, 0)*-1</f>
        <v>0</v>
      </c>
      <c r="G450" s="24">
        <f t="shared" ref="G450:G513" si="121">IF(E450+F450&lt;1, 1, 0)</f>
        <v>1</v>
      </c>
      <c r="H450" s="20">
        <f t="shared" si="110"/>
        <v>339999.99999999994</v>
      </c>
      <c r="I450" s="2">
        <f>MAX(Assumptions!$D$8-SUM(Model_30y!H450), 0)</f>
        <v>5.8207660913467407E-11</v>
      </c>
      <c r="J450" s="2">
        <f>J449*(1+(Assumptions!$E$51))</f>
        <v>2626975.9408997484</v>
      </c>
      <c r="K450" s="22">
        <f t="shared" ref="K450:K513" si="122">(J450-I450)</f>
        <v>2626975.9408997484</v>
      </c>
      <c r="L450" s="5">
        <f t="shared" si="111"/>
        <v>424999.99999999971</v>
      </c>
      <c r="M450" s="63">
        <f>L450/Assumptions!$D$6</f>
        <v>0.99999999999999933</v>
      </c>
      <c r="N450" s="24">
        <f t="shared" si="119"/>
        <v>0</v>
      </c>
      <c r="O450" s="5">
        <f>N450*Assumptions!$E$25*-1</f>
        <v>0</v>
      </c>
      <c r="P450" s="20">
        <f>Assumptions!$E$35*J450*-1</f>
        <v>-5411.1403230695623</v>
      </c>
      <c r="Q450" s="5">
        <f>J450*Assumptions!$E$36*-1</f>
        <v>-2179.1766684467125</v>
      </c>
      <c r="R450" s="5">
        <f>(R438+(Model_30y!R438*Assumptions!$D$51))</f>
        <v>-1975.9504724884998</v>
      </c>
      <c r="S450" s="5">
        <f>S438+(S438*Assumptions!$D$51)</f>
        <v>0</v>
      </c>
      <c r="T450" s="5">
        <f t="shared" si="114"/>
        <v>0</v>
      </c>
      <c r="U450" s="22">
        <f t="shared" ref="U450:U513" si="123">SUM(P450:T450)</f>
        <v>-9566.2674640047735</v>
      </c>
      <c r="V450" s="5">
        <f>MAX(Assumptions!$E$18:$E$19)-U450</f>
        <v>12407.90047580347</v>
      </c>
      <c r="W450" s="5">
        <f t="shared" ref="W450:W513" si="124">F450</f>
        <v>0</v>
      </c>
      <c r="X450" s="5">
        <f t="shared" si="112"/>
        <v>-9566.2674640047735</v>
      </c>
      <c r="Y450" s="5">
        <f>C450*Assumptions!$D$44*-1</f>
        <v>0</v>
      </c>
      <c r="Z450" s="5">
        <f t="shared" ref="Z450:Z513" si="125">SUM(V450:Y450)</f>
        <v>2841.6330117986963</v>
      </c>
      <c r="AA450" s="5">
        <f t="shared" si="115"/>
        <v>2788480.2547636824</v>
      </c>
      <c r="AB450" s="3">
        <f>Assumptions!$E$45</f>
        <v>6.9899151946608562E-3</v>
      </c>
      <c r="AC450" s="5">
        <f t="shared" si="116"/>
        <v>2810813.1282782657</v>
      </c>
      <c r="AD450" s="5">
        <f>AC450*Assumptions!$E$43</f>
        <v>2517.295371236421</v>
      </c>
      <c r="AE450" s="2">
        <f>AD450*Assumptions!$D$44*-1</f>
        <v>-377.59430568546315</v>
      </c>
      <c r="AF450" s="2">
        <f>AC450*Assumptions!$E$46*-1</f>
        <v>-93.67659813993933</v>
      </c>
      <c r="AG450" s="22">
        <f t="shared" si="117"/>
        <v>2810341.8573744404</v>
      </c>
      <c r="AH450" s="5">
        <f>Model_30y[[#This Row],[Mortgage Payment]]+Model_30y[[#This Row],[Total Upkeep]]+Model_30y[[#This Row],[Monthly Investment]]</f>
        <v>-6724.6344522060772</v>
      </c>
      <c r="AI450" s="5">
        <f>Model_Renter!D450*-1</f>
        <v>10722.356151588518</v>
      </c>
      <c r="AJ450" s="5">
        <f t="shared" si="118"/>
        <v>3997.7216993824404</v>
      </c>
    </row>
    <row r="451" spans="1:36" x14ac:dyDescent="0.25">
      <c r="A451" s="17">
        <f t="shared" si="113"/>
        <v>449</v>
      </c>
      <c r="B451" s="17">
        <f t="shared" ref="B451:B514" si="126">ROUNDUP(A451/12,0)</f>
        <v>38</v>
      </c>
      <c r="C451" s="23">
        <f>IFERROR(IPMT(Assumptions!$D$16/12,Model_30y!A451, 360,Assumptions!$D$8), 0)</f>
        <v>0</v>
      </c>
      <c r="D451" s="2">
        <f>IFERROR(PPMT(Assumptions!$D$16/12, Model_30y!A451, 360, Assumptions!$D$8), 0)</f>
        <v>0</v>
      </c>
      <c r="E451" s="2">
        <f t="shared" si="120"/>
        <v>0</v>
      </c>
      <c r="F451" s="2">
        <f>IF(I450&gt;1, Assumptions!$E$18, 0)*-1</f>
        <v>0</v>
      </c>
      <c r="G451" s="24">
        <f t="shared" si="121"/>
        <v>1</v>
      </c>
      <c r="H451" s="20">
        <f t="shared" ref="H451:H514" si="127">H450+D451*-1</f>
        <v>339999.99999999994</v>
      </c>
      <c r="I451" s="2">
        <f>MAX(Assumptions!$D$8-SUM(Model_30y!H451), 0)</f>
        <v>5.8207660913467407E-11</v>
      </c>
      <c r="J451" s="2">
        <f>J450*(1+(Assumptions!$E$51))</f>
        <v>2637678.5660596401</v>
      </c>
      <c r="K451" s="22">
        <f t="shared" si="122"/>
        <v>2637678.5660596401</v>
      </c>
      <c r="L451" s="5">
        <f t="shared" ref="L451:L514" si="128">L450+D451*-1</f>
        <v>424999.99999999971</v>
      </c>
      <c r="M451" s="63">
        <f>L451/Assumptions!$D$6</f>
        <v>0.99999999999999933</v>
      </c>
      <c r="N451" s="24">
        <f t="shared" si="119"/>
        <v>0</v>
      </c>
      <c r="O451" s="5">
        <f>N451*Assumptions!$E$25*-1</f>
        <v>0</v>
      </c>
      <c r="P451" s="20">
        <f>Assumptions!$E$35*J451*-1</f>
        <v>-5433.1859785564384</v>
      </c>
      <c r="Q451" s="5">
        <f>J451*Assumptions!$E$36*-1</f>
        <v>-2188.0549039404027</v>
      </c>
      <c r="R451" s="5">
        <f>(R439+(Model_30y!R439*Assumptions!$D$51))</f>
        <v>-1975.9504724884998</v>
      </c>
      <c r="S451" s="5">
        <f>S439+(S439*Assumptions!$D$51)</f>
        <v>0</v>
      </c>
      <c r="T451" s="5">
        <f t="shared" si="114"/>
        <v>0</v>
      </c>
      <c r="U451" s="22">
        <f t="shared" si="123"/>
        <v>-9597.1913549853398</v>
      </c>
      <c r="V451" s="5">
        <f>MAX(Assumptions!$E$18:$E$19)-U451</f>
        <v>12438.824366784036</v>
      </c>
      <c r="W451" s="5">
        <f t="shared" si="124"/>
        <v>0</v>
      </c>
      <c r="X451" s="5">
        <f t="shared" ref="X451:X514" si="129">U451</f>
        <v>-9597.1913549853398</v>
      </c>
      <c r="Y451" s="5">
        <f>C451*Assumptions!$D$44*-1</f>
        <v>0</v>
      </c>
      <c r="Z451" s="5">
        <f t="shared" si="125"/>
        <v>2841.6330117986963</v>
      </c>
      <c r="AA451" s="5">
        <f t="shared" si="115"/>
        <v>2810341.8573744404</v>
      </c>
      <c r="AB451" s="3">
        <f>Assumptions!$E$45</f>
        <v>6.9899151946608562E-3</v>
      </c>
      <c r="AC451" s="5">
        <f t="shared" si="116"/>
        <v>2832827.5416372921</v>
      </c>
      <c r="AD451" s="5">
        <f>AC451*Assumptions!$E$43</f>
        <v>2537.0109404756708</v>
      </c>
      <c r="AE451" s="2">
        <f>AD451*Assumptions!$D$44*-1</f>
        <v>-380.55164107135062</v>
      </c>
      <c r="AF451" s="2">
        <f>AC451*Assumptions!$E$46*-1</f>
        <v>-94.410277420419717</v>
      </c>
      <c r="AG451" s="22">
        <f t="shared" si="117"/>
        <v>2832352.5797188003</v>
      </c>
      <c r="AH451" s="5">
        <f>Model_30y[[#This Row],[Mortgage Payment]]+Model_30y[[#This Row],[Total Upkeep]]+Model_30y[[#This Row],[Monthly Investment]]</f>
        <v>-6755.5583431866435</v>
      </c>
      <c r="AI451" s="5">
        <f>Model_Renter!D451*-1</f>
        <v>10722.356151588518</v>
      </c>
      <c r="AJ451" s="5">
        <f t="shared" si="118"/>
        <v>3966.7978084018741</v>
      </c>
    </row>
    <row r="452" spans="1:36" x14ac:dyDescent="0.25">
      <c r="A452" s="17">
        <f t="shared" ref="A452:A515" si="130">A451+1</f>
        <v>450</v>
      </c>
      <c r="B452" s="17">
        <f t="shared" si="126"/>
        <v>38</v>
      </c>
      <c r="C452" s="23">
        <f>IFERROR(IPMT(Assumptions!$D$16/12,Model_30y!A452, 360,Assumptions!$D$8), 0)</f>
        <v>0</v>
      </c>
      <c r="D452" s="2">
        <f>IFERROR(PPMT(Assumptions!$D$16/12, Model_30y!A452, 360, Assumptions!$D$8), 0)</f>
        <v>0</v>
      </c>
      <c r="E452" s="2">
        <f t="shared" si="120"/>
        <v>0</v>
      </c>
      <c r="F452" s="2">
        <f>IF(I451&gt;1, Assumptions!$E$18, 0)*-1</f>
        <v>0</v>
      </c>
      <c r="G452" s="24">
        <f t="shared" si="121"/>
        <v>1</v>
      </c>
      <c r="H452" s="20">
        <f t="shared" si="127"/>
        <v>339999.99999999994</v>
      </c>
      <c r="I452" s="2">
        <f>MAX(Assumptions!$D$8-SUM(Model_30y!H452), 0)</f>
        <v>5.8207660913467407E-11</v>
      </c>
      <c r="J452" s="2">
        <f>J451*(1+(Assumptions!$E$51))</f>
        <v>2648424.7950392431</v>
      </c>
      <c r="K452" s="22">
        <f t="shared" si="122"/>
        <v>2648424.7950392431</v>
      </c>
      <c r="L452" s="5">
        <f t="shared" si="128"/>
        <v>424999.99999999971</v>
      </c>
      <c r="M452" s="63">
        <f>L452/Assumptions!$D$6</f>
        <v>0.99999999999999933</v>
      </c>
      <c r="N452" s="24">
        <f t="shared" si="119"/>
        <v>0</v>
      </c>
      <c r="O452" s="5">
        <f>N452*Assumptions!$E$25*-1</f>
        <v>0</v>
      </c>
      <c r="P452" s="20">
        <f>Assumptions!$E$35*J452*-1</f>
        <v>-5455.3214507726598</v>
      </c>
      <c r="Q452" s="5">
        <f>J452*Assumptions!$E$36*-1</f>
        <v>-2196.9693104644748</v>
      </c>
      <c r="R452" s="5">
        <f>(R440+(Model_30y!R440*Assumptions!$D$51))</f>
        <v>-1975.9504724884998</v>
      </c>
      <c r="S452" s="5">
        <f>S440+(S440*Assumptions!$D$51)</f>
        <v>0</v>
      </c>
      <c r="T452" s="5">
        <f t="shared" ref="T452:T515" si="131">O452</f>
        <v>0</v>
      </c>
      <c r="U452" s="22">
        <f t="shared" si="123"/>
        <v>-9628.2412337256337</v>
      </c>
      <c r="V452" s="5">
        <f>MAX(Assumptions!$E$18:$E$19)-U452</f>
        <v>12469.87424552433</v>
      </c>
      <c r="W452" s="5">
        <f t="shared" si="124"/>
        <v>0</v>
      </c>
      <c r="X452" s="5">
        <f t="shared" si="129"/>
        <v>-9628.2412337256337</v>
      </c>
      <c r="Y452" s="5">
        <f>C452*Assumptions!$D$44*-1</f>
        <v>0</v>
      </c>
      <c r="Z452" s="5">
        <f t="shared" si="125"/>
        <v>2841.6330117986963</v>
      </c>
      <c r="AA452" s="5">
        <f t="shared" ref="AA452:AA515" si="132">AG451</f>
        <v>2832352.5797188003</v>
      </c>
      <c r="AB452" s="3">
        <f>Assumptions!$E$45</f>
        <v>6.9899151946608562E-3</v>
      </c>
      <c r="AC452" s="5">
        <f t="shared" ref="AC452:AC515" si="133">(AA452+Z452)+(AA452*AB452)</f>
        <v>2854992.1170642124</v>
      </c>
      <c r="AD452" s="5">
        <f>AC452*Assumptions!$E$43</f>
        <v>2556.8609911838739</v>
      </c>
      <c r="AE452" s="2">
        <f>AD452*Assumptions!$D$44*-1</f>
        <v>-383.52914867758108</v>
      </c>
      <c r="AF452" s="2">
        <f>AC452*Assumptions!$E$46*-1</f>
        <v>-95.148961185740603</v>
      </c>
      <c r="AG452" s="22">
        <f t="shared" ref="AG452:AG515" si="134">AC452+SUM(AE452:AF452)</f>
        <v>2854513.4389543491</v>
      </c>
      <c r="AH452" s="5">
        <f>Model_30y[[#This Row],[Mortgage Payment]]+Model_30y[[#This Row],[Total Upkeep]]+Model_30y[[#This Row],[Monthly Investment]]</f>
        <v>-6786.6082219269374</v>
      </c>
      <c r="AI452" s="5">
        <f>Model_Renter!D452*-1</f>
        <v>10722.356151588518</v>
      </c>
      <c r="AJ452" s="5">
        <f t="shared" ref="AJ452:AJ515" si="135">SUM(AH452:AI452)</f>
        <v>3935.7479296615802</v>
      </c>
    </row>
    <row r="453" spans="1:36" x14ac:dyDescent="0.25">
      <c r="A453" s="17">
        <f t="shared" si="130"/>
        <v>451</v>
      </c>
      <c r="B453" s="17">
        <f t="shared" si="126"/>
        <v>38</v>
      </c>
      <c r="C453" s="23">
        <f>IFERROR(IPMT(Assumptions!$D$16/12,Model_30y!A453, 360,Assumptions!$D$8), 0)</f>
        <v>0</v>
      </c>
      <c r="D453" s="2">
        <f>IFERROR(PPMT(Assumptions!$D$16/12, Model_30y!A453, 360, Assumptions!$D$8), 0)</f>
        <v>0</v>
      </c>
      <c r="E453" s="2">
        <f t="shared" si="120"/>
        <v>0</v>
      </c>
      <c r="F453" s="2">
        <f>IF(I452&gt;1, Assumptions!$E$18, 0)*-1</f>
        <v>0</v>
      </c>
      <c r="G453" s="24">
        <f t="shared" si="121"/>
        <v>1</v>
      </c>
      <c r="H453" s="20">
        <f t="shared" si="127"/>
        <v>339999.99999999994</v>
      </c>
      <c r="I453" s="2">
        <f>MAX(Assumptions!$D$8-SUM(Model_30y!H453), 0)</f>
        <v>5.8207660913467407E-11</v>
      </c>
      <c r="J453" s="2">
        <f>J452*(1+(Assumptions!$E$51))</f>
        <v>2659214.8054859163</v>
      </c>
      <c r="K453" s="22">
        <f t="shared" si="122"/>
        <v>2659214.8054859163</v>
      </c>
      <c r="L453" s="5">
        <f t="shared" si="128"/>
        <v>424999.99999999971</v>
      </c>
      <c r="M453" s="63">
        <f>L453/Assumptions!$D$6</f>
        <v>0.99999999999999933</v>
      </c>
      <c r="N453" s="24">
        <f t="shared" si="119"/>
        <v>0</v>
      </c>
      <c r="O453" s="5">
        <f>N453*Assumptions!$E$25*-1</f>
        <v>0</v>
      </c>
      <c r="P453" s="20">
        <f>Assumptions!$E$35*J453*-1</f>
        <v>-5477.5471056426995</v>
      </c>
      <c r="Q453" s="5">
        <f>J453*Assumptions!$E$36*-1</f>
        <v>-2205.9200353841834</v>
      </c>
      <c r="R453" s="5">
        <f>(R441+(Model_30y!R441*Assumptions!$D$51))</f>
        <v>-1975.9504724884998</v>
      </c>
      <c r="S453" s="5">
        <f>S441+(S441*Assumptions!$D$51)</f>
        <v>0</v>
      </c>
      <c r="T453" s="5">
        <f t="shared" si="131"/>
        <v>0</v>
      </c>
      <c r="U453" s="22">
        <f t="shared" si="123"/>
        <v>-9659.417613515383</v>
      </c>
      <c r="V453" s="5">
        <f>MAX(Assumptions!$E$18:$E$19)-U453</f>
        <v>12501.050625314079</v>
      </c>
      <c r="W453" s="5">
        <f t="shared" si="124"/>
        <v>0</v>
      </c>
      <c r="X453" s="5">
        <f t="shared" si="129"/>
        <v>-9659.417613515383</v>
      </c>
      <c r="Y453" s="5">
        <f>C453*Assumptions!$D$44*-1</f>
        <v>0</v>
      </c>
      <c r="Z453" s="5">
        <f t="shared" si="125"/>
        <v>2841.6330117986963</v>
      </c>
      <c r="AA453" s="5">
        <f t="shared" si="132"/>
        <v>2854513.4389543491</v>
      </c>
      <c r="AB453" s="3">
        <f>Assumptions!$E$45</f>
        <v>6.9899151946608562E-3</v>
      </c>
      <c r="AC453" s="5">
        <f t="shared" si="133"/>
        <v>2877307.8788264585</v>
      </c>
      <c r="AD453" s="5">
        <f>AC453*Assumptions!$E$43</f>
        <v>2576.8464406698477</v>
      </c>
      <c r="AE453" s="2">
        <f>AD453*Assumptions!$D$44*-1</f>
        <v>-386.52696610047713</v>
      </c>
      <c r="AF453" s="2">
        <f>AC453*Assumptions!$E$46*-1</f>
        <v>-95.892683571891922</v>
      </c>
      <c r="AG453" s="22">
        <f t="shared" si="134"/>
        <v>2876825.4591767862</v>
      </c>
      <c r="AH453" s="5">
        <f>Model_30y[[#This Row],[Mortgage Payment]]+Model_30y[[#This Row],[Total Upkeep]]+Model_30y[[#This Row],[Monthly Investment]]</f>
        <v>-6817.7846017166867</v>
      </c>
      <c r="AI453" s="5">
        <f>Model_Renter!D453*-1</f>
        <v>10722.356151588518</v>
      </c>
      <c r="AJ453" s="5">
        <f t="shared" si="135"/>
        <v>3904.5715498718309</v>
      </c>
    </row>
    <row r="454" spans="1:36" x14ac:dyDescent="0.25">
      <c r="A454" s="17">
        <f t="shared" si="130"/>
        <v>452</v>
      </c>
      <c r="B454" s="17">
        <f t="shared" si="126"/>
        <v>38</v>
      </c>
      <c r="C454" s="23">
        <f>IFERROR(IPMT(Assumptions!$D$16/12,Model_30y!A454, 360,Assumptions!$D$8), 0)</f>
        <v>0</v>
      </c>
      <c r="D454" s="2">
        <f>IFERROR(PPMT(Assumptions!$D$16/12, Model_30y!A454, 360, Assumptions!$D$8), 0)</f>
        <v>0</v>
      </c>
      <c r="E454" s="2">
        <f t="shared" si="120"/>
        <v>0</v>
      </c>
      <c r="F454" s="2">
        <f>IF(I453&gt;1, Assumptions!$E$18, 0)*-1</f>
        <v>0</v>
      </c>
      <c r="G454" s="24">
        <f t="shared" si="121"/>
        <v>1</v>
      </c>
      <c r="H454" s="20">
        <f t="shared" si="127"/>
        <v>339999.99999999994</v>
      </c>
      <c r="I454" s="2">
        <f>MAX(Assumptions!$D$8-SUM(Model_30y!H454), 0)</f>
        <v>5.8207660913467407E-11</v>
      </c>
      <c r="J454" s="2">
        <f>J453*(1+(Assumptions!$E$51))</f>
        <v>2670048.7757707764</v>
      </c>
      <c r="K454" s="22">
        <f t="shared" si="122"/>
        <v>2670048.7757707764</v>
      </c>
      <c r="L454" s="5">
        <f t="shared" si="128"/>
        <v>424999.99999999971</v>
      </c>
      <c r="M454" s="63">
        <f>L454/Assumptions!$D$6</f>
        <v>0.99999999999999933</v>
      </c>
      <c r="N454" s="24">
        <f t="shared" si="119"/>
        <v>0</v>
      </c>
      <c r="O454" s="5">
        <f>N454*Assumptions!$E$25*-1</f>
        <v>0</v>
      </c>
      <c r="P454" s="20">
        <f>Assumptions!$E$35*J454*-1</f>
        <v>-5499.8633105818526</v>
      </c>
      <c r="Q454" s="5">
        <f>J454*Assumptions!$E$36*-1</f>
        <v>-2214.9072266651688</v>
      </c>
      <c r="R454" s="5">
        <f>(R442+(Model_30y!R442*Assumptions!$D$51))</f>
        <v>-1975.9504724884998</v>
      </c>
      <c r="S454" s="5">
        <f>S442+(S442*Assumptions!$D$51)</f>
        <v>0</v>
      </c>
      <c r="T454" s="5">
        <f t="shared" si="131"/>
        <v>0</v>
      </c>
      <c r="U454" s="22">
        <f t="shared" si="123"/>
        <v>-9690.7210097355201</v>
      </c>
      <c r="V454" s="5">
        <f>MAX(Assumptions!$E$18:$E$19)-U454</f>
        <v>12532.354021534216</v>
      </c>
      <c r="W454" s="5">
        <f t="shared" si="124"/>
        <v>0</v>
      </c>
      <c r="X454" s="5">
        <f t="shared" si="129"/>
        <v>-9690.7210097355201</v>
      </c>
      <c r="Y454" s="5">
        <f>C454*Assumptions!$D$44*-1</f>
        <v>0</v>
      </c>
      <c r="Z454" s="5">
        <f t="shared" si="125"/>
        <v>2841.6330117986963</v>
      </c>
      <c r="AA454" s="5">
        <f t="shared" si="132"/>
        <v>2876825.4591767862</v>
      </c>
      <c r="AB454" s="3">
        <f>Assumptions!$E$45</f>
        <v>6.9899151946608562E-3</v>
      </c>
      <c r="AC454" s="5">
        <f t="shared" si="133"/>
        <v>2899775.8581780721</v>
      </c>
      <c r="AD454" s="5">
        <f>AC454*Assumptions!$E$43</f>
        <v>2596.9682124994451</v>
      </c>
      <c r="AE454" s="2">
        <f>AD454*Assumptions!$D$44*-1</f>
        <v>-389.54523187491674</v>
      </c>
      <c r="AF454" s="2">
        <f>AC454*Assumptions!$E$46*-1</f>
        <v>-96.641478947707881</v>
      </c>
      <c r="AG454" s="22">
        <f t="shared" si="134"/>
        <v>2899289.6714672497</v>
      </c>
      <c r="AH454" s="5">
        <f>Model_30y[[#This Row],[Mortgage Payment]]+Model_30y[[#This Row],[Total Upkeep]]+Model_30y[[#This Row],[Monthly Investment]]</f>
        <v>-6849.0879979368237</v>
      </c>
      <c r="AI454" s="5">
        <f>Model_Renter!D454*-1</f>
        <v>10722.356151588518</v>
      </c>
      <c r="AJ454" s="5">
        <f t="shared" si="135"/>
        <v>3873.2681536516939</v>
      </c>
    </row>
    <row r="455" spans="1:36" x14ac:dyDescent="0.25">
      <c r="A455" s="17">
        <f t="shared" si="130"/>
        <v>453</v>
      </c>
      <c r="B455" s="17">
        <f t="shared" si="126"/>
        <v>38</v>
      </c>
      <c r="C455" s="23">
        <f>IFERROR(IPMT(Assumptions!$D$16/12,Model_30y!A455, 360,Assumptions!$D$8), 0)</f>
        <v>0</v>
      </c>
      <c r="D455" s="2">
        <f>IFERROR(PPMT(Assumptions!$D$16/12, Model_30y!A455, 360, Assumptions!$D$8), 0)</f>
        <v>0</v>
      </c>
      <c r="E455" s="2">
        <f t="shared" si="120"/>
        <v>0</v>
      </c>
      <c r="F455" s="2">
        <f>IF(I454&gt;1, Assumptions!$E$18, 0)*-1</f>
        <v>0</v>
      </c>
      <c r="G455" s="24">
        <f t="shared" si="121"/>
        <v>1</v>
      </c>
      <c r="H455" s="20">
        <f t="shared" si="127"/>
        <v>339999.99999999994</v>
      </c>
      <c r="I455" s="2">
        <f>MAX(Assumptions!$D$8-SUM(Model_30y!H455), 0)</f>
        <v>5.8207660913467407E-11</v>
      </c>
      <c r="J455" s="2">
        <f>J454*(1+(Assumptions!$E$51))</f>
        <v>2680926.8849916453</v>
      </c>
      <c r="K455" s="22">
        <f t="shared" si="122"/>
        <v>2680926.8849916453</v>
      </c>
      <c r="L455" s="5">
        <f t="shared" si="128"/>
        <v>424999.99999999971</v>
      </c>
      <c r="M455" s="63">
        <f>L455/Assumptions!$D$6</f>
        <v>0.99999999999999933</v>
      </c>
      <c r="N455" s="24">
        <f t="shared" si="119"/>
        <v>0</v>
      </c>
      <c r="O455" s="5">
        <f>N455*Assumptions!$E$25*-1</f>
        <v>0</v>
      </c>
      <c r="P455" s="20">
        <f>Assumptions!$E$35*J455*-1</f>
        <v>-5522.2704345023094</v>
      </c>
      <c r="Q455" s="5">
        <f>J455*Assumptions!$E$36*-1</f>
        <v>-2223.9310328758997</v>
      </c>
      <c r="R455" s="5">
        <f>(R443+(Model_30y!R443*Assumptions!$D$51))</f>
        <v>-1975.9504724884998</v>
      </c>
      <c r="S455" s="5">
        <f>S443+(S443*Assumptions!$D$51)</f>
        <v>0</v>
      </c>
      <c r="T455" s="5">
        <f t="shared" si="131"/>
        <v>0</v>
      </c>
      <c r="U455" s="22">
        <f t="shared" si="123"/>
        <v>-9722.1519398667078</v>
      </c>
      <c r="V455" s="5">
        <f>MAX(Assumptions!$E$18:$E$19)-U455</f>
        <v>12563.784951665404</v>
      </c>
      <c r="W455" s="5">
        <f t="shared" si="124"/>
        <v>0</v>
      </c>
      <c r="X455" s="5">
        <f t="shared" si="129"/>
        <v>-9722.1519398667078</v>
      </c>
      <c r="Y455" s="5">
        <f>C455*Assumptions!$D$44*-1</f>
        <v>0</v>
      </c>
      <c r="Z455" s="5">
        <f t="shared" si="125"/>
        <v>2841.6330117986963</v>
      </c>
      <c r="AA455" s="5">
        <f t="shared" si="132"/>
        <v>2899289.6714672497</v>
      </c>
      <c r="AB455" s="3">
        <f>Assumptions!$E$45</f>
        <v>6.9899151946608562E-3</v>
      </c>
      <c r="AC455" s="5">
        <f t="shared" si="133"/>
        <v>2922397.0934073608</v>
      </c>
      <c r="AD455" s="5">
        <f>AC455*Assumptions!$E$43</f>
        <v>2617.227236538236</v>
      </c>
      <c r="AE455" s="2">
        <f>AD455*Assumptions!$D$44*-1</f>
        <v>-392.58408548073538</v>
      </c>
      <c r="AF455" s="2">
        <f>AC455*Assumptions!$E$46*-1</f>
        <v>-97.395381916455278</v>
      </c>
      <c r="AG455" s="22">
        <f t="shared" si="134"/>
        <v>2921907.1139399637</v>
      </c>
      <c r="AH455" s="5">
        <f>Model_30y[[#This Row],[Mortgage Payment]]+Model_30y[[#This Row],[Total Upkeep]]+Model_30y[[#This Row],[Monthly Investment]]</f>
        <v>-6880.5189280680115</v>
      </c>
      <c r="AI455" s="5">
        <f>Model_Renter!D455*-1</f>
        <v>10722.356151588518</v>
      </c>
      <c r="AJ455" s="5">
        <f t="shared" si="135"/>
        <v>3841.8372235205061</v>
      </c>
    </row>
    <row r="456" spans="1:36" x14ac:dyDescent="0.25">
      <c r="A456" s="17">
        <f t="shared" si="130"/>
        <v>454</v>
      </c>
      <c r="B456" s="17">
        <f t="shared" si="126"/>
        <v>38</v>
      </c>
      <c r="C456" s="23">
        <f>IFERROR(IPMT(Assumptions!$D$16/12,Model_30y!A456, 360,Assumptions!$D$8), 0)</f>
        <v>0</v>
      </c>
      <c r="D456" s="2">
        <f>IFERROR(PPMT(Assumptions!$D$16/12, Model_30y!A456, 360, Assumptions!$D$8), 0)</f>
        <v>0</v>
      </c>
      <c r="E456" s="2">
        <f t="shared" si="120"/>
        <v>0</v>
      </c>
      <c r="F456" s="2">
        <f>IF(I455&gt;1, Assumptions!$E$18, 0)*-1</f>
        <v>0</v>
      </c>
      <c r="G456" s="24">
        <f t="shared" si="121"/>
        <v>1</v>
      </c>
      <c r="H456" s="20">
        <f t="shared" si="127"/>
        <v>339999.99999999994</v>
      </c>
      <c r="I456" s="2">
        <f>MAX(Assumptions!$D$8-SUM(Model_30y!H456), 0)</f>
        <v>5.8207660913467407E-11</v>
      </c>
      <c r="J456" s="2">
        <f>J455*(1+(Assumptions!$E$51))</f>
        <v>2691849.312976012</v>
      </c>
      <c r="K456" s="22">
        <f t="shared" si="122"/>
        <v>2691849.312976012</v>
      </c>
      <c r="L456" s="5">
        <f t="shared" si="128"/>
        <v>424999.99999999971</v>
      </c>
      <c r="M456" s="63">
        <f>L456/Assumptions!$D$6</f>
        <v>0.99999999999999933</v>
      </c>
      <c r="N456" s="24">
        <f t="shared" si="119"/>
        <v>0</v>
      </c>
      <c r="O456" s="5">
        <f>N456*Assumptions!$E$25*-1</f>
        <v>0</v>
      </c>
      <c r="P456" s="20">
        <f>Assumptions!$E$35*J456*-1</f>
        <v>-5544.7688478192531</v>
      </c>
      <c r="Q456" s="5">
        <f>J456*Assumptions!$E$36*-1</f>
        <v>-2232.991603190133</v>
      </c>
      <c r="R456" s="5">
        <f>(R444+(Model_30y!R444*Assumptions!$D$51))</f>
        <v>-1975.9504724884998</v>
      </c>
      <c r="S456" s="5">
        <f>S444+(S444*Assumptions!$D$51)</f>
        <v>0</v>
      </c>
      <c r="T456" s="5">
        <f t="shared" si="131"/>
        <v>0</v>
      </c>
      <c r="U456" s="22">
        <f t="shared" si="123"/>
        <v>-9753.7109234978852</v>
      </c>
      <c r="V456" s="5">
        <f>MAX(Assumptions!$E$18:$E$19)-U456</f>
        <v>12595.343935296582</v>
      </c>
      <c r="W456" s="5">
        <f t="shared" si="124"/>
        <v>0</v>
      </c>
      <c r="X456" s="5">
        <f t="shared" si="129"/>
        <v>-9753.7109234978852</v>
      </c>
      <c r="Y456" s="5">
        <f>C456*Assumptions!$D$44*-1</f>
        <v>0</v>
      </c>
      <c r="Z456" s="5">
        <f t="shared" si="125"/>
        <v>2841.6330117986963</v>
      </c>
      <c r="AA456" s="5">
        <f t="shared" si="132"/>
        <v>2921907.1139399637</v>
      </c>
      <c r="AB456" s="3">
        <f>Assumptions!$E$45</f>
        <v>6.9899151946608562E-3</v>
      </c>
      <c r="AC456" s="5">
        <f t="shared" si="133"/>
        <v>2945172.6298848791</v>
      </c>
      <c r="AD456" s="5">
        <f>AC456*Assumptions!$E$43</f>
        <v>2637.624448994477</v>
      </c>
      <c r="AE456" s="2">
        <f>AD456*Assumptions!$D$44*-1</f>
        <v>-395.64366734917155</v>
      </c>
      <c r="AF456" s="2">
        <f>AC456*Assumptions!$E$46*-1</f>
        <v>-98.154427317432493</v>
      </c>
      <c r="AG456" s="22">
        <f t="shared" si="134"/>
        <v>2944678.8317902125</v>
      </c>
      <c r="AH456" s="5">
        <f>Model_30y[[#This Row],[Mortgage Payment]]+Model_30y[[#This Row],[Total Upkeep]]+Model_30y[[#This Row],[Monthly Investment]]</f>
        <v>-6912.0779116991889</v>
      </c>
      <c r="AI456" s="5">
        <f>Model_Renter!D456*-1</f>
        <v>10722.356151588518</v>
      </c>
      <c r="AJ456" s="5">
        <f t="shared" si="135"/>
        <v>3810.2782398893287</v>
      </c>
    </row>
    <row r="457" spans="1:36" x14ac:dyDescent="0.25">
      <c r="A457" s="17">
        <f t="shared" si="130"/>
        <v>455</v>
      </c>
      <c r="B457" s="17">
        <f t="shared" si="126"/>
        <v>38</v>
      </c>
      <c r="C457" s="23">
        <f>IFERROR(IPMT(Assumptions!$D$16/12,Model_30y!A457, 360,Assumptions!$D$8), 0)</f>
        <v>0</v>
      </c>
      <c r="D457" s="2">
        <f>IFERROR(PPMT(Assumptions!$D$16/12, Model_30y!A457, 360, Assumptions!$D$8), 0)</f>
        <v>0</v>
      </c>
      <c r="E457" s="2">
        <f t="shared" si="120"/>
        <v>0</v>
      </c>
      <c r="F457" s="2">
        <f>IF(I456&gt;1, Assumptions!$E$18, 0)*-1</f>
        <v>0</v>
      </c>
      <c r="G457" s="24">
        <f t="shared" si="121"/>
        <v>1</v>
      </c>
      <c r="H457" s="20">
        <f t="shared" si="127"/>
        <v>339999.99999999994</v>
      </c>
      <c r="I457" s="2">
        <f>MAX(Assumptions!$D$8-SUM(Model_30y!H457), 0)</f>
        <v>5.8207660913467407E-11</v>
      </c>
      <c r="J457" s="2">
        <f>J456*(1+(Assumptions!$E$51))</f>
        <v>2702816.2402840052</v>
      </c>
      <c r="K457" s="22">
        <f t="shared" si="122"/>
        <v>2702816.2402840052</v>
      </c>
      <c r="L457" s="5">
        <f t="shared" si="128"/>
        <v>424999.99999999971</v>
      </c>
      <c r="M457" s="63">
        <f>L457/Assumptions!$D$6</f>
        <v>0.99999999999999933</v>
      </c>
      <c r="N457" s="24">
        <f t="shared" si="119"/>
        <v>0</v>
      </c>
      <c r="O457" s="5">
        <f>N457*Assumptions!$E$25*-1</f>
        <v>0</v>
      </c>
      <c r="P457" s="20">
        <f>Assumptions!$E$35*J457*-1</f>
        <v>-5567.358922456986</v>
      </c>
      <c r="Q457" s="5">
        <f>J457*Assumptions!$E$36*-1</f>
        <v>-2242.0890873893773</v>
      </c>
      <c r="R457" s="5">
        <f>(R445+(Model_30y!R445*Assumptions!$D$51))</f>
        <v>-1975.9504724884998</v>
      </c>
      <c r="S457" s="5">
        <f>S445+(S445*Assumptions!$D$51)</f>
        <v>0</v>
      </c>
      <c r="T457" s="5">
        <f t="shared" si="131"/>
        <v>0</v>
      </c>
      <c r="U457" s="22">
        <f t="shared" si="123"/>
        <v>-9785.3984823348619</v>
      </c>
      <c r="V457" s="5">
        <f>MAX(Assumptions!$E$18:$E$19)-U457</f>
        <v>12627.031494133558</v>
      </c>
      <c r="W457" s="5">
        <f t="shared" si="124"/>
        <v>0</v>
      </c>
      <c r="X457" s="5">
        <f t="shared" si="129"/>
        <v>-9785.3984823348619</v>
      </c>
      <c r="Y457" s="5">
        <f>C457*Assumptions!$D$44*-1</f>
        <v>0</v>
      </c>
      <c r="Z457" s="5">
        <f t="shared" si="125"/>
        <v>2841.6330117986963</v>
      </c>
      <c r="AA457" s="5">
        <f t="shared" si="132"/>
        <v>2944678.8317902125</v>
      </c>
      <c r="AB457" s="3">
        <f>Assumptions!$E$45</f>
        <v>6.9899151946608562E-3</v>
      </c>
      <c r="AC457" s="5">
        <f t="shared" si="133"/>
        <v>2968103.5201117378</v>
      </c>
      <c r="AD457" s="5">
        <f>AC457*Assumptions!$E$43</f>
        <v>2658.1607924623759</v>
      </c>
      <c r="AE457" s="2">
        <f>AD457*Assumptions!$D$44*-1</f>
        <v>-398.72411886935635</v>
      </c>
      <c r="AF457" s="2">
        <f>AC457*Assumptions!$E$46*-1</f>
        <v>-98.91865022757959</v>
      </c>
      <c r="AG457" s="22">
        <f t="shared" si="134"/>
        <v>2967605.8773426409</v>
      </c>
      <c r="AH457" s="5">
        <f>Model_30y[[#This Row],[Mortgage Payment]]+Model_30y[[#This Row],[Total Upkeep]]+Model_30y[[#This Row],[Monthly Investment]]</f>
        <v>-6943.7654705361656</v>
      </c>
      <c r="AI457" s="5">
        <f>Model_Renter!D457*-1</f>
        <v>10722.356151588518</v>
      </c>
      <c r="AJ457" s="5">
        <f t="shared" si="135"/>
        <v>3778.590681052352</v>
      </c>
    </row>
    <row r="458" spans="1:36" x14ac:dyDescent="0.25">
      <c r="A458" s="17">
        <f t="shared" si="130"/>
        <v>456</v>
      </c>
      <c r="B458" s="17">
        <f t="shared" si="126"/>
        <v>38</v>
      </c>
      <c r="C458" s="23">
        <f>IFERROR(IPMT(Assumptions!$D$16/12,Model_30y!A458, 360,Assumptions!$D$8), 0)</f>
        <v>0</v>
      </c>
      <c r="D458" s="2">
        <f>IFERROR(PPMT(Assumptions!$D$16/12, Model_30y!A458, 360, Assumptions!$D$8), 0)</f>
        <v>0</v>
      </c>
      <c r="E458" s="2">
        <f t="shared" si="120"/>
        <v>0</v>
      </c>
      <c r="F458" s="2">
        <f>IF(I457&gt;1, Assumptions!$E$18, 0)*-1</f>
        <v>0</v>
      </c>
      <c r="G458" s="24">
        <f t="shared" si="121"/>
        <v>1</v>
      </c>
      <c r="H458" s="20">
        <f t="shared" si="127"/>
        <v>339999.99999999994</v>
      </c>
      <c r="I458" s="2">
        <f>MAX(Assumptions!$D$8-SUM(Model_30y!H458), 0)</f>
        <v>5.8207660913467407E-11</v>
      </c>
      <c r="J458" s="2">
        <f>J457*(1+(Assumptions!$E$51))</f>
        <v>2713827.8482113774</v>
      </c>
      <c r="K458" s="22">
        <f t="shared" si="122"/>
        <v>2713827.8482113774</v>
      </c>
      <c r="L458" s="5">
        <f t="shared" si="128"/>
        <v>424999.99999999971</v>
      </c>
      <c r="M458" s="63">
        <f>L458/Assumptions!$D$6</f>
        <v>0.99999999999999933</v>
      </c>
      <c r="N458" s="24">
        <f t="shared" si="119"/>
        <v>0</v>
      </c>
      <c r="O458" s="5">
        <f>N458*Assumptions!$E$25*-1</f>
        <v>0</v>
      </c>
      <c r="P458" s="20">
        <f>Assumptions!$E$35*J458*-1</f>
        <v>-5590.0410318550757</v>
      </c>
      <c r="Q458" s="5">
        <f>J458*Assumptions!$E$36*-1</f>
        <v>-2251.223635865369</v>
      </c>
      <c r="R458" s="5">
        <f>(R446+(Model_30y!R446*Assumptions!$D$51))</f>
        <v>-1975.9504724884998</v>
      </c>
      <c r="S458" s="5">
        <f>S446+(S446*Assumptions!$D$51)</f>
        <v>0</v>
      </c>
      <c r="T458" s="5">
        <f t="shared" si="131"/>
        <v>0</v>
      </c>
      <c r="U458" s="22">
        <f t="shared" si="123"/>
        <v>-9817.2151402089439</v>
      </c>
      <c r="V458" s="5">
        <f>MAX(Assumptions!$E$18:$E$19)-U458</f>
        <v>12658.84815200764</v>
      </c>
      <c r="W458" s="5">
        <f t="shared" si="124"/>
        <v>0</v>
      </c>
      <c r="X458" s="5">
        <f t="shared" si="129"/>
        <v>-9817.2151402089439</v>
      </c>
      <c r="Y458" s="5">
        <f>C458*Assumptions!$D$44*-1</f>
        <v>0</v>
      </c>
      <c r="Z458" s="5">
        <f t="shared" si="125"/>
        <v>2841.6330117986963</v>
      </c>
      <c r="AA458" s="5">
        <f t="shared" si="132"/>
        <v>2967605.8773426409</v>
      </c>
      <c r="AB458" s="3">
        <f>Assumptions!$E$45</f>
        <v>6.9899151946608562E-3</v>
      </c>
      <c r="AC458" s="5">
        <f t="shared" si="133"/>
        <v>2991190.8237682418</v>
      </c>
      <c r="AD458" s="5">
        <f>AC458*Assumptions!$E$43</f>
        <v>2678.837215965651</v>
      </c>
      <c r="AE458" s="2">
        <f>AD458*Assumptions!$D$44*-1</f>
        <v>-401.82558239484763</v>
      </c>
      <c r="AF458" s="2">
        <f>AC458*Assumptions!$E$46*-1</f>
        <v>-99.68808596309924</v>
      </c>
      <c r="AG458" s="22">
        <f t="shared" si="134"/>
        <v>2990689.3100998839</v>
      </c>
      <c r="AH458" s="5">
        <f>Model_30y[[#This Row],[Mortgage Payment]]+Model_30y[[#This Row],[Total Upkeep]]+Model_30y[[#This Row],[Monthly Investment]]</f>
        <v>-6975.5821284102476</v>
      </c>
      <c r="AI458" s="5">
        <f>Model_Renter!D458*-1</f>
        <v>10722.356151588518</v>
      </c>
      <c r="AJ458" s="5">
        <f t="shared" si="135"/>
        <v>3746.77402317827</v>
      </c>
    </row>
    <row r="459" spans="1:36" x14ac:dyDescent="0.25">
      <c r="A459" s="17">
        <f t="shared" si="130"/>
        <v>457</v>
      </c>
      <c r="B459" s="17">
        <f t="shared" si="126"/>
        <v>39</v>
      </c>
      <c r="C459" s="23">
        <f>IFERROR(IPMT(Assumptions!$D$16/12,Model_30y!A459, 360,Assumptions!$D$8), 0)</f>
        <v>0</v>
      </c>
      <c r="D459" s="2">
        <f>IFERROR(PPMT(Assumptions!$D$16/12, Model_30y!A459, 360, Assumptions!$D$8), 0)</f>
        <v>0</v>
      </c>
      <c r="E459" s="2">
        <f t="shared" si="120"/>
        <v>0</v>
      </c>
      <c r="F459" s="2">
        <f>IF(I458&gt;1, Assumptions!$E$18, 0)*-1</f>
        <v>0</v>
      </c>
      <c r="G459" s="24">
        <f t="shared" si="121"/>
        <v>1</v>
      </c>
      <c r="H459" s="20">
        <f t="shared" si="127"/>
        <v>339999.99999999994</v>
      </c>
      <c r="I459" s="2">
        <f>MAX(Assumptions!$D$8-SUM(Model_30y!H459), 0)</f>
        <v>5.8207660913467407E-11</v>
      </c>
      <c r="J459" s="2">
        <f>J458*(1+(Assumptions!$E$51))</f>
        <v>2724884.3187925024</v>
      </c>
      <c r="K459" s="22">
        <f t="shared" si="122"/>
        <v>2724884.3187925024</v>
      </c>
      <c r="L459" s="5">
        <f t="shared" si="128"/>
        <v>424999.99999999971</v>
      </c>
      <c r="M459" s="63">
        <f>L459/Assumptions!$D$6</f>
        <v>0.99999999999999933</v>
      </c>
      <c r="N459" s="24">
        <f t="shared" si="119"/>
        <v>0</v>
      </c>
      <c r="O459" s="5">
        <f>N459*Assumptions!$E$25*-1</f>
        <v>0</v>
      </c>
      <c r="P459" s="20">
        <f>Assumptions!$E$35*J459*-1</f>
        <v>-5612.8155509745256</v>
      </c>
      <c r="Q459" s="5">
        <f>J459*Assumptions!$E$36*-1</f>
        <v>-2260.3953996225591</v>
      </c>
      <c r="R459" s="5">
        <f>(R447+(Model_30y!R447*Assumptions!$D$51))</f>
        <v>-2074.7479961129247</v>
      </c>
      <c r="S459" s="5">
        <f>S447+(S447*Assumptions!$D$51)</f>
        <v>0</v>
      </c>
      <c r="T459" s="5">
        <f t="shared" si="131"/>
        <v>0</v>
      </c>
      <c r="U459" s="22">
        <f t="shared" si="123"/>
        <v>-9947.9589467100086</v>
      </c>
      <c r="V459" s="5">
        <f>MAX(Assumptions!$E$18:$E$19)-U459</f>
        <v>12789.591958508705</v>
      </c>
      <c r="W459" s="5">
        <f t="shared" si="124"/>
        <v>0</v>
      </c>
      <c r="X459" s="5">
        <f t="shared" si="129"/>
        <v>-9947.9589467100086</v>
      </c>
      <c r="Y459" s="5">
        <f>C459*Assumptions!$D$44*-1</f>
        <v>0</v>
      </c>
      <c r="Z459" s="5">
        <f t="shared" si="125"/>
        <v>2841.6330117986963</v>
      </c>
      <c r="AA459" s="5">
        <f t="shared" si="132"/>
        <v>2990689.3100998839</v>
      </c>
      <c r="AB459" s="3">
        <f>Assumptions!$E$45</f>
        <v>6.9899151946608562E-3</v>
      </c>
      <c r="AC459" s="5">
        <f t="shared" si="133"/>
        <v>3014435.6077628597</v>
      </c>
      <c r="AD459" s="5">
        <f>AC459*Assumptions!$E$43</f>
        <v>2699.6546750013872</v>
      </c>
      <c r="AE459" s="2">
        <f>AD459*Assumptions!$D$44*-1</f>
        <v>-404.94820125020806</v>
      </c>
      <c r="AF459" s="2">
        <f>AC459*Assumptions!$E$46*-1</f>
        <v>-100.46277008108873</v>
      </c>
      <c r="AG459" s="22">
        <f t="shared" si="134"/>
        <v>3013930.1967915283</v>
      </c>
      <c r="AH459" s="5">
        <f>Model_30y[[#This Row],[Mortgage Payment]]+Model_30y[[#This Row],[Total Upkeep]]+Model_30y[[#This Row],[Monthly Investment]]</f>
        <v>-7106.3259349113123</v>
      </c>
      <c r="AI459" s="5">
        <f>Model_Renter!D459*-1</f>
        <v>11123.372271657929</v>
      </c>
      <c r="AJ459" s="5">
        <f t="shared" si="135"/>
        <v>4017.0463367466164</v>
      </c>
    </row>
    <row r="460" spans="1:36" x14ac:dyDescent="0.25">
      <c r="A460" s="17">
        <f t="shared" si="130"/>
        <v>458</v>
      </c>
      <c r="B460" s="17">
        <f t="shared" si="126"/>
        <v>39</v>
      </c>
      <c r="C460" s="23">
        <f>IFERROR(IPMT(Assumptions!$D$16/12,Model_30y!A460, 360,Assumptions!$D$8), 0)</f>
        <v>0</v>
      </c>
      <c r="D460" s="2">
        <f>IFERROR(PPMT(Assumptions!$D$16/12, Model_30y!A460, 360, Assumptions!$D$8), 0)</f>
        <v>0</v>
      </c>
      <c r="E460" s="2">
        <f t="shared" si="120"/>
        <v>0</v>
      </c>
      <c r="F460" s="2">
        <f>IF(I459&gt;1, Assumptions!$E$18, 0)*-1</f>
        <v>0</v>
      </c>
      <c r="G460" s="24">
        <f t="shared" si="121"/>
        <v>1</v>
      </c>
      <c r="H460" s="20">
        <f t="shared" si="127"/>
        <v>339999.99999999994</v>
      </c>
      <c r="I460" s="2">
        <f>MAX(Assumptions!$D$8-SUM(Model_30y!H460), 0)</f>
        <v>5.8207660913467407E-11</v>
      </c>
      <c r="J460" s="2">
        <f>J459*(1+(Assumptions!$E$51))</f>
        <v>2735985.8348033852</v>
      </c>
      <c r="K460" s="22">
        <f t="shared" si="122"/>
        <v>2735985.8348033852</v>
      </c>
      <c r="L460" s="5">
        <f t="shared" si="128"/>
        <v>424999.99999999971</v>
      </c>
      <c r="M460" s="63">
        <f>L460/Assumptions!$D$6</f>
        <v>0.99999999999999933</v>
      </c>
      <c r="N460" s="24">
        <f t="shared" si="119"/>
        <v>0</v>
      </c>
      <c r="O460" s="5">
        <f>N460*Assumptions!$E$25*-1</f>
        <v>0</v>
      </c>
      <c r="P460" s="20">
        <f>Assumptions!$E$35*J460*-1</f>
        <v>-5635.6828563039826</v>
      </c>
      <c r="Q460" s="5">
        <f>J460*Assumptions!$E$36*-1</f>
        <v>-2269.6045302806106</v>
      </c>
      <c r="R460" s="5">
        <f>(R448+(Model_30y!R448*Assumptions!$D$51))</f>
        <v>-2074.7479961129247</v>
      </c>
      <c r="S460" s="5">
        <f>S448+(S448*Assumptions!$D$51)</f>
        <v>0</v>
      </c>
      <c r="T460" s="5">
        <f t="shared" si="131"/>
        <v>0</v>
      </c>
      <c r="U460" s="22">
        <f t="shared" si="123"/>
        <v>-9980.0353826975188</v>
      </c>
      <c r="V460" s="5">
        <f>MAX(Assumptions!$E$18:$E$19)-U460</f>
        <v>12821.668394496215</v>
      </c>
      <c r="W460" s="5">
        <f t="shared" si="124"/>
        <v>0</v>
      </c>
      <c r="X460" s="5">
        <f t="shared" si="129"/>
        <v>-9980.0353826975188</v>
      </c>
      <c r="Y460" s="5">
        <f>C460*Assumptions!$D$44*-1</f>
        <v>0</v>
      </c>
      <c r="Z460" s="5">
        <f t="shared" si="125"/>
        <v>2841.6330117986963</v>
      </c>
      <c r="AA460" s="5">
        <f t="shared" si="132"/>
        <v>3013930.1967915283</v>
      </c>
      <c r="AB460" s="3">
        <f>Assumptions!$E$45</f>
        <v>6.9899151946608562E-3</v>
      </c>
      <c r="AC460" s="5">
        <f t="shared" si="133"/>
        <v>3037838.9462815272</v>
      </c>
      <c r="AD460" s="5">
        <f>AC460*Assumptions!$E$43</f>
        <v>2720.6141315841901</v>
      </c>
      <c r="AE460" s="2">
        <f>AD460*Assumptions!$D$44*-1</f>
        <v>-408.09211973762848</v>
      </c>
      <c r="AF460" s="2">
        <f>AC460*Assumptions!$E$46*-1</f>
        <v>-101.24273838118312</v>
      </c>
      <c r="AG460" s="22">
        <f t="shared" si="134"/>
        <v>3037329.6114234081</v>
      </c>
      <c r="AH460" s="5">
        <f>Model_30y[[#This Row],[Mortgage Payment]]+Model_30y[[#This Row],[Total Upkeep]]+Model_30y[[#This Row],[Monthly Investment]]</f>
        <v>-7138.4023708988225</v>
      </c>
      <c r="AI460" s="5">
        <f>Model_Renter!D460*-1</f>
        <v>11123.372271657929</v>
      </c>
      <c r="AJ460" s="5">
        <f t="shared" si="135"/>
        <v>3984.9699007591062</v>
      </c>
    </row>
    <row r="461" spans="1:36" x14ac:dyDescent="0.25">
      <c r="A461" s="17">
        <f t="shared" si="130"/>
        <v>459</v>
      </c>
      <c r="B461" s="17">
        <f t="shared" si="126"/>
        <v>39</v>
      </c>
      <c r="C461" s="23">
        <f>IFERROR(IPMT(Assumptions!$D$16/12,Model_30y!A461, 360,Assumptions!$D$8), 0)</f>
        <v>0</v>
      </c>
      <c r="D461" s="2">
        <f>IFERROR(PPMT(Assumptions!$D$16/12, Model_30y!A461, 360, Assumptions!$D$8), 0)</f>
        <v>0</v>
      </c>
      <c r="E461" s="2">
        <f t="shared" si="120"/>
        <v>0</v>
      </c>
      <c r="F461" s="2">
        <f>IF(I460&gt;1, Assumptions!$E$18, 0)*-1</f>
        <v>0</v>
      </c>
      <c r="G461" s="24">
        <f t="shared" si="121"/>
        <v>1</v>
      </c>
      <c r="H461" s="20">
        <f t="shared" si="127"/>
        <v>339999.99999999994</v>
      </c>
      <c r="I461" s="2">
        <f>MAX(Assumptions!$D$8-SUM(Model_30y!H461), 0)</f>
        <v>5.8207660913467407E-11</v>
      </c>
      <c r="J461" s="2">
        <f>J460*(1+(Assumptions!$E$51))</f>
        <v>2747132.5797646828</v>
      </c>
      <c r="K461" s="22">
        <f t="shared" si="122"/>
        <v>2747132.5797646828</v>
      </c>
      <c r="L461" s="5">
        <f t="shared" si="128"/>
        <v>424999.99999999971</v>
      </c>
      <c r="M461" s="63">
        <f>L461/Assumptions!$D$6</f>
        <v>0.99999999999999933</v>
      </c>
      <c r="N461" s="24">
        <f t="shared" si="119"/>
        <v>0</v>
      </c>
      <c r="O461" s="5">
        <f>N461*Assumptions!$E$25*-1</f>
        <v>0</v>
      </c>
      <c r="P461" s="20">
        <f>Assumptions!$E$35*J461*-1</f>
        <v>-5658.6433258659499</v>
      </c>
      <c r="Q461" s="5">
        <f>J461*Assumptions!$E$36*-1</f>
        <v>-2278.8511800769029</v>
      </c>
      <c r="R461" s="5">
        <f>(R449+(Model_30y!R449*Assumptions!$D$51))</f>
        <v>-2074.7479961129247</v>
      </c>
      <c r="S461" s="5">
        <f>S449+(S449*Assumptions!$D$51)</f>
        <v>0</v>
      </c>
      <c r="T461" s="5">
        <f t="shared" si="131"/>
        <v>0</v>
      </c>
      <c r="U461" s="22">
        <f t="shared" si="123"/>
        <v>-10012.242502055778</v>
      </c>
      <c r="V461" s="5">
        <f>MAX(Assumptions!$E$18:$E$19)-U461</f>
        <v>12853.875513854475</v>
      </c>
      <c r="W461" s="5">
        <f t="shared" si="124"/>
        <v>0</v>
      </c>
      <c r="X461" s="5">
        <f t="shared" si="129"/>
        <v>-10012.242502055778</v>
      </c>
      <c r="Y461" s="5">
        <f>C461*Assumptions!$D$44*-1</f>
        <v>0</v>
      </c>
      <c r="Z461" s="5">
        <f t="shared" si="125"/>
        <v>2841.6330117986963</v>
      </c>
      <c r="AA461" s="5">
        <f t="shared" si="132"/>
        <v>3037329.6114234081</v>
      </c>
      <c r="AB461" s="3">
        <f>Assumptions!$E$45</f>
        <v>6.9899151946608562E-3</v>
      </c>
      <c r="AC461" s="5">
        <f t="shared" si="133"/>
        <v>3061401.9208372887</v>
      </c>
      <c r="AD461" s="5">
        <f>AC461*Assumptions!$E$43</f>
        <v>2741.7165542906446</v>
      </c>
      <c r="AE461" s="2">
        <f>AD461*Assumptions!$D$44*-1</f>
        <v>-411.25748314359669</v>
      </c>
      <c r="AF461" s="2">
        <f>AC461*Assumptions!$E$46*-1</f>
        <v>-102.02802690720965</v>
      </c>
      <c r="AG461" s="22">
        <f t="shared" si="134"/>
        <v>3060888.6353272381</v>
      </c>
      <c r="AH461" s="5">
        <f>Model_30y[[#This Row],[Mortgage Payment]]+Model_30y[[#This Row],[Total Upkeep]]+Model_30y[[#This Row],[Monthly Investment]]</f>
        <v>-7170.6094902570821</v>
      </c>
      <c r="AI461" s="5">
        <f>Model_Renter!D461*-1</f>
        <v>11123.372271657929</v>
      </c>
      <c r="AJ461" s="5">
        <f t="shared" si="135"/>
        <v>3952.7627814008465</v>
      </c>
    </row>
    <row r="462" spans="1:36" x14ac:dyDescent="0.25">
      <c r="A462" s="17">
        <f t="shared" si="130"/>
        <v>460</v>
      </c>
      <c r="B462" s="17">
        <f t="shared" si="126"/>
        <v>39</v>
      </c>
      <c r="C462" s="23">
        <f>IFERROR(IPMT(Assumptions!$D$16/12,Model_30y!A462, 360,Assumptions!$D$8), 0)</f>
        <v>0</v>
      </c>
      <c r="D462" s="2">
        <f>IFERROR(PPMT(Assumptions!$D$16/12, Model_30y!A462, 360, Assumptions!$D$8), 0)</f>
        <v>0</v>
      </c>
      <c r="E462" s="2">
        <f t="shared" si="120"/>
        <v>0</v>
      </c>
      <c r="F462" s="2">
        <f>IF(I461&gt;1, Assumptions!$E$18, 0)*-1</f>
        <v>0</v>
      </c>
      <c r="G462" s="24">
        <f t="shared" si="121"/>
        <v>1</v>
      </c>
      <c r="H462" s="20">
        <f t="shared" si="127"/>
        <v>339999.99999999994</v>
      </c>
      <c r="I462" s="2">
        <f>MAX(Assumptions!$D$8-SUM(Model_30y!H462), 0)</f>
        <v>5.8207660913467407E-11</v>
      </c>
      <c r="J462" s="2">
        <f>J461*(1+(Assumptions!$E$51))</f>
        <v>2758324.7379447375</v>
      </c>
      <c r="K462" s="22">
        <f t="shared" si="122"/>
        <v>2758324.7379447375</v>
      </c>
      <c r="L462" s="5">
        <f t="shared" si="128"/>
        <v>424999.99999999971</v>
      </c>
      <c r="M462" s="63">
        <f>L462/Assumptions!$D$6</f>
        <v>0.99999999999999933</v>
      </c>
      <c r="N462" s="24">
        <f t="shared" si="119"/>
        <v>0</v>
      </c>
      <c r="O462" s="5">
        <f>N462*Assumptions!$E$25*-1</f>
        <v>0</v>
      </c>
      <c r="P462" s="20">
        <f>Assumptions!$E$35*J462*-1</f>
        <v>-5681.6973392230439</v>
      </c>
      <c r="Q462" s="5">
        <f>J462*Assumptions!$E$36*-1</f>
        <v>-2288.1355018690497</v>
      </c>
      <c r="R462" s="5">
        <f>(R450+(Model_30y!R450*Assumptions!$D$51))</f>
        <v>-2074.7479961129247</v>
      </c>
      <c r="S462" s="5">
        <f>S450+(S450*Assumptions!$D$51)</f>
        <v>0</v>
      </c>
      <c r="T462" s="5">
        <f t="shared" si="131"/>
        <v>0</v>
      </c>
      <c r="U462" s="22">
        <f t="shared" si="123"/>
        <v>-10044.580837205018</v>
      </c>
      <c r="V462" s="5">
        <f>MAX(Assumptions!$E$18:$E$19)-U462</f>
        <v>12886.213849003714</v>
      </c>
      <c r="W462" s="5">
        <f t="shared" si="124"/>
        <v>0</v>
      </c>
      <c r="X462" s="5">
        <f t="shared" si="129"/>
        <v>-10044.580837205018</v>
      </c>
      <c r="Y462" s="5">
        <f>C462*Assumptions!$D$44*-1</f>
        <v>0</v>
      </c>
      <c r="Z462" s="5">
        <f t="shared" si="125"/>
        <v>2841.6330117986963</v>
      </c>
      <c r="AA462" s="5">
        <f t="shared" si="132"/>
        <v>3060888.6353272381</v>
      </c>
      <c r="AB462" s="3">
        <f>Assumptions!$E$45</f>
        <v>6.9899151946608562E-3</v>
      </c>
      <c r="AC462" s="5">
        <f t="shared" si="133"/>
        <v>3085125.6203202754</v>
      </c>
      <c r="AD462" s="5">
        <f>AC462*Assumptions!$E$43</f>
        <v>2762.9629183040743</v>
      </c>
      <c r="AE462" s="2">
        <f>AD462*Assumptions!$D$44*-1</f>
        <v>-414.44443774561114</v>
      </c>
      <c r="AF462" s="2">
        <f>AC462*Assumptions!$E$46*-1</f>
        <v>-102.81867194885344</v>
      </c>
      <c r="AG462" s="22">
        <f t="shared" si="134"/>
        <v>3084608.3572105812</v>
      </c>
      <c r="AH462" s="5">
        <f>Model_30y[[#This Row],[Mortgage Payment]]+Model_30y[[#This Row],[Total Upkeep]]+Model_30y[[#This Row],[Monthly Investment]]</f>
        <v>-7202.9478254063215</v>
      </c>
      <c r="AI462" s="5">
        <f>Model_Renter!D462*-1</f>
        <v>11123.372271657929</v>
      </c>
      <c r="AJ462" s="5">
        <f t="shared" si="135"/>
        <v>3920.4244462516072</v>
      </c>
    </row>
    <row r="463" spans="1:36" x14ac:dyDescent="0.25">
      <c r="A463" s="17">
        <f t="shared" si="130"/>
        <v>461</v>
      </c>
      <c r="B463" s="17">
        <f t="shared" si="126"/>
        <v>39</v>
      </c>
      <c r="C463" s="23">
        <f>IFERROR(IPMT(Assumptions!$D$16/12,Model_30y!A463, 360,Assumptions!$D$8), 0)</f>
        <v>0</v>
      </c>
      <c r="D463" s="2">
        <f>IFERROR(PPMT(Assumptions!$D$16/12, Model_30y!A463, 360, Assumptions!$D$8), 0)</f>
        <v>0</v>
      </c>
      <c r="E463" s="2">
        <f t="shared" si="120"/>
        <v>0</v>
      </c>
      <c r="F463" s="2">
        <f>IF(I462&gt;1, Assumptions!$E$18, 0)*-1</f>
        <v>0</v>
      </c>
      <c r="G463" s="24">
        <f t="shared" si="121"/>
        <v>1</v>
      </c>
      <c r="H463" s="20">
        <f t="shared" si="127"/>
        <v>339999.99999999994</v>
      </c>
      <c r="I463" s="2">
        <f>MAX(Assumptions!$D$8-SUM(Model_30y!H463), 0)</f>
        <v>5.8207660913467407E-11</v>
      </c>
      <c r="J463" s="2">
        <f>J462*(1+(Assumptions!$E$51))</f>
        <v>2769562.4943626239</v>
      </c>
      <c r="K463" s="22">
        <f t="shared" si="122"/>
        <v>2769562.4943626239</v>
      </c>
      <c r="L463" s="5">
        <f t="shared" si="128"/>
        <v>424999.99999999971</v>
      </c>
      <c r="M463" s="63">
        <f>L463/Assumptions!$D$6</f>
        <v>0.99999999999999933</v>
      </c>
      <c r="N463" s="24">
        <f t="shared" si="119"/>
        <v>0</v>
      </c>
      <c r="O463" s="5">
        <f>N463*Assumptions!$E$25*-1</f>
        <v>0</v>
      </c>
      <c r="P463" s="20">
        <f>Assumptions!$E$35*J463*-1</f>
        <v>-5704.8452774842644</v>
      </c>
      <c r="Q463" s="5">
        <f>J463*Assumptions!$E$36*-1</f>
        <v>-2297.4576491374246</v>
      </c>
      <c r="R463" s="5">
        <f>(R451+(Model_30y!R451*Assumptions!$D$51))</f>
        <v>-2074.7479961129247</v>
      </c>
      <c r="S463" s="5">
        <f>S451+(S451*Assumptions!$D$51)</f>
        <v>0</v>
      </c>
      <c r="T463" s="5">
        <f t="shared" si="131"/>
        <v>0</v>
      </c>
      <c r="U463" s="22">
        <f t="shared" si="123"/>
        <v>-10077.050922734614</v>
      </c>
      <c r="V463" s="5">
        <f>MAX(Assumptions!$E$18:$E$19)-U463</f>
        <v>12918.68393453331</v>
      </c>
      <c r="W463" s="5">
        <f t="shared" si="124"/>
        <v>0</v>
      </c>
      <c r="X463" s="5">
        <f t="shared" si="129"/>
        <v>-10077.050922734614</v>
      </c>
      <c r="Y463" s="5">
        <f>C463*Assumptions!$D$44*-1</f>
        <v>0</v>
      </c>
      <c r="Z463" s="5">
        <f t="shared" si="125"/>
        <v>2841.6330117986963</v>
      </c>
      <c r="AA463" s="5">
        <f t="shared" si="132"/>
        <v>3084608.3572105812</v>
      </c>
      <c r="AB463" s="3">
        <f>Assumptions!$E$45</f>
        <v>6.9899151946608562E-3</v>
      </c>
      <c r="AC463" s="5">
        <f t="shared" si="133"/>
        <v>3109011.1410480239</v>
      </c>
      <c r="AD463" s="5">
        <f>AC463*Assumptions!$E$43</f>
        <v>2784.3542054596037</v>
      </c>
      <c r="AE463" s="2">
        <f>AD463*Assumptions!$D$44*-1</f>
        <v>-417.65313081894055</v>
      </c>
      <c r="AF463" s="2">
        <f>AC463*Assumptions!$E$46*-1</f>
        <v>-103.61471004333431</v>
      </c>
      <c r="AG463" s="22">
        <f t="shared" si="134"/>
        <v>3108489.8732071617</v>
      </c>
      <c r="AH463" s="5">
        <f>Model_30y[[#This Row],[Mortgage Payment]]+Model_30y[[#This Row],[Total Upkeep]]+Model_30y[[#This Row],[Monthly Investment]]</f>
        <v>-7235.4179109359175</v>
      </c>
      <c r="AI463" s="5">
        <f>Model_Renter!D463*-1</f>
        <v>11123.372271657929</v>
      </c>
      <c r="AJ463" s="5">
        <f t="shared" si="135"/>
        <v>3887.9543607220112</v>
      </c>
    </row>
    <row r="464" spans="1:36" x14ac:dyDescent="0.25">
      <c r="A464" s="17">
        <f t="shared" si="130"/>
        <v>462</v>
      </c>
      <c r="B464" s="17">
        <f t="shared" si="126"/>
        <v>39</v>
      </c>
      <c r="C464" s="23">
        <f>IFERROR(IPMT(Assumptions!$D$16/12,Model_30y!A464, 360,Assumptions!$D$8), 0)</f>
        <v>0</v>
      </c>
      <c r="D464" s="2">
        <f>IFERROR(PPMT(Assumptions!$D$16/12, Model_30y!A464, 360, Assumptions!$D$8), 0)</f>
        <v>0</v>
      </c>
      <c r="E464" s="2">
        <f t="shared" si="120"/>
        <v>0</v>
      </c>
      <c r="F464" s="2">
        <f>IF(I463&gt;1, Assumptions!$E$18, 0)*-1</f>
        <v>0</v>
      </c>
      <c r="G464" s="24">
        <f t="shared" si="121"/>
        <v>1</v>
      </c>
      <c r="H464" s="20">
        <f t="shared" si="127"/>
        <v>339999.99999999994</v>
      </c>
      <c r="I464" s="2">
        <f>MAX(Assumptions!$D$8-SUM(Model_30y!H464), 0)</f>
        <v>5.8207660913467407E-11</v>
      </c>
      <c r="J464" s="2">
        <f>J463*(1+(Assumptions!$E$51))</f>
        <v>2780846.0347912069</v>
      </c>
      <c r="K464" s="22">
        <f t="shared" si="122"/>
        <v>2780846.0347912069</v>
      </c>
      <c r="L464" s="5">
        <f t="shared" si="128"/>
        <v>424999.99999999971</v>
      </c>
      <c r="M464" s="63">
        <f>L464/Assumptions!$D$6</f>
        <v>0.99999999999999933</v>
      </c>
      <c r="N464" s="24">
        <f t="shared" si="119"/>
        <v>0</v>
      </c>
      <c r="O464" s="5">
        <f>N464*Assumptions!$E$25*-1</f>
        <v>0</v>
      </c>
      <c r="P464" s="20">
        <f>Assumptions!$E$35*J464*-1</f>
        <v>-5728.0875233112965</v>
      </c>
      <c r="Q464" s="5">
        <f>J464*Assumptions!$E$36*-1</f>
        <v>-2306.8177759876999</v>
      </c>
      <c r="R464" s="5">
        <f>(R452+(Model_30y!R452*Assumptions!$D$51))</f>
        <v>-2074.7479961129247</v>
      </c>
      <c r="S464" s="5">
        <f>S452+(S452*Assumptions!$D$51)</f>
        <v>0</v>
      </c>
      <c r="T464" s="5">
        <f t="shared" si="131"/>
        <v>0</v>
      </c>
      <c r="U464" s="22">
        <f t="shared" si="123"/>
        <v>-10109.653295411921</v>
      </c>
      <c r="V464" s="5">
        <f>MAX(Assumptions!$E$18:$E$19)-U464</f>
        <v>12951.286307210617</v>
      </c>
      <c r="W464" s="5">
        <f t="shared" si="124"/>
        <v>0</v>
      </c>
      <c r="X464" s="5">
        <f t="shared" si="129"/>
        <v>-10109.653295411921</v>
      </c>
      <c r="Y464" s="5">
        <f>C464*Assumptions!$D$44*-1</f>
        <v>0</v>
      </c>
      <c r="Z464" s="5">
        <f t="shared" si="125"/>
        <v>2841.6330117986963</v>
      </c>
      <c r="AA464" s="5">
        <f t="shared" si="132"/>
        <v>3108489.8732071617</v>
      </c>
      <c r="AB464" s="3">
        <f>Assumptions!$E$45</f>
        <v>6.9899151946608562E-3</v>
      </c>
      <c r="AC464" s="5">
        <f t="shared" si="133"/>
        <v>3133059.5868161405</v>
      </c>
      <c r="AD464" s="5">
        <f>AC464*Assumptions!$E$43</f>
        <v>2805.8914042895349</v>
      </c>
      <c r="AE464" s="2">
        <f>AD464*Assumptions!$D$44*-1</f>
        <v>-420.88371064343022</v>
      </c>
      <c r="AF464" s="2">
        <f>AC464*Assumptions!$E$46*-1</f>
        <v>-104.4161779770955</v>
      </c>
      <c r="AG464" s="22">
        <f t="shared" si="134"/>
        <v>3132534.2869275198</v>
      </c>
      <c r="AH464" s="5">
        <f>Model_30y[[#This Row],[Mortgage Payment]]+Model_30y[[#This Row],[Total Upkeep]]+Model_30y[[#This Row],[Monthly Investment]]</f>
        <v>-7268.0202836132248</v>
      </c>
      <c r="AI464" s="5">
        <f>Model_Renter!D464*-1</f>
        <v>11123.372271657929</v>
      </c>
      <c r="AJ464" s="5">
        <f t="shared" si="135"/>
        <v>3855.3519880447038</v>
      </c>
    </row>
    <row r="465" spans="1:36" x14ac:dyDescent="0.25">
      <c r="A465" s="17">
        <f t="shared" si="130"/>
        <v>463</v>
      </c>
      <c r="B465" s="17">
        <f t="shared" si="126"/>
        <v>39</v>
      </c>
      <c r="C465" s="23">
        <f>IFERROR(IPMT(Assumptions!$D$16/12,Model_30y!A465, 360,Assumptions!$D$8), 0)</f>
        <v>0</v>
      </c>
      <c r="D465" s="2">
        <f>IFERROR(PPMT(Assumptions!$D$16/12, Model_30y!A465, 360, Assumptions!$D$8), 0)</f>
        <v>0</v>
      </c>
      <c r="E465" s="2">
        <f t="shared" si="120"/>
        <v>0</v>
      </c>
      <c r="F465" s="2">
        <f>IF(I464&gt;1, Assumptions!$E$18, 0)*-1</f>
        <v>0</v>
      </c>
      <c r="G465" s="24">
        <f t="shared" si="121"/>
        <v>1</v>
      </c>
      <c r="H465" s="20">
        <f t="shared" si="127"/>
        <v>339999.99999999994</v>
      </c>
      <c r="I465" s="2">
        <f>MAX(Assumptions!$D$8-SUM(Model_30y!H465), 0)</f>
        <v>5.8207660913467407E-11</v>
      </c>
      <c r="J465" s="2">
        <f>J464*(1+(Assumptions!$E$51))</f>
        <v>2792175.5457602139</v>
      </c>
      <c r="K465" s="22">
        <f t="shared" si="122"/>
        <v>2792175.5457602139</v>
      </c>
      <c r="L465" s="5">
        <f t="shared" si="128"/>
        <v>424999.99999999971</v>
      </c>
      <c r="M465" s="63">
        <f>L465/Assumptions!$D$6</f>
        <v>0.99999999999999933</v>
      </c>
      <c r="N465" s="24">
        <f t="shared" si="119"/>
        <v>0</v>
      </c>
      <c r="O465" s="5">
        <f>N465*Assumptions!$E$25*-1</f>
        <v>0</v>
      </c>
      <c r="P465" s="20">
        <f>Assumptions!$E$35*J465*-1</f>
        <v>-5751.4244609248381</v>
      </c>
      <c r="Q465" s="5">
        <f>J465*Assumptions!$E$36*-1</f>
        <v>-2316.2160371533942</v>
      </c>
      <c r="R465" s="5">
        <f>(R453+(Model_30y!R453*Assumptions!$D$51))</f>
        <v>-2074.7479961129247</v>
      </c>
      <c r="S465" s="5">
        <f>S453+(S453*Assumptions!$D$51)</f>
        <v>0</v>
      </c>
      <c r="T465" s="5">
        <f t="shared" si="131"/>
        <v>0</v>
      </c>
      <c r="U465" s="22">
        <f t="shared" si="123"/>
        <v>-10142.388494191156</v>
      </c>
      <c r="V465" s="5">
        <f>MAX(Assumptions!$E$18:$E$19)-U465</f>
        <v>12984.021505989853</v>
      </c>
      <c r="W465" s="5">
        <f t="shared" si="124"/>
        <v>0</v>
      </c>
      <c r="X465" s="5">
        <f t="shared" si="129"/>
        <v>-10142.388494191156</v>
      </c>
      <c r="Y465" s="5">
        <f>C465*Assumptions!$D$44*-1</f>
        <v>0</v>
      </c>
      <c r="Z465" s="5">
        <f t="shared" si="125"/>
        <v>2841.6330117986963</v>
      </c>
      <c r="AA465" s="5">
        <f t="shared" si="132"/>
        <v>3132534.2869275198</v>
      </c>
      <c r="AB465" s="3">
        <f>Assumptions!$E$45</f>
        <v>6.9899151946608562E-3</v>
      </c>
      <c r="AC465" s="5">
        <f t="shared" si="133"/>
        <v>3157272.0689493096</v>
      </c>
      <c r="AD465" s="5">
        <f>AC465*Assumptions!$E$43</f>
        <v>2827.5755100690271</v>
      </c>
      <c r="AE465" s="2">
        <f>AD465*Assumptions!$D$44*-1</f>
        <v>-424.13632651035408</v>
      </c>
      <c r="AF465" s="2">
        <f>AC465*Assumptions!$E$46*-1</f>
        <v>-105.22311278750342</v>
      </c>
      <c r="AG465" s="22">
        <f t="shared" si="134"/>
        <v>3156742.7095100116</v>
      </c>
      <c r="AH465" s="5">
        <f>Model_30y[[#This Row],[Mortgage Payment]]+Model_30y[[#This Row],[Total Upkeep]]+Model_30y[[#This Row],[Monthly Investment]]</f>
        <v>-7300.7554823924602</v>
      </c>
      <c r="AI465" s="5">
        <f>Model_Renter!D465*-1</f>
        <v>11123.372271657929</v>
      </c>
      <c r="AJ465" s="5">
        <f t="shared" si="135"/>
        <v>3822.6167892654685</v>
      </c>
    </row>
    <row r="466" spans="1:36" x14ac:dyDescent="0.25">
      <c r="A466" s="17">
        <f t="shared" si="130"/>
        <v>464</v>
      </c>
      <c r="B466" s="17">
        <f t="shared" si="126"/>
        <v>39</v>
      </c>
      <c r="C466" s="23">
        <f>IFERROR(IPMT(Assumptions!$D$16/12,Model_30y!A466, 360,Assumptions!$D$8), 0)</f>
        <v>0</v>
      </c>
      <c r="D466" s="2">
        <f>IFERROR(PPMT(Assumptions!$D$16/12, Model_30y!A466, 360, Assumptions!$D$8), 0)</f>
        <v>0</v>
      </c>
      <c r="E466" s="2">
        <f t="shared" si="120"/>
        <v>0</v>
      </c>
      <c r="F466" s="2">
        <f>IF(I465&gt;1, Assumptions!$E$18, 0)*-1</f>
        <v>0</v>
      </c>
      <c r="G466" s="24">
        <f t="shared" si="121"/>
        <v>1</v>
      </c>
      <c r="H466" s="20">
        <f t="shared" si="127"/>
        <v>339999.99999999994</v>
      </c>
      <c r="I466" s="2">
        <f>MAX(Assumptions!$D$8-SUM(Model_30y!H466), 0)</f>
        <v>5.8207660913467407E-11</v>
      </c>
      <c r="J466" s="2">
        <f>J465*(1+(Assumptions!$E$51))</f>
        <v>2803551.2145593171</v>
      </c>
      <c r="K466" s="22">
        <f t="shared" si="122"/>
        <v>2803551.2145593171</v>
      </c>
      <c r="L466" s="5">
        <f t="shared" si="128"/>
        <v>424999.99999999971</v>
      </c>
      <c r="M466" s="63">
        <f>L466/Assumptions!$D$6</f>
        <v>0.99999999999999933</v>
      </c>
      <c r="N466" s="24">
        <f t="shared" ref="N466:N529" si="136">IF(M466&lt;0.2, 1, 0)</f>
        <v>0</v>
      </c>
      <c r="O466" s="5">
        <f>N466*Assumptions!$E$25*-1</f>
        <v>0</v>
      </c>
      <c r="P466" s="20">
        <f>Assumptions!$E$35*J466*-1</f>
        <v>-5774.8564761109492</v>
      </c>
      <c r="Q466" s="5">
        <f>J466*Assumptions!$E$36*-1</f>
        <v>-2325.6525879984288</v>
      </c>
      <c r="R466" s="5">
        <f>(R454+(Model_30y!R454*Assumptions!$D$51))</f>
        <v>-2074.7479961129247</v>
      </c>
      <c r="S466" s="5">
        <f>S454+(S454*Assumptions!$D$51)</f>
        <v>0</v>
      </c>
      <c r="T466" s="5">
        <f t="shared" si="131"/>
        <v>0</v>
      </c>
      <c r="U466" s="22">
        <f t="shared" si="123"/>
        <v>-10175.257060222302</v>
      </c>
      <c r="V466" s="5">
        <f>MAX(Assumptions!$E$18:$E$19)-U466</f>
        <v>13016.890072020999</v>
      </c>
      <c r="W466" s="5">
        <f t="shared" si="124"/>
        <v>0</v>
      </c>
      <c r="X466" s="5">
        <f t="shared" si="129"/>
        <v>-10175.257060222302</v>
      </c>
      <c r="Y466" s="5">
        <f>C466*Assumptions!$D$44*-1</f>
        <v>0</v>
      </c>
      <c r="Z466" s="5">
        <f t="shared" si="125"/>
        <v>2841.6330117986963</v>
      </c>
      <c r="AA466" s="5">
        <f t="shared" si="132"/>
        <v>3156742.7095100116</v>
      </c>
      <c r="AB466" s="3">
        <f>Assumptions!$E$45</f>
        <v>6.9899151946608562E-3</v>
      </c>
      <c r="AC466" s="5">
        <f t="shared" si="133"/>
        <v>3181649.7063526493</v>
      </c>
      <c r="AD466" s="5">
        <f>AC466*Assumptions!$E$43</f>
        <v>2849.4075248620902</v>
      </c>
      <c r="AE466" s="2">
        <f>AD466*Assumptions!$D$44*-1</f>
        <v>-427.41112872931353</v>
      </c>
      <c r="AF466" s="2">
        <f>AC466*Assumptions!$E$46*-1</f>
        <v>-106.03555176455937</v>
      </c>
      <c r="AG466" s="22">
        <f t="shared" si="134"/>
        <v>3181116.2596721556</v>
      </c>
      <c r="AH466" s="5">
        <f>Model_30y[[#This Row],[Mortgage Payment]]+Model_30y[[#This Row],[Total Upkeep]]+Model_30y[[#This Row],[Monthly Investment]]</f>
        <v>-7333.6240484236059</v>
      </c>
      <c r="AI466" s="5">
        <f>Model_Renter!D466*-1</f>
        <v>11123.372271657929</v>
      </c>
      <c r="AJ466" s="5">
        <f t="shared" si="135"/>
        <v>3789.7482232343227</v>
      </c>
    </row>
    <row r="467" spans="1:36" x14ac:dyDescent="0.25">
      <c r="A467" s="17">
        <f t="shared" si="130"/>
        <v>465</v>
      </c>
      <c r="B467" s="17">
        <f t="shared" si="126"/>
        <v>39</v>
      </c>
      <c r="C467" s="23">
        <f>IFERROR(IPMT(Assumptions!$D$16/12,Model_30y!A467, 360,Assumptions!$D$8), 0)</f>
        <v>0</v>
      </c>
      <c r="D467" s="2">
        <f>IFERROR(PPMT(Assumptions!$D$16/12, Model_30y!A467, 360, Assumptions!$D$8), 0)</f>
        <v>0</v>
      </c>
      <c r="E467" s="2">
        <f t="shared" si="120"/>
        <v>0</v>
      </c>
      <c r="F467" s="2">
        <f>IF(I466&gt;1, Assumptions!$E$18, 0)*-1</f>
        <v>0</v>
      </c>
      <c r="G467" s="24">
        <f t="shared" si="121"/>
        <v>1</v>
      </c>
      <c r="H467" s="20">
        <f t="shared" si="127"/>
        <v>339999.99999999994</v>
      </c>
      <c r="I467" s="2">
        <f>MAX(Assumptions!$D$8-SUM(Model_30y!H467), 0)</f>
        <v>5.8207660913467407E-11</v>
      </c>
      <c r="J467" s="2">
        <f>J466*(1+(Assumptions!$E$51))</f>
        <v>2814973.2292412296</v>
      </c>
      <c r="K467" s="22">
        <f t="shared" si="122"/>
        <v>2814973.2292412296</v>
      </c>
      <c r="L467" s="5">
        <f t="shared" si="128"/>
        <v>424999.99999999971</v>
      </c>
      <c r="M467" s="63">
        <f>L467/Assumptions!$D$6</f>
        <v>0.99999999999999933</v>
      </c>
      <c r="N467" s="24">
        <f t="shared" si="136"/>
        <v>0</v>
      </c>
      <c r="O467" s="5">
        <f>N467*Assumptions!$E$25*-1</f>
        <v>0</v>
      </c>
      <c r="P467" s="20">
        <f>Assumptions!$E$35*J467*-1</f>
        <v>-5798.3839562274288</v>
      </c>
      <c r="Q467" s="5">
        <f>J467*Assumptions!$E$36*-1</f>
        <v>-2335.1275845196965</v>
      </c>
      <c r="R467" s="5">
        <f>(R455+(Model_30y!R455*Assumptions!$D$51))</f>
        <v>-2074.7479961129247</v>
      </c>
      <c r="S467" s="5">
        <f>S455+(S455*Assumptions!$D$51)</f>
        <v>0</v>
      </c>
      <c r="T467" s="5">
        <f t="shared" si="131"/>
        <v>0</v>
      </c>
      <c r="U467" s="22">
        <f t="shared" si="123"/>
        <v>-10208.259536860051</v>
      </c>
      <c r="V467" s="5">
        <f>MAX(Assumptions!$E$18:$E$19)-U467</f>
        <v>13049.892548658747</v>
      </c>
      <c r="W467" s="5">
        <f t="shared" si="124"/>
        <v>0</v>
      </c>
      <c r="X467" s="5">
        <f t="shared" si="129"/>
        <v>-10208.259536860051</v>
      </c>
      <c r="Y467" s="5">
        <f>C467*Assumptions!$D$44*-1</f>
        <v>0</v>
      </c>
      <c r="Z467" s="5">
        <f t="shared" si="125"/>
        <v>2841.6330117986963</v>
      </c>
      <c r="AA467" s="5">
        <f t="shared" si="132"/>
        <v>3181116.2596721556</v>
      </c>
      <c r="AB467" s="3">
        <f>Assumptions!$E$45</f>
        <v>6.9899151946608562E-3</v>
      </c>
      <c r="AC467" s="5">
        <f t="shared" si="133"/>
        <v>3206193.6255634194</v>
      </c>
      <c r="AD467" s="5">
        <f>AC467*Assumptions!$E$43</f>
        <v>2871.3884575678931</v>
      </c>
      <c r="AE467" s="2">
        <f>AD467*Assumptions!$D$44*-1</f>
        <v>-430.70826863518397</v>
      </c>
      <c r="AF467" s="2">
        <f>AC467*Assumptions!$E$46*-1</f>
        <v>-106.85353245262269</v>
      </c>
      <c r="AG467" s="22">
        <f t="shared" si="134"/>
        <v>3205656.0637623318</v>
      </c>
      <c r="AH467" s="5">
        <f>Model_30y[[#This Row],[Mortgage Payment]]+Model_30y[[#This Row],[Total Upkeep]]+Model_30y[[#This Row],[Monthly Investment]]</f>
        <v>-7366.6265250613542</v>
      </c>
      <c r="AI467" s="5">
        <f>Model_Renter!D467*-1</f>
        <v>11123.372271657929</v>
      </c>
      <c r="AJ467" s="5">
        <f t="shared" si="135"/>
        <v>3756.7457465965745</v>
      </c>
    </row>
    <row r="468" spans="1:36" x14ac:dyDescent="0.25">
      <c r="A468" s="17">
        <f t="shared" si="130"/>
        <v>466</v>
      </c>
      <c r="B468" s="17">
        <f t="shared" si="126"/>
        <v>39</v>
      </c>
      <c r="C468" s="23">
        <f>IFERROR(IPMT(Assumptions!$D$16/12,Model_30y!A468, 360,Assumptions!$D$8), 0)</f>
        <v>0</v>
      </c>
      <c r="D468" s="2">
        <f>IFERROR(PPMT(Assumptions!$D$16/12, Model_30y!A468, 360, Assumptions!$D$8), 0)</f>
        <v>0</v>
      </c>
      <c r="E468" s="2">
        <f t="shared" si="120"/>
        <v>0</v>
      </c>
      <c r="F468" s="2">
        <f>IF(I467&gt;1, Assumptions!$E$18, 0)*-1</f>
        <v>0</v>
      </c>
      <c r="G468" s="24">
        <f t="shared" si="121"/>
        <v>1</v>
      </c>
      <c r="H468" s="20">
        <f t="shared" si="127"/>
        <v>339999.99999999994</v>
      </c>
      <c r="I468" s="2">
        <f>MAX(Assumptions!$D$8-SUM(Model_30y!H468), 0)</f>
        <v>5.8207660913467407E-11</v>
      </c>
      <c r="J468" s="2">
        <f>J467*(1+(Assumptions!$E$51))</f>
        <v>2826441.7786248145</v>
      </c>
      <c r="K468" s="22">
        <f t="shared" si="122"/>
        <v>2826441.7786248145</v>
      </c>
      <c r="L468" s="5">
        <f t="shared" si="128"/>
        <v>424999.99999999971</v>
      </c>
      <c r="M468" s="63">
        <f>L468/Assumptions!$D$6</f>
        <v>0.99999999999999933</v>
      </c>
      <c r="N468" s="24">
        <f t="shared" si="136"/>
        <v>0</v>
      </c>
      <c r="O468" s="5">
        <f>N468*Assumptions!$E$25*-1</f>
        <v>0</v>
      </c>
      <c r="P468" s="20">
        <f>Assumptions!$E$35*J468*-1</f>
        <v>-5822.0072902102193</v>
      </c>
      <c r="Q468" s="5">
        <f>J468*Assumptions!$E$36*-1</f>
        <v>-2344.6411833496413</v>
      </c>
      <c r="R468" s="5">
        <f>(R456+(Model_30y!R456*Assumptions!$D$51))</f>
        <v>-2074.7479961129247</v>
      </c>
      <c r="S468" s="5">
        <f>S456+(S456*Assumptions!$D$51)</f>
        <v>0</v>
      </c>
      <c r="T468" s="5">
        <f t="shared" si="131"/>
        <v>0</v>
      </c>
      <c r="U468" s="22">
        <f t="shared" si="123"/>
        <v>-10241.396469672785</v>
      </c>
      <c r="V468" s="5">
        <f>MAX(Assumptions!$E$18:$E$19)-U468</f>
        <v>13083.029481471482</v>
      </c>
      <c r="W468" s="5">
        <f t="shared" si="124"/>
        <v>0</v>
      </c>
      <c r="X468" s="5">
        <f t="shared" si="129"/>
        <v>-10241.396469672785</v>
      </c>
      <c r="Y468" s="5">
        <f>C468*Assumptions!$D$44*-1</f>
        <v>0</v>
      </c>
      <c r="Z468" s="5">
        <f t="shared" si="125"/>
        <v>2841.6330117986963</v>
      </c>
      <c r="AA468" s="5">
        <f t="shared" si="132"/>
        <v>3205656.0637623318</v>
      </c>
      <c r="AB468" s="3">
        <f>Assumptions!$E$45</f>
        <v>6.9899151946608562E-3</v>
      </c>
      <c r="AC468" s="5">
        <f t="shared" si="133"/>
        <v>3230904.9608030799</v>
      </c>
      <c r="AD468" s="5">
        <f>AC468*Assumptions!$E$43</f>
        <v>2893.5193239673868</v>
      </c>
      <c r="AE468" s="2">
        <f>AD468*Assumptions!$D$44*-1</f>
        <v>-434.02789859510801</v>
      </c>
      <c r="AF468" s="2">
        <f>AC468*Assumptions!$E$46*-1</f>
        <v>-107.67709265214577</v>
      </c>
      <c r="AG468" s="22">
        <f t="shared" si="134"/>
        <v>3230363.2558118328</v>
      </c>
      <c r="AH468" s="5">
        <f>Model_30y[[#This Row],[Mortgage Payment]]+Model_30y[[#This Row],[Total Upkeep]]+Model_30y[[#This Row],[Monthly Investment]]</f>
        <v>-7399.763457874089</v>
      </c>
      <c r="AI468" s="5">
        <f>Model_Renter!D468*-1</f>
        <v>11123.372271657929</v>
      </c>
      <c r="AJ468" s="5">
        <f t="shared" si="135"/>
        <v>3723.6088137838397</v>
      </c>
    </row>
    <row r="469" spans="1:36" x14ac:dyDescent="0.25">
      <c r="A469" s="17">
        <f t="shared" si="130"/>
        <v>467</v>
      </c>
      <c r="B469" s="17">
        <f t="shared" si="126"/>
        <v>39</v>
      </c>
      <c r="C469" s="23">
        <f>IFERROR(IPMT(Assumptions!$D$16/12,Model_30y!A469, 360,Assumptions!$D$8), 0)</f>
        <v>0</v>
      </c>
      <c r="D469" s="2">
        <f>IFERROR(PPMT(Assumptions!$D$16/12, Model_30y!A469, 360, Assumptions!$D$8), 0)</f>
        <v>0</v>
      </c>
      <c r="E469" s="2">
        <f t="shared" si="120"/>
        <v>0</v>
      </c>
      <c r="F469" s="2">
        <f>IF(I468&gt;1, Assumptions!$E$18, 0)*-1</f>
        <v>0</v>
      </c>
      <c r="G469" s="24">
        <f t="shared" si="121"/>
        <v>1</v>
      </c>
      <c r="H469" s="20">
        <f t="shared" si="127"/>
        <v>339999.99999999994</v>
      </c>
      <c r="I469" s="2">
        <f>MAX(Assumptions!$D$8-SUM(Model_30y!H469), 0)</f>
        <v>5.8207660913467407E-11</v>
      </c>
      <c r="J469" s="2">
        <f>J468*(1+(Assumptions!$E$51))</f>
        <v>2837957.0522982073</v>
      </c>
      <c r="K469" s="22">
        <f t="shared" si="122"/>
        <v>2837957.0522982073</v>
      </c>
      <c r="L469" s="5">
        <f t="shared" si="128"/>
        <v>424999.99999999971</v>
      </c>
      <c r="M469" s="63">
        <f>L469/Assumptions!$D$6</f>
        <v>0.99999999999999933</v>
      </c>
      <c r="N469" s="24">
        <f t="shared" si="136"/>
        <v>0</v>
      </c>
      <c r="O469" s="5">
        <f>N469*Assumptions!$E$25*-1</f>
        <v>0</v>
      </c>
      <c r="P469" s="20">
        <f>Assumptions!$E$35*J469*-1</f>
        <v>-5845.7268685798399</v>
      </c>
      <c r="Q469" s="5">
        <f>J469*Assumptions!$E$36*-1</f>
        <v>-2354.1935417588479</v>
      </c>
      <c r="R469" s="5">
        <f>(R457+(Model_30y!R457*Assumptions!$D$51))</f>
        <v>-2074.7479961129247</v>
      </c>
      <c r="S469" s="5">
        <f>S457+(S457*Assumptions!$D$51)</f>
        <v>0</v>
      </c>
      <c r="T469" s="5">
        <f t="shared" si="131"/>
        <v>0</v>
      </c>
      <c r="U469" s="22">
        <f t="shared" si="123"/>
        <v>-10274.668406451612</v>
      </c>
      <c r="V469" s="5">
        <f>MAX(Assumptions!$E$18:$E$19)-U469</f>
        <v>13116.301418250308</v>
      </c>
      <c r="W469" s="5">
        <f t="shared" si="124"/>
        <v>0</v>
      </c>
      <c r="X469" s="5">
        <f t="shared" si="129"/>
        <v>-10274.668406451612</v>
      </c>
      <c r="Y469" s="5">
        <f>C469*Assumptions!$D$44*-1</f>
        <v>0</v>
      </c>
      <c r="Z469" s="5">
        <f t="shared" si="125"/>
        <v>2841.6330117986963</v>
      </c>
      <c r="AA469" s="5">
        <f t="shared" si="132"/>
        <v>3230363.2558118328</v>
      </c>
      <c r="AB469" s="3">
        <f>Assumptions!$E$45</f>
        <v>6.9899151946608562E-3</v>
      </c>
      <c r="AC469" s="5">
        <f t="shared" si="133"/>
        <v>3255784.8540297048</v>
      </c>
      <c r="AD469" s="5">
        <f>AC469*Assumptions!$E$43</f>
        <v>2915.8011467702431</v>
      </c>
      <c r="AE469" s="2">
        <f>AD469*Assumptions!$D$44*-1</f>
        <v>-437.37017201553647</v>
      </c>
      <c r="AF469" s="2">
        <f>AC469*Assumptions!$E$46*-1</f>
        <v>-108.50627042142095</v>
      </c>
      <c r="AG469" s="22">
        <f t="shared" si="134"/>
        <v>3255238.9775872678</v>
      </c>
      <c r="AH469" s="5">
        <f>Model_30y[[#This Row],[Mortgage Payment]]+Model_30y[[#This Row],[Total Upkeep]]+Model_30y[[#This Row],[Monthly Investment]]</f>
        <v>-7433.0353946529158</v>
      </c>
      <c r="AI469" s="5">
        <f>Model_Renter!D469*-1</f>
        <v>11123.372271657929</v>
      </c>
      <c r="AJ469" s="5">
        <f t="shared" si="135"/>
        <v>3690.3368770050129</v>
      </c>
    </row>
    <row r="470" spans="1:36" x14ac:dyDescent="0.25">
      <c r="A470" s="17">
        <f t="shared" si="130"/>
        <v>468</v>
      </c>
      <c r="B470" s="17">
        <f t="shared" si="126"/>
        <v>39</v>
      </c>
      <c r="C470" s="23">
        <f>IFERROR(IPMT(Assumptions!$D$16/12,Model_30y!A470, 360,Assumptions!$D$8), 0)</f>
        <v>0</v>
      </c>
      <c r="D470" s="2">
        <f>IFERROR(PPMT(Assumptions!$D$16/12, Model_30y!A470, 360, Assumptions!$D$8), 0)</f>
        <v>0</v>
      </c>
      <c r="E470" s="2">
        <f t="shared" si="120"/>
        <v>0</v>
      </c>
      <c r="F470" s="2">
        <f>IF(I469&gt;1, Assumptions!$E$18, 0)*-1</f>
        <v>0</v>
      </c>
      <c r="G470" s="24">
        <f t="shared" si="121"/>
        <v>1</v>
      </c>
      <c r="H470" s="20">
        <f t="shared" si="127"/>
        <v>339999.99999999994</v>
      </c>
      <c r="I470" s="2">
        <f>MAX(Assumptions!$D$8-SUM(Model_30y!H470), 0)</f>
        <v>5.8207660913467407E-11</v>
      </c>
      <c r="J470" s="2">
        <f>J469*(1+(Assumptions!$E$51))</f>
        <v>2849519.2406219481</v>
      </c>
      <c r="K470" s="22">
        <f t="shared" si="122"/>
        <v>2849519.2406219481</v>
      </c>
      <c r="L470" s="5">
        <f t="shared" si="128"/>
        <v>424999.99999999971</v>
      </c>
      <c r="M470" s="63">
        <f>L470/Assumptions!$D$6</f>
        <v>0.99999999999999933</v>
      </c>
      <c r="N470" s="24">
        <f t="shared" si="136"/>
        <v>0</v>
      </c>
      <c r="O470" s="5">
        <f>N470*Assumptions!$E$25*-1</f>
        <v>0</v>
      </c>
      <c r="P470" s="20">
        <f>Assumptions!$E$35*J470*-1</f>
        <v>-5869.5430834478329</v>
      </c>
      <c r="Q470" s="5">
        <f>J470*Assumptions!$E$36*-1</f>
        <v>-2363.784817658639</v>
      </c>
      <c r="R470" s="5">
        <f>(R458+(Model_30y!R458*Assumptions!$D$51))</f>
        <v>-2074.7479961129247</v>
      </c>
      <c r="S470" s="5">
        <f>S458+(S458*Assumptions!$D$51)</f>
        <v>0</v>
      </c>
      <c r="T470" s="5">
        <f t="shared" si="131"/>
        <v>0</v>
      </c>
      <c r="U470" s="22">
        <f t="shared" si="123"/>
        <v>-10308.075897219396</v>
      </c>
      <c r="V470" s="5">
        <f>MAX(Assumptions!$E$18:$E$19)-U470</f>
        <v>13149.708909018093</v>
      </c>
      <c r="W470" s="5">
        <f t="shared" si="124"/>
        <v>0</v>
      </c>
      <c r="X470" s="5">
        <f t="shared" si="129"/>
        <v>-10308.075897219396</v>
      </c>
      <c r="Y470" s="5">
        <f>C470*Assumptions!$D$44*-1</f>
        <v>0</v>
      </c>
      <c r="Z470" s="5">
        <f t="shared" si="125"/>
        <v>2841.6330117986963</v>
      </c>
      <c r="AA470" s="5">
        <f t="shared" si="132"/>
        <v>3255238.9775872678</v>
      </c>
      <c r="AB470" s="3">
        <f>Assumptions!$E$45</f>
        <v>6.9899151946608562E-3</v>
      </c>
      <c r="AC470" s="5">
        <f t="shared" si="133"/>
        <v>3280834.4549907562</v>
      </c>
      <c r="AD470" s="5">
        <f>AC470*Assumptions!$E$43</f>
        <v>2938.2349556621207</v>
      </c>
      <c r="AE470" s="2">
        <f>AD470*Assumptions!$D$44*-1</f>
        <v>-440.73524334931807</v>
      </c>
      <c r="AF470" s="2">
        <f>AC470*Assumptions!$E$46*-1</f>
        <v>-109.34110407833916</v>
      </c>
      <c r="AG470" s="22">
        <f t="shared" si="134"/>
        <v>3280284.3786433288</v>
      </c>
      <c r="AH470" s="5">
        <f>Model_30y[[#This Row],[Mortgage Payment]]+Model_30y[[#This Row],[Total Upkeep]]+Model_30y[[#This Row],[Monthly Investment]]</f>
        <v>-7466.4428854206999</v>
      </c>
      <c r="AI470" s="5">
        <f>Model_Renter!D470*-1</f>
        <v>11123.372271657929</v>
      </c>
      <c r="AJ470" s="5">
        <f t="shared" si="135"/>
        <v>3656.9293862372288</v>
      </c>
    </row>
    <row r="471" spans="1:36" x14ac:dyDescent="0.25">
      <c r="A471" s="17">
        <f t="shared" si="130"/>
        <v>469</v>
      </c>
      <c r="B471" s="17">
        <f t="shared" si="126"/>
        <v>40</v>
      </c>
      <c r="C471" s="23">
        <f>IFERROR(IPMT(Assumptions!$D$16/12,Model_30y!A471, 360,Assumptions!$D$8), 0)</f>
        <v>0</v>
      </c>
      <c r="D471" s="2">
        <f>IFERROR(PPMT(Assumptions!$D$16/12, Model_30y!A471, 360, Assumptions!$D$8), 0)</f>
        <v>0</v>
      </c>
      <c r="E471" s="2">
        <f t="shared" si="120"/>
        <v>0</v>
      </c>
      <c r="F471" s="2">
        <f>IF(I470&gt;1, Assumptions!$E$18, 0)*-1</f>
        <v>0</v>
      </c>
      <c r="G471" s="24">
        <f t="shared" si="121"/>
        <v>1</v>
      </c>
      <c r="H471" s="20">
        <f t="shared" si="127"/>
        <v>339999.99999999994</v>
      </c>
      <c r="I471" s="2">
        <f>MAX(Assumptions!$D$8-SUM(Model_30y!H471), 0)</f>
        <v>5.8207660913467407E-11</v>
      </c>
      <c r="J471" s="2">
        <f>J470*(1+(Assumptions!$E$51))</f>
        <v>2861128.5347321294</v>
      </c>
      <c r="K471" s="22">
        <f t="shared" si="122"/>
        <v>2861128.5347321294</v>
      </c>
      <c r="L471" s="5">
        <f t="shared" si="128"/>
        <v>424999.99999999971</v>
      </c>
      <c r="M471" s="63">
        <f>L471/Assumptions!$D$6</f>
        <v>0.99999999999999933</v>
      </c>
      <c r="N471" s="24">
        <f t="shared" si="136"/>
        <v>0</v>
      </c>
      <c r="O471" s="5">
        <f>N471*Assumptions!$E$25*-1</f>
        <v>0</v>
      </c>
      <c r="P471" s="20">
        <f>Assumptions!$E$35*J471*-1</f>
        <v>-5893.4563285232562</v>
      </c>
      <c r="Q471" s="5">
        <f>J471*Assumptions!$E$36*-1</f>
        <v>-2373.4151696036888</v>
      </c>
      <c r="R471" s="5">
        <f>(R459+(Model_30y!R459*Assumptions!$D$51))</f>
        <v>-2178.4853959185712</v>
      </c>
      <c r="S471" s="5">
        <f>S459+(S459*Assumptions!$D$51)</f>
        <v>0</v>
      </c>
      <c r="T471" s="5">
        <f t="shared" si="131"/>
        <v>0</v>
      </c>
      <c r="U471" s="22">
        <f t="shared" si="123"/>
        <v>-10445.356894045515</v>
      </c>
      <c r="V471" s="5">
        <f>MAX(Assumptions!$E$18:$E$19)-U471</f>
        <v>13286.989905844212</v>
      </c>
      <c r="W471" s="5">
        <f t="shared" si="124"/>
        <v>0</v>
      </c>
      <c r="X471" s="5">
        <f t="shared" si="129"/>
        <v>-10445.356894045515</v>
      </c>
      <c r="Y471" s="5">
        <f>C471*Assumptions!$D$44*-1</f>
        <v>0</v>
      </c>
      <c r="Z471" s="5">
        <f t="shared" si="125"/>
        <v>2841.6330117986963</v>
      </c>
      <c r="AA471" s="5">
        <f t="shared" si="132"/>
        <v>3280284.3786433288</v>
      </c>
      <c r="AB471" s="3">
        <f>Assumptions!$E$45</f>
        <v>6.9899151946608562E-3</v>
      </c>
      <c r="AC471" s="5">
        <f t="shared" si="133"/>
        <v>3306054.9212762155</v>
      </c>
      <c r="AD471" s="5">
        <f>AC471*Assumptions!$E$43</f>
        <v>2960.821787352244</v>
      </c>
      <c r="AE471" s="2">
        <f>AD471*Assumptions!$D$44*-1</f>
        <v>-444.12326810283656</v>
      </c>
      <c r="AF471" s="2">
        <f>AC471*Assumptions!$E$46*-1</f>
        <v>-110.18163220216076</v>
      </c>
      <c r="AG471" s="22">
        <f t="shared" si="134"/>
        <v>3305500.6163759106</v>
      </c>
      <c r="AH471" s="5">
        <f>Model_30y[[#This Row],[Mortgage Payment]]+Model_30y[[#This Row],[Total Upkeep]]+Model_30y[[#This Row],[Monthly Investment]]</f>
        <v>-7603.7238822468189</v>
      </c>
      <c r="AI471" s="5">
        <f>Model_Renter!D471*-1</f>
        <v>11539.386394617937</v>
      </c>
      <c r="AJ471" s="5">
        <f t="shared" si="135"/>
        <v>3935.6625123711183</v>
      </c>
    </row>
    <row r="472" spans="1:36" x14ac:dyDescent="0.25">
      <c r="A472" s="17">
        <f t="shared" si="130"/>
        <v>470</v>
      </c>
      <c r="B472" s="17">
        <f t="shared" si="126"/>
        <v>40</v>
      </c>
      <c r="C472" s="23">
        <f>IFERROR(IPMT(Assumptions!$D$16/12,Model_30y!A472, 360,Assumptions!$D$8), 0)</f>
        <v>0</v>
      </c>
      <c r="D472" s="2">
        <f>IFERROR(PPMT(Assumptions!$D$16/12, Model_30y!A472, 360, Assumptions!$D$8), 0)</f>
        <v>0</v>
      </c>
      <c r="E472" s="2">
        <f t="shared" si="120"/>
        <v>0</v>
      </c>
      <c r="F472" s="2">
        <f>IF(I471&gt;1, Assumptions!$E$18, 0)*-1</f>
        <v>0</v>
      </c>
      <c r="G472" s="24">
        <f t="shared" si="121"/>
        <v>1</v>
      </c>
      <c r="H472" s="20">
        <f t="shared" si="127"/>
        <v>339999.99999999994</v>
      </c>
      <c r="I472" s="2">
        <f>MAX(Assumptions!$D$8-SUM(Model_30y!H472), 0)</f>
        <v>5.8207660913467407E-11</v>
      </c>
      <c r="J472" s="2">
        <f>J471*(1+(Assumptions!$E$51))</f>
        <v>2872785.1265435563</v>
      </c>
      <c r="K472" s="22">
        <f t="shared" si="122"/>
        <v>2872785.1265435563</v>
      </c>
      <c r="L472" s="5">
        <f t="shared" si="128"/>
        <v>424999.99999999971</v>
      </c>
      <c r="M472" s="63">
        <f>L472/Assumptions!$D$6</f>
        <v>0.99999999999999933</v>
      </c>
      <c r="N472" s="24">
        <f t="shared" si="136"/>
        <v>0</v>
      </c>
      <c r="O472" s="5">
        <f>N472*Assumptions!$E$25*-1</f>
        <v>0</v>
      </c>
      <c r="P472" s="20">
        <f>Assumptions!$E$35*J472*-1</f>
        <v>-5917.4669991191849</v>
      </c>
      <c r="Q472" s="5">
        <f>J472*Assumptions!$E$36*-1</f>
        <v>-2383.0847567946425</v>
      </c>
      <c r="R472" s="5">
        <f>(R460+(Model_30y!R460*Assumptions!$D$51))</f>
        <v>-2178.4853959185712</v>
      </c>
      <c r="S472" s="5">
        <f>S460+(S460*Assumptions!$D$51)</f>
        <v>0</v>
      </c>
      <c r="T472" s="5">
        <f t="shared" si="131"/>
        <v>0</v>
      </c>
      <c r="U472" s="22">
        <f t="shared" si="123"/>
        <v>-10479.037151832399</v>
      </c>
      <c r="V472" s="5">
        <f>MAX(Assumptions!$E$18:$E$19)-U472</f>
        <v>13320.670163631095</v>
      </c>
      <c r="W472" s="5">
        <f t="shared" si="124"/>
        <v>0</v>
      </c>
      <c r="X472" s="5">
        <f t="shared" si="129"/>
        <v>-10479.037151832399</v>
      </c>
      <c r="Y472" s="5">
        <f>C472*Assumptions!$D$44*-1</f>
        <v>0</v>
      </c>
      <c r="Z472" s="5">
        <f t="shared" si="125"/>
        <v>2841.6330117986963</v>
      </c>
      <c r="AA472" s="5">
        <f t="shared" si="132"/>
        <v>3305500.6163759106</v>
      </c>
      <c r="AB472" s="3">
        <f>Assumptions!$E$45</f>
        <v>6.9899151946608562E-3</v>
      </c>
      <c r="AC472" s="5">
        <f t="shared" si="133"/>
        <v>3331447.418372076</v>
      </c>
      <c r="AD472" s="5">
        <f>AC472*Assumptions!$E$43</f>
        <v>2983.5626856213144</v>
      </c>
      <c r="AE472" s="2">
        <f>AD472*Assumptions!$D$44*-1</f>
        <v>-447.53440284319714</v>
      </c>
      <c r="AF472" s="2">
        <f>AC472*Assumptions!$E$46*-1</f>
        <v>-111.02789363529827</v>
      </c>
      <c r="AG472" s="22">
        <f t="shared" si="134"/>
        <v>3330888.8560755975</v>
      </c>
      <c r="AH472" s="5">
        <f>Model_30y[[#This Row],[Mortgage Payment]]+Model_30y[[#This Row],[Total Upkeep]]+Model_30y[[#This Row],[Monthly Investment]]</f>
        <v>-7637.4041400337028</v>
      </c>
      <c r="AI472" s="5">
        <f>Model_Renter!D472*-1</f>
        <v>11539.386394617937</v>
      </c>
      <c r="AJ472" s="5">
        <f t="shared" si="135"/>
        <v>3901.9822545842344</v>
      </c>
    </row>
    <row r="473" spans="1:36" x14ac:dyDescent="0.25">
      <c r="A473" s="17">
        <f t="shared" si="130"/>
        <v>471</v>
      </c>
      <c r="B473" s="17">
        <f t="shared" si="126"/>
        <v>40</v>
      </c>
      <c r="C473" s="23">
        <f>IFERROR(IPMT(Assumptions!$D$16/12,Model_30y!A473, 360,Assumptions!$D$8), 0)</f>
        <v>0</v>
      </c>
      <c r="D473" s="2">
        <f>IFERROR(PPMT(Assumptions!$D$16/12, Model_30y!A473, 360, Assumptions!$D$8), 0)</f>
        <v>0</v>
      </c>
      <c r="E473" s="2">
        <f t="shared" si="120"/>
        <v>0</v>
      </c>
      <c r="F473" s="2">
        <f>IF(I472&gt;1, Assumptions!$E$18, 0)*-1</f>
        <v>0</v>
      </c>
      <c r="G473" s="24">
        <f t="shared" si="121"/>
        <v>1</v>
      </c>
      <c r="H473" s="20">
        <f t="shared" si="127"/>
        <v>339999.99999999994</v>
      </c>
      <c r="I473" s="2">
        <f>MAX(Assumptions!$D$8-SUM(Model_30y!H473), 0)</f>
        <v>5.8207660913467407E-11</v>
      </c>
      <c r="J473" s="2">
        <f>J472*(1+(Assumptions!$E$51))</f>
        <v>2884489.2087529185</v>
      </c>
      <c r="K473" s="22">
        <f t="shared" si="122"/>
        <v>2884489.2087529185</v>
      </c>
      <c r="L473" s="5">
        <f t="shared" si="128"/>
        <v>424999.99999999971</v>
      </c>
      <c r="M473" s="63">
        <f>L473/Assumptions!$D$6</f>
        <v>0.99999999999999933</v>
      </c>
      <c r="N473" s="24">
        <f t="shared" si="136"/>
        <v>0</v>
      </c>
      <c r="O473" s="5">
        <f>N473*Assumptions!$E$25*-1</f>
        <v>0</v>
      </c>
      <c r="P473" s="20">
        <f>Assumptions!$E$35*J473*-1</f>
        <v>-5941.5754921592506</v>
      </c>
      <c r="Q473" s="5">
        <f>J473*Assumptions!$E$36*-1</f>
        <v>-2392.7937390807497</v>
      </c>
      <c r="R473" s="5">
        <f>(R461+(Model_30y!R461*Assumptions!$D$51))</f>
        <v>-2178.4853959185712</v>
      </c>
      <c r="S473" s="5">
        <f>S461+(S461*Assumptions!$D$51)</f>
        <v>0</v>
      </c>
      <c r="T473" s="5">
        <f t="shared" si="131"/>
        <v>0</v>
      </c>
      <c r="U473" s="22">
        <f t="shared" si="123"/>
        <v>-10512.854627158571</v>
      </c>
      <c r="V473" s="5">
        <f>MAX(Assumptions!$E$18:$E$19)-U473</f>
        <v>13354.487638957267</v>
      </c>
      <c r="W473" s="5">
        <f t="shared" si="124"/>
        <v>0</v>
      </c>
      <c r="X473" s="5">
        <f t="shared" si="129"/>
        <v>-10512.854627158571</v>
      </c>
      <c r="Y473" s="5">
        <f>C473*Assumptions!$D$44*-1</f>
        <v>0</v>
      </c>
      <c r="Z473" s="5">
        <f t="shared" si="125"/>
        <v>2841.6330117986963</v>
      </c>
      <c r="AA473" s="5">
        <f t="shared" si="132"/>
        <v>3330888.8560755975</v>
      </c>
      <c r="AB473" s="3">
        <f>Assumptions!$E$45</f>
        <v>6.9899151946608562E-3</v>
      </c>
      <c r="AC473" s="5">
        <f t="shared" si="133"/>
        <v>3357013.1197142056</v>
      </c>
      <c r="AD473" s="5">
        <f>AC473*Assumptions!$E$43</f>
        <v>3006.4587013697455</v>
      </c>
      <c r="AE473" s="2">
        <f>AD473*Assumptions!$D$44*-1</f>
        <v>-450.96880520546182</v>
      </c>
      <c r="AF473" s="2">
        <f>AC473*Assumptions!$E$46*-1</f>
        <v>-111.87992748511147</v>
      </c>
      <c r="AG473" s="22">
        <f t="shared" si="134"/>
        <v>3356450.2709815148</v>
      </c>
      <c r="AH473" s="5">
        <f>Model_30y[[#This Row],[Mortgage Payment]]+Model_30y[[#This Row],[Total Upkeep]]+Model_30y[[#This Row],[Monthly Investment]]</f>
        <v>-7671.2216153598747</v>
      </c>
      <c r="AI473" s="5">
        <f>Model_Renter!D473*-1</f>
        <v>11539.386394617937</v>
      </c>
      <c r="AJ473" s="5">
        <f t="shared" si="135"/>
        <v>3868.1647792580625</v>
      </c>
    </row>
    <row r="474" spans="1:36" x14ac:dyDescent="0.25">
      <c r="A474" s="17">
        <f t="shared" si="130"/>
        <v>472</v>
      </c>
      <c r="B474" s="17">
        <f t="shared" si="126"/>
        <v>40</v>
      </c>
      <c r="C474" s="23">
        <f>IFERROR(IPMT(Assumptions!$D$16/12,Model_30y!A474, 360,Assumptions!$D$8), 0)</f>
        <v>0</v>
      </c>
      <c r="D474" s="2">
        <f>IFERROR(PPMT(Assumptions!$D$16/12, Model_30y!A474, 360, Assumptions!$D$8), 0)</f>
        <v>0</v>
      </c>
      <c r="E474" s="2">
        <f t="shared" si="120"/>
        <v>0</v>
      </c>
      <c r="F474" s="2">
        <f>IF(I473&gt;1, Assumptions!$E$18, 0)*-1</f>
        <v>0</v>
      </c>
      <c r="G474" s="24">
        <f t="shared" si="121"/>
        <v>1</v>
      </c>
      <c r="H474" s="20">
        <f t="shared" si="127"/>
        <v>339999.99999999994</v>
      </c>
      <c r="I474" s="2">
        <f>MAX(Assumptions!$D$8-SUM(Model_30y!H474), 0)</f>
        <v>5.8207660913467407E-11</v>
      </c>
      <c r="J474" s="2">
        <f>J473*(1+(Assumptions!$E$51))</f>
        <v>2896240.9748419756</v>
      </c>
      <c r="K474" s="22">
        <f t="shared" si="122"/>
        <v>2896240.9748419756</v>
      </c>
      <c r="L474" s="5">
        <f t="shared" si="128"/>
        <v>424999.99999999971</v>
      </c>
      <c r="M474" s="63">
        <f>L474/Assumptions!$D$6</f>
        <v>0.99999999999999933</v>
      </c>
      <c r="N474" s="24">
        <f t="shared" si="136"/>
        <v>0</v>
      </c>
      <c r="O474" s="5">
        <f>N474*Assumptions!$E$25*-1</f>
        <v>0</v>
      </c>
      <c r="P474" s="20">
        <f>Assumptions!$E$35*J474*-1</f>
        <v>-5965.782206184198</v>
      </c>
      <c r="Q474" s="5">
        <f>J474*Assumptions!$E$36*-1</f>
        <v>-2402.5422769625029</v>
      </c>
      <c r="R474" s="5">
        <f>(R462+(Model_30y!R462*Assumptions!$D$51))</f>
        <v>-2178.4853959185712</v>
      </c>
      <c r="S474" s="5">
        <f>S462+(S462*Assumptions!$D$51)</f>
        <v>0</v>
      </c>
      <c r="T474" s="5">
        <f t="shared" si="131"/>
        <v>0</v>
      </c>
      <c r="U474" s="22">
        <f t="shared" si="123"/>
        <v>-10546.809879065273</v>
      </c>
      <c r="V474" s="5">
        <f>MAX(Assumptions!$E$18:$E$19)-U474</f>
        <v>13388.442890863969</v>
      </c>
      <c r="W474" s="5">
        <f t="shared" si="124"/>
        <v>0</v>
      </c>
      <c r="X474" s="5">
        <f t="shared" si="129"/>
        <v>-10546.809879065273</v>
      </c>
      <c r="Y474" s="5">
        <f>C474*Assumptions!$D$44*-1</f>
        <v>0</v>
      </c>
      <c r="Z474" s="5">
        <f t="shared" si="125"/>
        <v>2841.6330117986963</v>
      </c>
      <c r="AA474" s="5">
        <f t="shared" si="132"/>
        <v>3356450.2709815148</v>
      </c>
      <c r="AB474" s="3">
        <f>Assumptions!$E$45</f>
        <v>6.9899151946608562E-3</v>
      </c>
      <c r="AC474" s="5">
        <f t="shared" si="133"/>
        <v>3382753.2067425707</v>
      </c>
      <c r="AD474" s="5">
        <f>AC474*Assumptions!$E$43</f>
        <v>3029.5108926662247</v>
      </c>
      <c r="AE474" s="2">
        <f>AD474*Assumptions!$D$44*-1</f>
        <v>-454.42663389993368</v>
      </c>
      <c r="AF474" s="2">
        <f>AC474*Assumptions!$E$46*-1</f>
        <v>-112.73777312571447</v>
      </c>
      <c r="AG474" s="22">
        <f t="shared" si="134"/>
        <v>3382186.0423355452</v>
      </c>
      <c r="AH474" s="5">
        <f>Model_30y[[#This Row],[Mortgage Payment]]+Model_30y[[#This Row],[Total Upkeep]]+Model_30y[[#This Row],[Monthly Investment]]</f>
        <v>-7705.1768672665767</v>
      </c>
      <c r="AI474" s="5">
        <f>Model_Renter!D474*-1</f>
        <v>11539.386394617937</v>
      </c>
      <c r="AJ474" s="5">
        <f t="shared" si="135"/>
        <v>3834.2095273513605</v>
      </c>
    </row>
    <row r="475" spans="1:36" x14ac:dyDescent="0.25">
      <c r="A475" s="17">
        <f t="shared" si="130"/>
        <v>473</v>
      </c>
      <c r="B475" s="17">
        <f t="shared" si="126"/>
        <v>40</v>
      </c>
      <c r="C475" s="23">
        <f>IFERROR(IPMT(Assumptions!$D$16/12,Model_30y!A475, 360,Assumptions!$D$8), 0)</f>
        <v>0</v>
      </c>
      <c r="D475" s="2">
        <f>IFERROR(PPMT(Assumptions!$D$16/12, Model_30y!A475, 360, Assumptions!$D$8), 0)</f>
        <v>0</v>
      </c>
      <c r="E475" s="2">
        <f t="shared" si="120"/>
        <v>0</v>
      </c>
      <c r="F475" s="2">
        <f>IF(I474&gt;1, Assumptions!$E$18, 0)*-1</f>
        <v>0</v>
      </c>
      <c r="G475" s="24">
        <f t="shared" si="121"/>
        <v>1</v>
      </c>
      <c r="H475" s="20">
        <f t="shared" si="127"/>
        <v>339999.99999999994</v>
      </c>
      <c r="I475" s="2">
        <f>MAX(Assumptions!$D$8-SUM(Model_30y!H475), 0)</f>
        <v>5.8207660913467407E-11</v>
      </c>
      <c r="J475" s="2">
        <f>J474*(1+(Assumptions!$E$51))</f>
        <v>2908040.6190807563</v>
      </c>
      <c r="K475" s="22">
        <f t="shared" si="122"/>
        <v>2908040.6190807563</v>
      </c>
      <c r="L475" s="5">
        <f t="shared" si="128"/>
        <v>424999.99999999971</v>
      </c>
      <c r="M475" s="63">
        <f>L475/Assumptions!$D$6</f>
        <v>0.99999999999999933</v>
      </c>
      <c r="N475" s="24">
        <f t="shared" si="136"/>
        <v>0</v>
      </c>
      <c r="O475" s="5">
        <f>N475*Assumptions!$E$25*-1</f>
        <v>0</v>
      </c>
      <c r="P475" s="20">
        <f>Assumptions!$E$35*J475*-1</f>
        <v>-5990.0875413584799</v>
      </c>
      <c r="Q475" s="5">
        <f>J475*Assumptions!$E$36*-1</f>
        <v>-2412.3305315942966</v>
      </c>
      <c r="R475" s="5">
        <f>(R463+(Model_30y!R463*Assumptions!$D$51))</f>
        <v>-2178.4853959185712</v>
      </c>
      <c r="S475" s="5">
        <f>S463+(S463*Assumptions!$D$51)</f>
        <v>0</v>
      </c>
      <c r="T475" s="5">
        <f t="shared" si="131"/>
        <v>0</v>
      </c>
      <c r="U475" s="22">
        <f t="shared" si="123"/>
        <v>-10580.903468871347</v>
      </c>
      <c r="V475" s="5">
        <f>MAX(Assumptions!$E$18:$E$19)-U475</f>
        <v>13422.536480670044</v>
      </c>
      <c r="W475" s="5">
        <f t="shared" si="124"/>
        <v>0</v>
      </c>
      <c r="X475" s="5">
        <f t="shared" si="129"/>
        <v>-10580.903468871347</v>
      </c>
      <c r="Y475" s="5">
        <f>C475*Assumptions!$D$44*-1</f>
        <v>0</v>
      </c>
      <c r="Z475" s="5">
        <f t="shared" si="125"/>
        <v>2841.6330117986963</v>
      </c>
      <c r="AA475" s="5">
        <f t="shared" si="132"/>
        <v>3382186.0423355452</v>
      </c>
      <c r="AB475" s="3">
        <f>Assumptions!$E$45</f>
        <v>6.9899151946608562E-3</v>
      </c>
      <c r="AC475" s="5">
        <f t="shared" si="133"/>
        <v>3408668.8689558352</v>
      </c>
      <c r="AD475" s="5">
        <f>AC475*Assumptions!$E$43</f>
        <v>3052.7203247966127</v>
      </c>
      <c r="AE475" s="2">
        <f>AD475*Assumptions!$D$44*-1</f>
        <v>-457.90804871949189</v>
      </c>
      <c r="AF475" s="2">
        <f>AC475*Assumptions!$E$46*-1</f>
        <v>-113.60147019979547</v>
      </c>
      <c r="AG475" s="22">
        <f t="shared" si="134"/>
        <v>3408097.3594369157</v>
      </c>
      <c r="AH475" s="5">
        <f>Model_30y[[#This Row],[Mortgage Payment]]+Model_30y[[#This Row],[Total Upkeep]]+Model_30y[[#This Row],[Monthly Investment]]</f>
        <v>-7739.270457072651</v>
      </c>
      <c r="AI475" s="5">
        <f>Model_Renter!D475*-1</f>
        <v>11539.386394617937</v>
      </c>
      <c r="AJ475" s="5">
        <f t="shared" si="135"/>
        <v>3800.1159375452862</v>
      </c>
    </row>
    <row r="476" spans="1:36" x14ac:dyDescent="0.25">
      <c r="A476" s="17">
        <f t="shared" si="130"/>
        <v>474</v>
      </c>
      <c r="B476" s="17">
        <f t="shared" si="126"/>
        <v>40</v>
      </c>
      <c r="C476" s="23">
        <f>IFERROR(IPMT(Assumptions!$D$16/12,Model_30y!A476, 360,Assumptions!$D$8), 0)</f>
        <v>0</v>
      </c>
      <c r="D476" s="2">
        <f>IFERROR(PPMT(Assumptions!$D$16/12, Model_30y!A476, 360, Assumptions!$D$8), 0)</f>
        <v>0</v>
      </c>
      <c r="E476" s="2">
        <f t="shared" si="120"/>
        <v>0</v>
      </c>
      <c r="F476" s="2">
        <f>IF(I475&gt;1, Assumptions!$E$18, 0)*-1</f>
        <v>0</v>
      </c>
      <c r="G476" s="24">
        <f t="shared" si="121"/>
        <v>1</v>
      </c>
      <c r="H476" s="20">
        <f t="shared" si="127"/>
        <v>339999.99999999994</v>
      </c>
      <c r="I476" s="2">
        <f>MAX(Assumptions!$D$8-SUM(Model_30y!H476), 0)</f>
        <v>5.8207660913467407E-11</v>
      </c>
      <c r="J476" s="2">
        <f>J475*(1+(Assumptions!$E$51))</f>
        <v>2919888.3365307688</v>
      </c>
      <c r="K476" s="22">
        <f t="shared" si="122"/>
        <v>2919888.3365307688</v>
      </c>
      <c r="L476" s="5">
        <f t="shared" si="128"/>
        <v>424999.99999999971</v>
      </c>
      <c r="M476" s="63">
        <f>L476/Assumptions!$D$6</f>
        <v>0.99999999999999933</v>
      </c>
      <c r="N476" s="24">
        <f t="shared" si="136"/>
        <v>0</v>
      </c>
      <c r="O476" s="5">
        <f>N476*Assumptions!$E$25*-1</f>
        <v>0</v>
      </c>
      <c r="P476" s="20">
        <f>Assumptions!$E$35*J476*-1</f>
        <v>-6014.4918994768641</v>
      </c>
      <c r="Q476" s="5">
        <f>J476*Assumptions!$E$36*-1</f>
        <v>-2422.1586647870863</v>
      </c>
      <c r="R476" s="5">
        <f>(R464+(Model_30y!R464*Assumptions!$D$51))</f>
        <v>-2178.4853959185712</v>
      </c>
      <c r="S476" s="5">
        <f>S464+(S464*Assumptions!$D$51)</f>
        <v>0</v>
      </c>
      <c r="T476" s="5">
        <f t="shared" si="131"/>
        <v>0</v>
      </c>
      <c r="U476" s="22">
        <f t="shared" si="123"/>
        <v>-10615.135960182521</v>
      </c>
      <c r="V476" s="5">
        <f>MAX(Assumptions!$E$18:$E$19)-U476</f>
        <v>13456.768971981217</v>
      </c>
      <c r="W476" s="5">
        <f t="shared" si="124"/>
        <v>0</v>
      </c>
      <c r="X476" s="5">
        <f t="shared" si="129"/>
        <v>-10615.135960182521</v>
      </c>
      <c r="Y476" s="5">
        <f>C476*Assumptions!$D$44*-1</f>
        <v>0</v>
      </c>
      <c r="Z476" s="5">
        <f t="shared" si="125"/>
        <v>2841.6330117986963</v>
      </c>
      <c r="AA476" s="5">
        <f t="shared" si="132"/>
        <v>3408097.3594369157</v>
      </c>
      <c r="AB476" s="3">
        <f>Assumptions!$E$45</f>
        <v>6.9899151946608562E-3</v>
      </c>
      <c r="AC476" s="5">
        <f t="shared" si="133"/>
        <v>3434761.3039663262</v>
      </c>
      <c r="AD476" s="5">
        <f>AC476*Assumptions!$E$43</f>
        <v>3076.0880703131666</v>
      </c>
      <c r="AE476" s="2">
        <f>AD476*Assumptions!$D$44*-1</f>
        <v>-461.41321054697494</v>
      </c>
      <c r="AF476" s="2">
        <f>AC476*Assumptions!$E$46*-1</f>
        <v>-114.47105862044847</v>
      </c>
      <c r="AG476" s="22">
        <f t="shared" si="134"/>
        <v>3434185.419697159</v>
      </c>
      <c r="AH476" s="5">
        <f>Model_30y[[#This Row],[Mortgage Payment]]+Model_30y[[#This Row],[Total Upkeep]]+Model_30y[[#This Row],[Monthly Investment]]</f>
        <v>-7773.5029483838243</v>
      </c>
      <c r="AI476" s="5">
        <f>Model_Renter!D476*-1</f>
        <v>11539.386394617937</v>
      </c>
      <c r="AJ476" s="5">
        <f t="shared" si="135"/>
        <v>3765.8834462341129</v>
      </c>
    </row>
    <row r="477" spans="1:36" x14ac:dyDescent="0.25">
      <c r="A477" s="17">
        <f t="shared" si="130"/>
        <v>475</v>
      </c>
      <c r="B477" s="17">
        <f t="shared" si="126"/>
        <v>40</v>
      </c>
      <c r="C477" s="23">
        <f>IFERROR(IPMT(Assumptions!$D$16/12,Model_30y!A477, 360,Assumptions!$D$8), 0)</f>
        <v>0</v>
      </c>
      <c r="D477" s="2">
        <f>IFERROR(PPMT(Assumptions!$D$16/12, Model_30y!A477, 360, Assumptions!$D$8), 0)</f>
        <v>0</v>
      </c>
      <c r="E477" s="2">
        <f t="shared" si="120"/>
        <v>0</v>
      </c>
      <c r="F477" s="2">
        <f>IF(I476&gt;1, Assumptions!$E$18, 0)*-1</f>
        <v>0</v>
      </c>
      <c r="G477" s="24">
        <f t="shared" si="121"/>
        <v>1</v>
      </c>
      <c r="H477" s="20">
        <f t="shared" si="127"/>
        <v>339999.99999999994</v>
      </c>
      <c r="I477" s="2">
        <f>MAX(Assumptions!$D$8-SUM(Model_30y!H477), 0)</f>
        <v>5.8207660913467407E-11</v>
      </c>
      <c r="J477" s="2">
        <f>J476*(1+(Assumptions!$E$51))</f>
        <v>2931784.3230482261</v>
      </c>
      <c r="K477" s="22">
        <f t="shared" si="122"/>
        <v>2931784.3230482261</v>
      </c>
      <c r="L477" s="5">
        <f t="shared" si="128"/>
        <v>424999.99999999971</v>
      </c>
      <c r="M477" s="63">
        <f>L477/Assumptions!$D$6</f>
        <v>0.99999999999999933</v>
      </c>
      <c r="N477" s="24">
        <f t="shared" si="136"/>
        <v>0</v>
      </c>
      <c r="O477" s="5">
        <f>N477*Assumptions!$E$25*-1</f>
        <v>0</v>
      </c>
      <c r="P477" s="20">
        <f>Assumptions!$E$35*J477*-1</f>
        <v>-6038.9956839710831</v>
      </c>
      <c r="Q477" s="5">
        <f>J477*Assumptions!$E$36*-1</f>
        <v>-2432.026839011065</v>
      </c>
      <c r="R477" s="5">
        <f>(R465+(Model_30y!R465*Assumptions!$D$51))</f>
        <v>-2178.4853959185712</v>
      </c>
      <c r="S477" s="5">
        <f>S465+(S465*Assumptions!$D$51)</f>
        <v>0</v>
      </c>
      <c r="T477" s="5">
        <f t="shared" si="131"/>
        <v>0</v>
      </c>
      <c r="U477" s="22">
        <f t="shared" si="123"/>
        <v>-10649.507918900719</v>
      </c>
      <c r="V477" s="5">
        <f>MAX(Assumptions!$E$18:$E$19)-U477</f>
        <v>13491.140930699416</v>
      </c>
      <c r="W477" s="5">
        <f t="shared" si="124"/>
        <v>0</v>
      </c>
      <c r="X477" s="5">
        <f t="shared" si="129"/>
        <v>-10649.507918900719</v>
      </c>
      <c r="Y477" s="5">
        <f>C477*Assumptions!$D$44*-1</f>
        <v>0</v>
      </c>
      <c r="Z477" s="5">
        <f t="shared" si="125"/>
        <v>2841.6330117986963</v>
      </c>
      <c r="AA477" s="5">
        <f t="shared" si="132"/>
        <v>3434185.419697159</v>
      </c>
      <c r="AB477" s="3">
        <f>Assumptions!$E$45</f>
        <v>6.9899151946608562E-3</v>
      </c>
      <c r="AC477" s="5">
        <f t="shared" si="133"/>
        <v>3461031.7175553818</v>
      </c>
      <c r="AD477" s="5">
        <f>AC477*Assumptions!$E$43</f>
        <v>3099.6152090841115</v>
      </c>
      <c r="AE477" s="2">
        <f>AD477*Assumptions!$D$44*-1</f>
        <v>-464.94228136261671</v>
      </c>
      <c r="AF477" s="2">
        <f>AC477*Assumptions!$E$46*-1</f>
        <v>-115.34657857301799</v>
      </c>
      <c r="AG477" s="22">
        <f t="shared" si="134"/>
        <v>3460451.4286954463</v>
      </c>
      <c r="AH477" s="5">
        <f>Model_30y[[#This Row],[Mortgage Payment]]+Model_30y[[#This Row],[Total Upkeep]]+Model_30y[[#This Row],[Monthly Investment]]</f>
        <v>-7807.8749071020229</v>
      </c>
      <c r="AI477" s="5">
        <f>Model_Renter!D477*-1</f>
        <v>11539.386394617937</v>
      </c>
      <c r="AJ477" s="5">
        <f t="shared" si="135"/>
        <v>3731.5114875159143</v>
      </c>
    </row>
    <row r="478" spans="1:36" x14ac:dyDescent="0.25">
      <c r="A478" s="17">
        <f t="shared" si="130"/>
        <v>476</v>
      </c>
      <c r="B478" s="17">
        <f t="shared" si="126"/>
        <v>40</v>
      </c>
      <c r="C478" s="23">
        <f>IFERROR(IPMT(Assumptions!$D$16/12,Model_30y!A478, 360,Assumptions!$D$8), 0)</f>
        <v>0</v>
      </c>
      <c r="D478" s="2">
        <f>IFERROR(PPMT(Assumptions!$D$16/12, Model_30y!A478, 360, Assumptions!$D$8), 0)</f>
        <v>0</v>
      </c>
      <c r="E478" s="2">
        <f t="shared" si="120"/>
        <v>0</v>
      </c>
      <c r="F478" s="2">
        <f>IF(I477&gt;1, Assumptions!$E$18, 0)*-1</f>
        <v>0</v>
      </c>
      <c r="G478" s="24">
        <f t="shared" si="121"/>
        <v>1</v>
      </c>
      <c r="H478" s="20">
        <f t="shared" si="127"/>
        <v>339999.99999999994</v>
      </c>
      <c r="I478" s="2">
        <f>MAX(Assumptions!$D$8-SUM(Model_30y!H478), 0)</f>
        <v>5.8207660913467407E-11</v>
      </c>
      <c r="J478" s="2">
        <f>J477*(1+(Assumptions!$E$51))</f>
        <v>2943728.7752872841</v>
      </c>
      <c r="K478" s="22">
        <f t="shared" si="122"/>
        <v>2943728.7752872841</v>
      </c>
      <c r="L478" s="5">
        <f t="shared" si="128"/>
        <v>424999.99999999971</v>
      </c>
      <c r="M478" s="63">
        <f>L478/Assumptions!$D$6</f>
        <v>0.99999999999999933</v>
      </c>
      <c r="N478" s="24">
        <f t="shared" si="136"/>
        <v>0</v>
      </c>
      <c r="O478" s="5">
        <f>N478*Assumptions!$E$25*-1</f>
        <v>0</v>
      </c>
      <c r="P478" s="20">
        <f>Assumptions!$E$35*J478*-1</f>
        <v>-6063.5992999164991</v>
      </c>
      <c r="Q478" s="5">
        <f>J478*Assumptions!$E$36*-1</f>
        <v>-2441.9352173983511</v>
      </c>
      <c r="R478" s="5">
        <f>(R466+(Model_30y!R466*Assumptions!$D$51))</f>
        <v>-2178.4853959185712</v>
      </c>
      <c r="S478" s="5">
        <f>S466+(S466*Assumptions!$D$51)</f>
        <v>0</v>
      </c>
      <c r="T478" s="5">
        <f t="shared" si="131"/>
        <v>0</v>
      </c>
      <c r="U478" s="22">
        <f t="shared" si="123"/>
        <v>-10684.019913233422</v>
      </c>
      <c r="V478" s="5">
        <f>MAX(Assumptions!$E$18:$E$19)-U478</f>
        <v>13525.652925032118</v>
      </c>
      <c r="W478" s="5">
        <f t="shared" si="124"/>
        <v>0</v>
      </c>
      <c r="X478" s="5">
        <f t="shared" si="129"/>
        <v>-10684.019913233422</v>
      </c>
      <c r="Y478" s="5">
        <f>C478*Assumptions!$D$44*-1</f>
        <v>0</v>
      </c>
      <c r="Z478" s="5">
        <f t="shared" si="125"/>
        <v>2841.6330117986963</v>
      </c>
      <c r="AA478" s="5">
        <f t="shared" si="132"/>
        <v>3460451.4286954463</v>
      </c>
      <c r="AB478" s="3">
        <f>Assumptions!$E$45</f>
        <v>6.9899151946608562E-3</v>
      </c>
      <c r="AC478" s="5">
        <f t="shared" si="133"/>
        <v>3487481.3237290694</v>
      </c>
      <c r="AD478" s="5">
        <f>AC478*Assumptions!$E$43</f>
        <v>3123.3028283435369</v>
      </c>
      <c r="AE478" s="2">
        <f>AD478*Assumptions!$D$44*-1</f>
        <v>-468.49542425153049</v>
      </c>
      <c r="AF478" s="2">
        <f>AC478*Assumptions!$E$46*-1</f>
        <v>-116.22807051695591</v>
      </c>
      <c r="AG478" s="22">
        <f t="shared" si="134"/>
        <v>3486896.6002343008</v>
      </c>
      <c r="AH478" s="5">
        <f>Model_30y[[#This Row],[Mortgage Payment]]+Model_30y[[#This Row],[Total Upkeep]]+Model_30y[[#This Row],[Monthly Investment]]</f>
        <v>-7842.3869014347256</v>
      </c>
      <c r="AI478" s="5">
        <f>Model_Renter!D478*-1</f>
        <v>11539.386394617937</v>
      </c>
      <c r="AJ478" s="5">
        <f t="shared" si="135"/>
        <v>3696.9994931832116</v>
      </c>
    </row>
    <row r="479" spans="1:36" x14ac:dyDescent="0.25">
      <c r="A479" s="17">
        <f t="shared" si="130"/>
        <v>477</v>
      </c>
      <c r="B479" s="17">
        <f t="shared" si="126"/>
        <v>40</v>
      </c>
      <c r="C479" s="23">
        <f>IFERROR(IPMT(Assumptions!$D$16/12,Model_30y!A479, 360,Assumptions!$D$8), 0)</f>
        <v>0</v>
      </c>
      <c r="D479" s="2">
        <f>IFERROR(PPMT(Assumptions!$D$16/12, Model_30y!A479, 360, Assumptions!$D$8), 0)</f>
        <v>0</v>
      </c>
      <c r="E479" s="2">
        <f t="shared" si="120"/>
        <v>0</v>
      </c>
      <c r="F479" s="2">
        <f>IF(I478&gt;1, Assumptions!$E$18, 0)*-1</f>
        <v>0</v>
      </c>
      <c r="G479" s="24">
        <f t="shared" si="121"/>
        <v>1</v>
      </c>
      <c r="H479" s="20">
        <f t="shared" si="127"/>
        <v>339999.99999999994</v>
      </c>
      <c r="I479" s="2">
        <f>MAX(Assumptions!$D$8-SUM(Model_30y!H479), 0)</f>
        <v>5.8207660913467407E-11</v>
      </c>
      <c r="J479" s="2">
        <f>J478*(1+(Assumptions!$E$51))</f>
        <v>2955721.8907032921</v>
      </c>
      <c r="K479" s="22">
        <f t="shared" si="122"/>
        <v>2955721.8907032921</v>
      </c>
      <c r="L479" s="5">
        <f t="shared" si="128"/>
        <v>424999.99999999971</v>
      </c>
      <c r="M479" s="63">
        <f>L479/Assumptions!$D$6</f>
        <v>0.99999999999999933</v>
      </c>
      <c r="N479" s="24">
        <f t="shared" si="136"/>
        <v>0</v>
      </c>
      <c r="O479" s="5">
        <f>N479*Assumptions!$E$25*-1</f>
        <v>0</v>
      </c>
      <c r="P479" s="20">
        <f>Assumptions!$E$35*J479*-1</f>
        <v>-6088.3031540388029</v>
      </c>
      <c r="Q479" s="5">
        <f>J479*Assumptions!$E$36*-1</f>
        <v>-2451.8839637456822</v>
      </c>
      <c r="R479" s="5">
        <f>(R467+(Model_30y!R467*Assumptions!$D$51))</f>
        <v>-2178.4853959185712</v>
      </c>
      <c r="S479" s="5">
        <f>S467+(S467*Assumptions!$D$51)</f>
        <v>0</v>
      </c>
      <c r="T479" s="5">
        <f t="shared" si="131"/>
        <v>0</v>
      </c>
      <c r="U479" s="22">
        <f t="shared" si="123"/>
        <v>-10718.672513703055</v>
      </c>
      <c r="V479" s="5">
        <f>MAX(Assumptions!$E$18:$E$19)-U479</f>
        <v>13560.305525501752</v>
      </c>
      <c r="W479" s="5">
        <f t="shared" si="124"/>
        <v>0</v>
      </c>
      <c r="X479" s="5">
        <f t="shared" si="129"/>
        <v>-10718.672513703055</v>
      </c>
      <c r="Y479" s="5">
        <f>C479*Assumptions!$D$44*-1</f>
        <v>0</v>
      </c>
      <c r="Z479" s="5">
        <f t="shared" si="125"/>
        <v>2841.6330117986963</v>
      </c>
      <c r="AA479" s="5">
        <f t="shared" si="132"/>
        <v>3486896.6002343008</v>
      </c>
      <c r="AB479" s="3">
        <f>Assumptions!$E$45</f>
        <v>6.9899151946608562E-3</v>
      </c>
      <c r="AC479" s="5">
        <f t="shared" si="133"/>
        <v>3514111.3447742886</v>
      </c>
      <c r="AD479" s="5">
        <f>AC479*Assumptions!$E$43</f>
        <v>3147.1520227416436</v>
      </c>
      <c r="AE479" s="2">
        <f>AD479*Assumptions!$D$44*-1</f>
        <v>-472.07280341124653</v>
      </c>
      <c r="AF479" s="2">
        <f>AC479*Assumptions!$E$46*-1</f>
        <v>-117.11557518769122</v>
      </c>
      <c r="AG479" s="22">
        <f t="shared" si="134"/>
        <v>3513522.1563956896</v>
      </c>
      <c r="AH479" s="5">
        <f>Model_30y[[#This Row],[Mortgage Payment]]+Model_30y[[#This Row],[Total Upkeep]]+Model_30y[[#This Row],[Monthly Investment]]</f>
        <v>-7877.039501904359</v>
      </c>
      <c r="AI479" s="5">
        <f>Model_Renter!D479*-1</f>
        <v>11539.386394617937</v>
      </c>
      <c r="AJ479" s="5">
        <f t="shared" si="135"/>
        <v>3662.3468927135782</v>
      </c>
    </row>
    <row r="480" spans="1:36" x14ac:dyDescent="0.25">
      <c r="A480" s="17">
        <f t="shared" si="130"/>
        <v>478</v>
      </c>
      <c r="B480" s="17">
        <f t="shared" si="126"/>
        <v>40</v>
      </c>
      <c r="C480" s="23">
        <f>IFERROR(IPMT(Assumptions!$D$16/12,Model_30y!A480, 360,Assumptions!$D$8), 0)</f>
        <v>0</v>
      </c>
      <c r="D480" s="2">
        <f>IFERROR(PPMT(Assumptions!$D$16/12, Model_30y!A480, 360, Assumptions!$D$8), 0)</f>
        <v>0</v>
      </c>
      <c r="E480" s="2">
        <f t="shared" si="120"/>
        <v>0</v>
      </c>
      <c r="F480" s="2">
        <f>IF(I479&gt;1, Assumptions!$E$18, 0)*-1</f>
        <v>0</v>
      </c>
      <c r="G480" s="24">
        <f t="shared" si="121"/>
        <v>1</v>
      </c>
      <c r="H480" s="20">
        <f t="shared" si="127"/>
        <v>339999.99999999994</v>
      </c>
      <c r="I480" s="2">
        <f>MAX(Assumptions!$D$8-SUM(Model_30y!H480), 0)</f>
        <v>5.8207660913467407E-11</v>
      </c>
      <c r="J480" s="2">
        <f>J479*(1+(Assumptions!$E$51))</f>
        <v>2967763.8675560565</v>
      </c>
      <c r="K480" s="22">
        <f t="shared" si="122"/>
        <v>2967763.8675560565</v>
      </c>
      <c r="L480" s="5">
        <f t="shared" si="128"/>
        <v>424999.99999999971</v>
      </c>
      <c r="M480" s="63">
        <f>L480/Assumptions!$D$6</f>
        <v>0.99999999999999933</v>
      </c>
      <c r="N480" s="24">
        <f t="shared" si="136"/>
        <v>0</v>
      </c>
      <c r="O480" s="5">
        <f>N480*Assumptions!$E$25*-1</f>
        <v>0</v>
      </c>
      <c r="P480" s="20">
        <f>Assumptions!$E$35*J480*-1</f>
        <v>-6113.1076547207331</v>
      </c>
      <c r="Q480" s="5">
        <f>J480*Assumptions!$E$36*-1</f>
        <v>-2461.8732425171247</v>
      </c>
      <c r="R480" s="5">
        <f>(R468+(Model_30y!R468*Assumptions!$D$51))</f>
        <v>-2178.4853959185712</v>
      </c>
      <c r="S480" s="5">
        <f>S468+(S468*Assumptions!$D$51)</f>
        <v>0</v>
      </c>
      <c r="T480" s="5">
        <f t="shared" si="131"/>
        <v>0</v>
      </c>
      <c r="U480" s="22">
        <f t="shared" si="123"/>
        <v>-10753.466293156429</v>
      </c>
      <c r="V480" s="5">
        <f>MAX(Assumptions!$E$18:$E$19)-U480</f>
        <v>13595.099304955125</v>
      </c>
      <c r="W480" s="5">
        <f t="shared" si="124"/>
        <v>0</v>
      </c>
      <c r="X480" s="5">
        <f t="shared" si="129"/>
        <v>-10753.466293156429</v>
      </c>
      <c r="Y480" s="5">
        <f>C480*Assumptions!$D$44*-1</f>
        <v>0</v>
      </c>
      <c r="Z480" s="5">
        <f t="shared" si="125"/>
        <v>2841.6330117986963</v>
      </c>
      <c r="AA480" s="5">
        <f t="shared" si="132"/>
        <v>3513522.1563956896</v>
      </c>
      <c r="AB480" s="3">
        <f>Assumptions!$E$45</f>
        <v>6.9899151946608562E-3</v>
      </c>
      <c r="AC480" s="5">
        <f t="shared" si="133"/>
        <v>3540923.0113152564</v>
      </c>
      <c r="AD480" s="5">
        <f>AC480*Assumptions!$E$43</f>
        <v>3171.1638943953294</v>
      </c>
      <c r="AE480" s="2">
        <f>AD480*Assumptions!$D$44*-1</f>
        <v>-475.6745841592994</v>
      </c>
      <c r="AF480" s="2">
        <f>AC480*Assumptions!$E$46*-1</f>
        <v>-118.00913359851263</v>
      </c>
      <c r="AG480" s="22">
        <f t="shared" si="134"/>
        <v>3540329.3275974984</v>
      </c>
      <c r="AH480" s="5">
        <f>Model_30y[[#This Row],[Mortgage Payment]]+Model_30y[[#This Row],[Total Upkeep]]+Model_30y[[#This Row],[Monthly Investment]]</f>
        <v>-7911.8332813577326</v>
      </c>
      <c r="AI480" s="5">
        <f>Model_Renter!D480*-1</f>
        <v>11539.386394617937</v>
      </c>
      <c r="AJ480" s="5">
        <f t="shared" si="135"/>
        <v>3627.5531132602046</v>
      </c>
    </row>
    <row r="481" spans="1:36" x14ac:dyDescent="0.25">
      <c r="A481" s="17">
        <f t="shared" si="130"/>
        <v>479</v>
      </c>
      <c r="B481" s="17">
        <f t="shared" si="126"/>
        <v>40</v>
      </c>
      <c r="C481" s="23">
        <f>IFERROR(IPMT(Assumptions!$D$16/12,Model_30y!A481, 360,Assumptions!$D$8), 0)</f>
        <v>0</v>
      </c>
      <c r="D481" s="2">
        <f>IFERROR(PPMT(Assumptions!$D$16/12, Model_30y!A481, 360, Assumptions!$D$8), 0)</f>
        <v>0</v>
      </c>
      <c r="E481" s="2">
        <f t="shared" si="120"/>
        <v>0</v>
      </c>
      <c r="F481" s="2">
        <f>IF(I480&gt;1, Assumptions!$E$18, 0)*-1</f>
        <v>0</v>
      </c>
      <c r="G481" s="24">
        <f t="shared" si="121"/>
        <v>1</v>
      </c>
      <c r="H481" s="20">
        <f t="shared" si="127"/>
        <v>339999.99999999994</v>
      </c>
      <c r="I481" s="2">
        <f>MAX(Assumptions!$D$8-SUM(Model_30y!H481), 0)</f>
        <v>5.8207660913467407E-11</v>
      </c>
      <c r="J481" s="2">
        <f>J480*(1+(Assumptions!$E$51))</f>
        <v>2979854.904913119</v>
      </c>
      <c r="K481" s="22">
        <f t="shared" si="122"/>
        <v>2979854.904913119</v>
      </c>
      <c r="L481" s="5">
        <f t="shared" si="128"/>
        <v>424999.99999999971</v>
      </c>
      <c r="M481" s="63">
        <f>L481/Assumptions!$D$6</f>
        <v>0.99999999999999933</v>
      </c>
      <c r="N481" s="24">
        <f t="shared" si="136"/>
        <v>0</v>
      </c>
      <c r="O481" s="5">
        <f>N481*Assumptions!$E$25*-1</f>
        <v>0</v>
      </c>
      <c r="P481" s="20">
        <f>Assumptions!$E$35*J481*-1</f>
        <v>-6138.0132120088347</v>
      </c>
      <c r="Q481" s="5">
        <f>J481*Assumptions!$E$36*-1</f>
        <v>-2471.9032188467913</v>
      </c>
      <c r="R481" s="5">
        <f>(R469+(Model_30y!R469*Assumptions!$D$51))</f>
        <v>-2178.4853959185712</v>
      </c>
      <c r="S481" s="5">
        <f>S469+(S469*Assumptions!$D$51)</f>
        <v>0</v>
      </c>
      <c r="T481" s="5">
        <f t="shared" si="131"/>
        <v>0</v>
      </c>
      <c r="U481" s="22">
        <f t="shared" si="123"/>
        <v>-10788.401826774198</v>
      </c>
      <c r="V481" s="5">
        <f>MAX(Assumptions!$E$18:$E$19)-U481</f>
        <v>13630.034838572894</v>
      </c>
      <c r="W481" s="5">
        <f t="shared" si="124"/>
        <v>0</v>
      </c>
      <c r="X481" s="5">
        <f t="shared" si="129"/>
        <v>-10788.401826774198</v>
      </c>
      <c r="Y481" s="5">
        <f>C481*Assumptions!$D$44*-1</f>
        <v>0</v>
      </c>
      <c r="Z481" s="5">
        <f t="shared" si="125"/>
        <v>2841.6330117986963</v>
      </c>
      <c r="AA481" s="5">
        <f t="shared" si="132"/>
        <v>3540329.3275974984</v>
      </c>
      <c r="AB481" s="3">
        <f>Assumptions!$E$45</f>
        <v>6.9899151946608562E-3</v>
      </c>
      <c r="AC481" s="5">
        <f t="shared" si="133"/>
        <v>3567917.5623703743</v>
      </c>
      <c r="AD481" s="5">
        <f>AC481*Assumptions!$E$43</f>
        <v>3195.3395529391182</v>
      </c>
      <c r="AE481" s="2">
        <f>AD481*Assumptions!$D$44*-1</f>
        <v>-479.30093294086771</v>
      </c>
      <c r="AF481" s="2">
        <f>AC481*Assumptions!$E$46*-1</f>
        <v>-118.90878704246369</v>
      </c>
      <c r="AG481" s="22">
        <f t="shared" si="134"/>
        <v>3567319.3526503909</v>
      </c>
      <c r="AH481" s="5">
        <f>Model_30y[[#This Row],[Mortgage Payment]]+Model_30y[[#This Row],[Total Upkeep]]+Model_30y[[#This Row],[Monthly Investment]]</f>
        <v>-7946.7688149755013</v>
      </c>
      <c r="AI481" s="5">
        <f>Model_Renter!D481*-1</f>
        <v>11539.386394617937</v>
      </c>
      <c r="AJ481" s="5">
        <f t="shared" si="135"/>
        <v>3592.6175796424359</v>
      </c>
    </row>
    <row r="482" spans="1:36" x14ac:dyDescent="0.25">
      <c r="A482" s="17">
        <f t="shared" si="130"/>
        <v>480</v>
      </c>
      <c r="B482" s="17">
        <f t="shared" si="126"/>
        <v>40</v>
      </c>
      <c r="C482" s="23">
        <f>IFERROR(IPMT(Assumptions!$D$16/12,Model_30y!A482, 360,Assumptions!$D$8), 0)</f>
        <v>0</v>
      </c>
      <c r="D482" s="2">
        <f>IFERROR(PPMT(Assumptions!$D$16/12, Model_30y!A482, 360, Assumptions!$D$8), 0)</f>
        <v>0</v>
      </c>
      <c r="E482" s="2">
        <f t="shared" si="120"/>
        <v>0</v>
      </c>
      <c r="F482" s="2">
        <f>IF(I481&gt;1, Assumptions!$E$18, 0)*-1</f>
        <v>0</v>
      </c>
      <c r="G482" s="24">
        <f t="shared" si="121"/>
        <v>1</v>
      </c>
      <c r="H482" s="20">
        <f t="shared" si="127"/>
        <v>339999.99999999994</v>
      </c>
      <c r="I482" s="2">
        <f>MAX(Assumptions!$D$8-SUM(Model_30y!H482), 0)</f>
        <v>5.8207660913467407E-11</v>
      </c>
      <c r="J482" s="2">
        <f>J481*(1+(Assumptions!$E$51))</f>
        <v>2991995.2026530467</v>
      </c>
      <c r="K482" s="22">
        <f t="shared" si="122"/>
        <v>2991995.2026530467</v>
      </c>
      <c r="L482" s="5">
        <f t="shared" si="128"/>
        <v>424999.99999999971</v>
      </c>
      <c r="M482" s="63">
        <f>L482/Assumptions!$D$6</f>
        <v>0.99999999999999933</v>
      </c>
      <c r="N482" s="24">
        <f t="shared" si="136"/>
        <v>0</v>
      </c>
      <c r="O482" s="5">
        <f>N482*Assumptions!$E$25*-1</f>
        <v>0</v>
      </c>
      <c r="P482" s="20">
        <f>Assumptions!$E$35*J482*-1</f>
        <v>-6163.0202376202269</v>
      </c>
      <c r="Q482" s="5">
        <f>J482*Assumptions!$E$36*-1</f>
        <v>-2481.9740585415716</v>
      </c>
      <c r="R482" s="5">
        <f>(R470+(Model_30y!R470*Assumptions!$D$51))</f>
        <v>-2178.4853959185712</v>
      </c>
      <c r="S482" s="5">
        <f>S470+(S470*Assumptions!$D$51)</f>
        <v>0</v>
      </c>
      <c r="T482" s="5">
        <f t="shared" si="131"/>
        <v>0</v>
      </c>
      <c r="U482" s="22">
        <f t="shared" si="123"/>
        <v>-10823.479692080369</v>
      </c>
      <c r="V482" s="5">
        <f>MAX(Assumptions!$E$18:$E$19)-U482</f>
        <v>13665.112703879066</v>
      </c>
      <c r="W482" s="5">
        <f t="shared" si="124"/>
        <v>0</v>
      </c>
      <c r="X482" s="5">
        <f t="shared" si="129"/>
        <v>-10823.479692080369</v>
      </c>
      <c r="Y482" s="5">
        <f>C482*Assumptions!$D$44*-1</f>
        <v>0</v>
      </c>
      <c r="Z482" s="5">
        <f t="shared" si="125"/>
        <v>2841.6330117986963</v>
      </c>
      <c r="AA482" s="5">
        <f t="shared" si="132"/>
        <v>3567319.3526503909</v>
      </c>
      <c r="AB482" s="3">
        <f>Assumptions!$E$45</f>
        <v>6.9899151946608562E-3</v>
      </c>
      <c r="AC482" s="5">
        <f t="shared" si="133"/>
        <v>3595096.2454094887</v>
      </c>
      <c r="AD482" s="5">
        <f>AC482*Assumptions!$E$43</f>
        <v>3219.6801155764401</v>
      </c>
      <c r="AE482" s="2">
        <f>AD482*Assumptions!$D$44*-1</f>
        <v>-482.95201733646599</v>
      </c>
      <c r="AF482" s="2">
        <f>AC482*Assumptions!$E$46*-1</f>
        <v>-119.81457709425109</v>
      </c>
      <c r="AG482" s="22">
        <f t="shared" si="134"/>
        <v>3594493.4788150578</v>
      </c>
      <c r="AH482" s="5">
        <f>Model_30y[[#This Row],[Mortgage Payment]]+Model_30y[[#This Row],[Total Upkeep]]+Model_30y[[#This Row],[Monthly Investment]]</f>
        <v>-7981.8466802816729</v>
      </c>
      <c r="AI482" s="5">
        <f>Model_Renter!D482*-1</f>
        <v>11539.386394617937</v>
      </c>
      <c r="AJ482" s="5">
        <f t="shared" si="135"/>
        <v>3557.5397143362643</v>
      </c>
    </row>
    <row r="483" spans="1:36" x14ac:dyDescent="0.25">
      <c r="A483" s="17">
        <f t="shared" si="130"/>
        <v>481</v>
      </c>
      <c r="B483" s="17">
        <f t="shared" si="126"/>
        <v>41</v>
      </c>
      <c r="C483" s="23">
        <f>IFERROR(IPMT(Assumptions!$D$16/12,Model_30y!A483, 360,Assumptions!$D$8), 0)</f>
        <v>0</v>
      </c>
      <c r="D483" s="2">
        <f>IFERROR(PPMT(Assumptions!$D$16/12, Model_30y!A483, 360, Assumptions!$D$8), 0)</f>
        <v>0</v>
      </c>
      <c r="E483" s="2">
        <f t="shared" si="120"/>
        <v>0</v>
      </c>
      <c r="F483" s="2">
        <f>IF(I482&gt;1, Assumptions!$E$18, 0)*-1</f>
        <v>0</v>
      </c>
      <c r="G483" s="24">
        <f t="shared" si="121"/>
        <v>1</v>
      </c>
      <c r="H483" s="20">
        <f t="shared" si="127"/>
        <v>339999.99999999994</v>
      </c>
      <c r="I483" s="2">
        <f>MAX(Assumptions!$D$8-SUM(Model_30y!H483), 0)</f>
        <v>5.8207660913467407E-11</v>
      </c>
      <c r="J483" s="2">
        <f>J482*(1+(Assumptions!$E$51))</f>
        <v>3004184.9614687371</v>
      </c>
      <c r="K483" s="22">
        <f t="shared" si="122"/>
        <v>3004184.9614687371</v>
      </c>
      <c r="L483" s="5">
        <f t="shared" si="128"/>
        <v>424999.99999999971</v>
      </c>
      <c r="M483" s="63">
        <f>L483/Assumptions!$D$6</f>
        <v>0.99999999999999933</v>
      </c>
      <c r="N483" s="24">
        <f t="shared" si="136"/>
        <v>0</v>
      </c>
      <c r="O483" s="5">
        <f>N483*Assumptions!$E$25*-1</f>
        <v>0</v>
      </c>
      <c r="P483" s="20">
        <f>Assumptions!$E$35*J483*-1</f>
        <v>-6188.1291449494211</v>
      </c>
      <c r="Q483" s="5">
        <f>J483*Assumptions!$E$36*-1</f>
        <v>-2492.085928083874</v>
      </c>
      <c r="R483" s="5">
        <f>(R471+(Model_30y!R471*Assumptions!$D$51))</f>
        <v>-2287.4096657144996</v>
      </c>
      <c r="S483" s="5">
        <f>S471+(S471*Assumptions!$D$51)</f>
        <v>0</v>
      </c>
      <c r="T483" s="5">
        <f t="shared" si="131"/>
        <v>0</v>
      </c>
      <c r="U483" s="22">
        <f t="shared" si="123"/>
        <v>-10967.624738747794</v>
      </c>
      <c r="V483" s="5">
        <f>MAX(Assumptions!$E$18:$E$19)-U483</f>
        <v>13809.257750546491</v>
      </c>
      <c r="W483" s="5">
        <f t="shared" si="124"/>
        <v>0</v>
      </c>
      <c r="X483" s="5">
        <f t="shared" si="129"/>
        <v>-10967.624738747794</v>
      </c>
      <c r="Y483" s="5">
        <f>C483*Assumptions!$D$44*-1</f>
        <v>0</v>
      </c>
      <c r="Z483" s="5">
        <f t="shared" si="125"/>
        <v>2841.6330117986963</v>
      </c>
      <c r="AA483" s="5">
        <f t="shared" si="132"/>
        <v>3594493.4788150578</v>
      </c>
      <c r="AB483" s="3">
        <f>Assumptions!$E$45</f>
        <v>6.9899151946608562E-3</v>
      </c>
      <c r="AC483" s="5">
        <f t="shared" si="133"/>
        <v>3622460.3164115353</v>
      </c>
      <c r="AD483" s="5">
        <f>AC483*Assumptions!$E$43</f>
        <v>3244.1867071312586</v>
      </c>
      <c r="AE483" s="2">
        <f>AD483*Assumptions!$D$44*-1</f>
        <v>-486.62800606968875</v>
      </c>
      <c r="AF483" s="2">
        <f>AC483*Assumptions!$E$46*-1</f>
        <v>-120.72654561216594</v>
      </c>
      <c r="AG483" s="22">
        <f t="shared" si="134"/>
        <v>3621852.9618598535</v>
      </c>
      <c r="AH483" s="5">
        <f>Model_30y[[#This Row],[Mortgage Payment]]+Model_30y[[#This Row],[Total Upkeep]]+Model_30y[[#This Row],[Monthly Investment]]</f>
        <v>-8125.9917269490979</v>
      </c>
      <c r="AI483" s="5">
        <f>Model_Renter!D483*-1</f>
        <v>11970.959445776649</v>
      </c>
      <c r="AJ483" s="5">
        <f t="shared" si="135"/>
        <v>3844.9677188275509</v>
      </c>
    </row>
    <row r="484" spans="1:36" x14ac:dyDescent="0.25">
      <c r="A484" s="17">
        <f t="shared" si="130"/>
        <v>482</v>
      </c>
      <c r="B484" s="17">
        <f t="shared" si="126"/>
        <v>41</v>
      </c>
      <c r="C484" s="23">
        <f>IFERROR(IPMT(Assumptions!$D$16/12,Model_30y!A484, 360,Assumptions!$D$8), 0)</f>
        <v>0</v>
      </c>
      <c r="D484" s="2">
        <f>IFERROR(PPMT(Assumptions!$D$16/12, Model_30y!A484, 360, Assumptions!$D$8), 0)</f>
        <v>0</v>
      </c>
      <c r="E484" s="2">
        <f t="shared" si="120"/>
        <v>0</v>
      </c>
      <c r="F484" s="2">
        <f>IF(I483&gt;1, Assumptions!$E$18, 0)*-1</f>
        <v>0</v>
      </c>
      <c r="G484" s="24">
        <f t="shared" si="121"/>
        <v>1</v>
      </c>
      <c r="H484" s="20">
        <f t="shared" si="127"/>
        <v>339999.99999999994</v>
      </c>
      <c r="I484" s="2">
        <f>MAX(Assumptions!$D$8-SUM(Model_30y!H484), 0)</f>
        <v>5.8207660913467407E-11</v>
      </c>
      <c r="J484" s="2">
        <f>J483*(1+(Assumptions!$E$51))</f>
        <v>3016424.3828707356</v>
      </c>
      <c r="K484" s="22">
        <f t="shared" si="122"/>
        <v>3016424.3828707356</v>
      </c>
      <c r="L484" s="5">
        <f t="shared" si="128"/>
        <v>424999.99999999971</v>
      </c>
      <c r="M484" s="63">
        <f>L484/Assumptions!$D$6</f>
        <v>0.99999999999999933</v>
      </c>
      <c r="N484" s="24">
        <f t="shared" si="136"/>
        <v>0</v>
      </c>
      <c r="O484" s="5">
        <f>N484*Assumptions!$E$25*-1</f>
        <v>0</v>
      </c>
      <c r="P484" s="20">
        <f>Assumptions!$E$35*J484*-1</f>
        <v>-6213.3403490751471</v>
      </c>
      <c r="Q484" s="5">
        <f>J484*Assumptions!$E$36*-1</f>
        <v>-2502.238994634376</v>
      </c>
      <c r="R484" s="5">
        <f>(R472+(Model_30y!R472*Assumptions!$D$51))</f>
        <v>-2287.4096657144996</v>
      </c>
      <c r="S484" s="5">
        <f>S472+(S472*Assumptions!$D$51)</f>
        <v>0</v>
      </c>
      <c r="T484" s="5">
        <f t="shared" si="131"/>
        <v>0</v>
      </c>
      <c r="U484" s="22">
        <f t="shared" si="123"/>
        <v>-11002.989009424024</v>
      </c>
      <c r="V484" s="5">
        <f>MAX(Assumptions!$E$18:$E$19)-U484</f>
        <v>13844.62202122272</v>
      </c>
      <c r="W484" s="5">
        <f t="shared" si="124"/>
        <v>0</v>
      </c>
      <c r="X484" s="5">
        <f t="shared" si="129"/>
        <v>-11002.989009424024</v>
      </c>
      <c r="Y484" s="5">
        <f>C484*Assumptions!$D$44*-1</f>
        <v>0</v>
      </c>
      <c r="Z484" s="5">
        <f t="shared" si="125"/>
        <v>2841.6330117986963</v>
      </c>
      <c r="AA484" s="5">
        <f t="shared" si="132"/>
        <v>3621852.9618598535</v>
      </c>
      <c r="AB484" s="3">
        <f>Assumptions!$E$45</f>
        <v>6.9899151946608562E-3</v>
      </c>
      <c r="AC484" s="5">
        <f t="shared" si="133"/>
        <v>3650011.0399225838</v>
      </c>
      <c r="AD484" s="5">
        <f>AC484*Assumptions!$E$43</f>
        <v>3268.8604601000511</v>
      </c>
      <c r="AE484" s="2">
        <f>AD484*Assumptions!$D$44*-1</f>
        <v>-490.32906901500763</v>
      </c>
      <c r="AF484" s="2">
        <f>AC484*Assumptions!$E$46*-1</f>
        <v>-121.64473474001804</v>
      </c>
      <c r="AG484" s="22">
        <f t="shared" si="134"/>
        <v>3649399.066118829</v>
      </c>
      <c r="AH484" s="5">
        <f>Model_30y[[#This Row],[Mortgage Payment]]+Model_30y[[#This Row],[Total Upkeep]]+Model_30y[[#This Row],[Monthly Investment]]</f>
        <v>-8161.3559976253273</v>
      </c>
      <c r="AI484" s="5">
        <f>Model_Renter!D484*-1</f>
        <v>11970.959445776649</v>
      </c>
      <c r="AJ484" s="5">
        <f t="shared" si="135"/>
        <v>3809.6034481513216</v>
      </c>
    </row>
    <row r="485" spans="1:36" x14ac:dyDescent="0.25">
      <c r="A485" s="17">
        <f t="shared" si="130"/>
        <v>483</v>
      </c>
      <c r="B485" s="17">
        <f t="shared" si="126"/>
        <v>41</v>
      </c>
      <c r="C485" s="23">
        <f>IFERROR(IPMT(Assumptions!$D$16/12,Model_30y!A485, 360,Assumptions!$D$8), 0)</f>
        <v>0</v>
      </c>
      <c r="D485" s="2">
        <f>IFERROR(PPMT(Assumptions!$D$16/12, Model_30y!A485, 360, Assumptions!$D$8), 0)</f>
        <v>0</v>
      </c>
      <c r="E485" s="2">
        <f t="shared" si="120"/>
        <v>0</v>
      </c>
      <c r="F485" s="2">
        <f>IF(I484&gt;1, Assumptions!$E$18, 0)*-1</f>
        <v>0</v>
      </c>
      <c r="G485" s="24">
        <f t="shared" si="121"/>
        <v>1</v>
      </c>
      <c r="H485" s="20">
        <f t="shared" si="127"/>
        <v>339999.99999999994</v>
      </c>
      <c r="I485" s="2">
        <f>MAX(Assumptions!$D$8-SUM(Model_30y!H485), 0)</f>
        <v>5.8207660913467407E-11</v>
      </c>
      <c r="J485" s="2">
        <f>J484*(1+(Assumptions!$E$51))</f>
        <v>3028713.6691905661</v>
      </c>
      <c r="K485" s="22">
        <f t="shared" si="122"/>
        <v>3028713.6691905661</v>
      </c>
      <c r="L485" s="5">
        <f t="shared" si="128"/>
        <v>424999.99999999971</v>
      </c>
      <c r="M485" s="63">
        <f>L485/Assumptions!$D$6</f>
        <v>0.99999999999999933</v>
      </c>
      <c r="N485" s="24">
        <f t="shared" si="136"/>
        <v>0</v>
      </c>
      <c r="O485" s="5">
        <f>N485*Assumptions!$E$25*-1</f>
        <v>0</v>
      </c>
      <c r="P485" s="20">
        <f>Assumptions!$E$35*J485*-1</f>
        <v>-6238.6542667672165</v>
      </c>
      <c r="Q485" s="5">
        <f>J485*Assumptions!$E$36*-1</f>
        <v>-2512.4334260347882</v>
      </c>
      <c r="R485" s="5">
        <f>(R473+(Model_30y!R473*Assumptions!$D$51))</f>
        <v>-2287.4096657144996</v>
      </c>
      <c r="S485" s="5">
        <f>S473+(S473*Assumptions!$D$51)</f>
        <v>0</v>
      </c>
      <c r="T485" s="5">
        <f t="shared" si="131"/>
        <v>0</v>
      </c>
      <c r="U485" s="22">
        <f t="shared" si="123"/>
        <v>-11038.497358516504</v>
      </c>
      <c r="V485" s="5">
        <f>MAX(Assumptions!$E$18:$E$19)-U485</f>
        <v>13880.130370315201</v>
      </c>
      <c r="W485" s="5">
        <f t="shared" si="124"/>
        <v>0</v>
      </c>
      <c r="X485" s="5">
        <f t="shared" si="129"/>
        <v>-11038.497358516504</v>
      </c>
      <c r="Y485" s="5">
        <f>C485*Assumptions!$D$44*-1</f>
        <v>0</v>
      </c>
      <c r="Z485" s="5">
        <f t="shared" si="125"/>
        <v>2841.6330117986963</v>
      </c>
      <c r="AA485" s="5">
        <f t="shared" si="132"/>
        <v>3649399.066118829</v>
      </c>
      <c r="AB485" s="3">
        <f>Assumptions!$E$45</f>
        <v>6.9899151946608562E-3</v>
      </c>
      <c r="AC485" s="5">
        <f t="shared" si="133"/>
        <v>3677749.6891142731</v>
      </c>
      <c r="AD485" s="5">
        <f>AC485*Assumptions!$E$43</f>
        <v>3293.7025147041441</v>
      </c>
      <c r="AE485" s="2">
        <f>AD485*Assumptions!$D$44*-1</f>
        <v>-494.0553772056216</v>
      </c>
      <c r="AF485" s="2">
        <f>AC485*Assumptions!$E$46*-1</f>
        <v>-122.56918690908354</v>
      </c>
      <c r="AG485" s="22">
        <f t="shared" si="134"/>
        <v>3677133.0645501586</v>
      </c>
      <c r="AH485" s="5">
        <f>Model_30y[[#This Row],[Mortgage Payment]]+Model_30y[[#This Row],[Total Upkeep]]+Model_30y[[#This Row],[Monthly Investment]]</f>
        <v>-8196.8643467178081</v>
      </c>
      <c r="AI485" s="5">
        <f>Model_Renter!D485*-1</f>
        <v>11970.959445776649</v>
      </c>
      <c r="AJ485" s="5">
        <f t="shared" si="135"/>
        <v>3774.0950990588408</v>
      </c>
    </row>
    <row r="486" spans="1:36" x14ac:dyDescent="0.25">
      <c r="A486" s="17">
        <f t="shared" si="130"/>
        <v>484</v>
      </c>
      <c r="B486" s="17">
        <f t="shared" si="126"/>
        <v>41</v>
      </c>
      <c r="C486" s="23">
        <f>IFERROR(IPMT(Assumptions!$D$16/12,Model_30y!A486, 360,Assumptions!$D$8), 0)</f>
        <v>0</v>
      </c>
      <c r="D486" s="2">
        <f>IFERROR(PPMT(Assumptions!$D$16/12, Model_30y!A486, 360, Assumptions!$D$8), 0)</f>
        <v>0</v>
      </c>
      <c r="E486" s="2">
        <f t="shared" si="120"/>
        <v>0</v>
      </c>
      <c r="F486" s="2">
        <f>IF(I485&gt;1, Assumptions!$E$18, 0)*-1</f>
        <v>0</v>
      </c>
      <c r="G486" s="24">
        <f t="shared" si="121"/>
        <v>1</v>
      </c>
      <c r="H486" s="20">
        <f t="shared" si="127"/>
        <v>339999.99999999994</v>
      </c>
      <c r="I486" s="2">
        <f>MAX(Assumptions!$D$8-SUM(Model_30y!H486), 0)</f>
        <v>5.8207660913467407E-11</v>
      </c>
      <c r="J486" s="2">
        <f>J485*(1+(Assumptions!$E$51))</f>
        <v>3041053.0235840762</v>
      </c>
      <c r="K486" s="22">
        <f t="shared" si="122"/>
        <v>3041053.0235840762</v>
      </c>
      <c r="L486" s="5">
        <f t="shared" si="128"/>
        <v>424999.99999999971</v>
      </c>
      <c r="M486" s="63">
        <f>L486/Assumptions!$D$6</f>
        <v>0.99999999999999933</v>
      </c>
      <c r="N486" s="24">
        <f t="shared" si="136"/>
        <v>0</v>
      </c>
      <c r="O486" s="5">
        <f>N486*Assumptions!$E$25*-1</f>
        <v>0</v>
      </c>
      <c r="P486" s="20">
        <f>Assumptions!$E$35*J486*-1</f>
        <v>-6264.0713164934123</v>
      </c>
      <c r="Q486" s="5">
        <f>J486*Assumptions!$E$36*-1</f>
        <v>-2522.6693908106299</v>
      </c>
      <c r="R486" s="5">
        <f>(R474+(Model_30y!R474*Assumptions!$D$51))</f>
        <v>-2287.4096657144996</v>
      </c>
      <c r="S486" s="5">
        <f>S474+(S474*Assumptions!$D$51)</f>
        <v>0</v>
      </c>
      <c r="T486" s="5">
        <f t="shared" si="131"/>
        <v>0</v>
      </c>
      <c r="U486" s="22">
        <f t="shared" si="123"/>
        <v>-11074.150373018541</v>
      </c>
      <c r="V486" s="5">
        <f>MAX(Assumptions!$E$18:$E$19)-U486</f>
        <v>13915.783384817238</v>
      </c>
      <c r="W486" s="5">
        <f t="shared" si="124"/>
        <v>0</v>
      </c>
      <c r="X486" s="5">
        <f t="shared" si="129"/>
        <v>-11074.150373018541</v>
      </c>
      <c r="Y486" s="5">
        <f>C486*Assumptions!$D$44*-1</f>
        <v>0</v>
      </c>
      <c r="Z486" s="5">
        <f t="shared" si="125"/>
        <v>2841.6330117986963</v>
      </c>
      <c r="AA486" s="5">
        <f t="shared" si="132"/>
        <v>3677133.0645501586</v>
      </c>
      <c r="AB486" s="3">
        <f>Assumptions!$E$45</f>
        <v>6.9899151946608562E-3</v>
      </c>
      <c r="AC486" s="5">
        <f t="shared" si="133"/>
        <v>3705677.5458426466</v>
      </c>
      <c r="AD486" s="5">
        <f>AC486*Assumptions!$E$43</f>
        <v>3318.714018942404</v>
      </c>
      <c r="AE486" s="2">
        <f>AD486*Assumptions!$D$44*-1</f>
        <v>-497.80710284136057</v>
      </c>
      <c r="AF486" s="2">
        <f>AC486*Assumptions!$E$46*-1</f>
        <v>-123.49994484006565</v>
      </c>
      <c r="AG486" s="22">
        <f t="shared" si="134"/>
        <v>3705056.2387949652</v>
      </c>
      <c r="AH486" s="5">
        <f>Model_30y[[#This Row],[Mortgage Payment]]+Model_30y[[#This Row],[Total Upkeep]]+Model_30y[[#This Row],[Monthly Investment]]</f>
        <v>-8232.517361219845</v>
      </c>
      <c r="AI486" s="5">
        <f>Model_Renter!D486*-1</f>
        <v>11970.959445776649</v>
      </c>
      <c r="AJ486" s="5">
        <f t="shared" si="135"/>
        <v>3738.4420845568038</v>
      </c>
    </row>
    <row r="487" spans="1:36" x14ac:dyDescent="0.25">
      <c r="A487" s="17">
        <f t="shared" si="130"/>
        <v>485</v>
      </c>
      <c r="B487" s="17">
        <f t="shared" si="126"/>
        <v>41</v>
      </c>
      <c r="C487" s="23">
        <f>IFERROR(IPMT(Assumptions!$D$16/12,Model_30y!A487, 360,Assumptions!$D$8), 0)</f>
        <v>0</v>
      </c>
      <c r="D487" s="2">
        <f>IFERROR(PPMT(Assumptions!$D$16/12, Model_30y!A487, 360, Assumptions!$D$8), 0)</f>
        <v>0</v>
      </c>
      <c r="E487" s="2">
        <f t="shared" si="120"/>
        <v>0</v>
      </c>
      <c r="F487" s="2">
        <f>IF(I486&gt;1, Assumptions!$E$18, 0)*-1</f>
        <v>0</v>
      </c>
      <c r="G487" s="24">
        <f t="shared" si="121"/>
        <v>1</v>
      </c>
      <c r="H487" s="20">
        <f t="shared" si="127"/>
        <v>339999.99999999994</v>
      </c>
      <c r="I487" s="2">
        <f>MAX(Assumptions!$D$8-SUM(Model_30y!H487), 0)</f>
        <v>5.8207660913467407E-11</v>
      </c>
      <c r="J487" s="2">
        <f>J486*(1+(Assumptions!$E$51))</f>
        <v>3053442.650034796</v>
      </c>
      <c r="K487" s="22">
        <f t="shared" si="122"/>
        <v>3053442.650034796</v>
      </c>
      <c r="L487" s="5">
        <f t="shared" si="128"/>
        <v>424999.99999999971</v>
      </c>
      <c r="M487" s="63">
        <f>L487/Assumptions!$D$6</f>
        <v>0.99999999999999933</v>
      </c>
      <c r="N487" s="24">
        <f t="shared" si="136"/>
        <v>0</v>
      </c>
      <c r="O487" s="5">
        <f>N487*Assumptions!$E$25*-1</f>
        <v>0</v>
      </c>
      <c r="P487" s="20">
        <f>Assumptions!$E$35*J487*-1</f>
        <v>-6289.5919184264076</v>
      </c>
      <c r="Q487" s="5">
        <f>J487*Assumptions!$E$36*-1</f>
        <v>-2532.9470581740129</v>
      </c>
      <c r="R487" s="5">
        <f>(R475+(Model_30y!R475*Assumptions!$D$51))</f>
        <v>-2287.4096657144996</v>
      </c>
      <c r="S487" s="5">
        <f>S475+(S475*Assumptions!$D$51)</f>
        <v>0</v>
      </c>
      <c r="T487" s="5">
        <f t="shared" si="131"/>
        <v>0</v>
      </c>
      <c r="U487" s="22">
        <f t="shared" si="123"/>
        <v>-11109.948642314921</v>
      </c>
      <c r="V487" s="5">
        <f>MAX(Assumptions!$E$18:$E$19)-U487</f>
        <v>13951.581654113617</v>
      </c>
      <c r="W487" s="5">
        <f t="shared" si="124"/>
        <v>0</v>
      </c>
      <c r="X487" s="5">
        <f t="shared" si="129"/>
        <v>-11109.948642314921</v>
      </c>
      <c r="Y487" s="5">
        <f>C487*Assumptions!$D$44*-1</f>
        <v>0</v>
      </c>
      <c r="Z487" s="5">
        <f t="shared" si="125"/>
        <v>2841.6330117986963</v>
      </c>
      <c r="AA487" s="5">
        <f t="shared" si="132"/>
        <v>3705056.2387949652</v>
      </c>
      <c r="AB487" s="3">
        <f>Assumptions!$E$45</f>
        <v>6.9899151946608562E-3</v>
      </c>
      <c r="AC487" s="5">
        <f t="shared" si="133"/>
        <v>3733795.9007073902</v>
      </c>
      <c r="AD487" s="5">
        <f>AC487*Assumptions!$E$43</f>
        <v>3343.8961286442891</v>
      </c>
      <c r="AE487" s="2">
        <f>AD487*Assumptions!$D$44*-1</f>
        <v>-501.58441929664332</v>
      </c>
      <c r="AF487" s="2">
        <f>AC487*Assumptions!$E$46*-1</f>
        <v>-124.43705154506893</v>
      </c>
      <c r="AG487" s="22">
        <f t="shared" si="134"/>
        <v>3733169.8792365487</v>
      </c>
      <c r="AH487" s="5">
        <f>Model_30y[[#This Row],[Mortgage Payment]]+Model_30y[[#This Row],[Total Upkeep]]+Model_30y[[#This Row],[Monthly Investment]]</f>
        <v>-8268.3156305162247</v>
      </c>
      <c r="AI487" s="5">
        <f>Model_Renter!D487*-1</f>
        <v>11970.959445776649</v>
      </c>
      <c r="AJ487" s="5">
        <f t="shared" si="135"/>
        <v>3702.6438152604242</v>
      </c>
    </row>
    <row r="488" spans="1:36" x14ac:dyDescent="0.25">
      <c r="A488" s="17">
        <f t="shared" si="130"/>
        <v>486</v>
      </c>
      <c r="B488" s="17">
        <f t="shared" si="126"/>
        <v>41</v>
      </c>
      <c r="C488" s="23">
        <f>IFERROR(IPMT(Assumptions!$D$16/12,Model_30y!A488, 360,Assumptions!$D$8), 0)</f>
        <v>0</v>
      </c>
      <c r="D488" s="2">
        <f>IFERROR(PPMT(Assumptions!$D$16/12, Model_30y!A488, 360, Assumptions!$D$8), 0)</f>
        <v>0</v>
      </c>
      <c r="E488" s="2">
        <f t="shared" si="120"/>
        <v>0</v>
      </c>
      <c r="F488" s="2">
        <f>IF(I487&gt;1, Assumptions!$E$18, 0)*-1</f>
        <v>0</v>
      </c>
      <c r="G488" s="24">
        <f t="shared" si="121"/>
        <v>1</v>
      </c>
      <c r="H488" s="20">
        <f t="shared" si="127"/>
        <v>339999.99999999994</v>
      </c>
      <c r="I488" s="2">
        <f>MAX(Assumptions!$D$8-SUM(Model_30y!H488), 0)</f>
        <v>5.8207660913467407E-11</v>
      </c>
      <c r="J488" s="2">
        <f>J487*(1+(Assumptions!$E$51))</f>
        <v>3065882.7533573089</v>
      </c>
      <c r="K488" s="22">
        <f t="shared" si="122"/>
        <v>3065882.7533573089</v>
      </c>
      <c r="L488" s="5">
        <f t="shared" si="128"/>
        <v>424999.99999999971</v>
      </c>
      <c r="M488" s="63">
        <f>L488/Assumptions!$D$6</f>
        <v>0.99999999999999933</v>
      </c>
      <c r="N488" s="24">
        <f t="shared" si="136"/>
        <v>0</v>
      </c>
      <c r="O488" s="5">
        <f>N488*Assumptions!$E$25*-1</f>
        <v>0</v>
      </c>
      <c r="P488" s="20">
        <f>Assumptions!$E$35*J488*-1</f>
        <v>-6315.2164944507113</v>
      </c>
      <c r="Q488" s="5">
        <f>J488*Assumptions!$E$36*-1</f>
        <v>-2543.2665980264419</v>
      </c>
      <c r="R488" s="5">
        <f>(R476+(Model_30y!R476*Assumptions!$D$51))</f>
        <v>-2287.4096657144996</v>
      </c>
      <c r="S488" s="5">
        <f>S476+(S476*Assumptions!$D$51)</f>
        <v>0</v>
      </c>
      <c r="T488" s="5">
        <f t="shared" si="131"/>
        <v>0</v>
      </c>
      <c r="U488" s="22">
        <f t="shared" si="123"/>
        <v>-11145.892758191652</v>
      </c>
      <c r="V488" s="5">
        <f>MAX(Assumptions!$E$18:$E$19)-U488</f>
        <v>13987.525769990349</v>
      </c>
      <c r="W488" s="5">
        <f t="shared" si="124"/>
        <v>0</v>
      </c>
      <c r="X488" s="5">
        <f t="shared" si="129"/>
        <v>-11145.892758191652</v>
      </c>
      <c r="Y488" s="5">
        <f>C488*Assumptions!$D$44*-1</f>
        <v>0</v>
      </c>
      <c r="Z488" s="5">
        <f t="shared" si="125"/>
        <v>2841.6330117986963</v>
      </c>
      <c r="AA488" s="5">
        <f t="shared" si="132"/>
        <v>3733169.8792365487</v>
      </c>
      <c r="AB488" s="3">
        <f>Assumptions!$E$45</f>
        <v>6.9899151946608562E-3</v>
      </c>
      <c r="AC488" s="5">
        <f t="shared" si="133"/>
        <v>3762106.0531114731</v>
      </c>
      <c r="AD488" s="5">
        <f>AC488*Assumptions!$E$43</f>
        <v>3369.2500075232624</v>
      </c>
      <c r="AE488" s="2">
        <f>AD488*Assumptions!$D$44*-1</f>
        <v>-505.38750112848936</v>
      </c>
      <c r="AF488" s="2">
        <f>AC488*Assumptions!$E$46*-1</f>
        <v>-125.38055032958691</v>
      </c>
      <c r="AG488" s="22">
        <f t="shared" si="134"/>
        <v>3761475.285060015</v>
      </c>
      <c r="AH488" s="5">
        <f>Model_30y[[#This Row],[Mortgage Payment]]+Model_30y[[#This Row],[Total Upkeep]]+Model_30y[[#This Row],[Monthly Investment]]</f>
        <v>-8304.259746392956</v>
      </c>
      <c r="AI488" s="5">
        <f>Model_Renter!D488*-1</f>
        <v>11970.959445776649</v>
      </c>
      <c r="AJ488" s="5">
        <f t="shared" si="135"/>
        <v>3666.6996993836929</v>
      </c>
    </row>
    <row r="489" spans="1:36" x14ac:dyDescent="0.25">
      <c r="A489" s="17">
        <f t="shared" si="130"/>
        <v>487</v>
      </c>
      <c r="B489" s="17">
        <f t="shared" si="126"/>
        <v>41</v>
      </c>
      <c r="C489" s="23">
        <f>IFERROR(IPMT(Assumptions!$D$16/12,Model_30y!A489, 360,Assumptions!$D$8), 0)</f>
        <v>0</v>
      </c>
      <c r="D489" s="2">
        <f>IFERROR(PPMT(Assumptions!$D$16/12, Model_30y!A489, 360, Assumptions!$D$8), 0)</f>
        <v>0</v>
      </c>
      <c r="E489" s="2">
        <f t="shared" si="120"/>
        <v>0</v>
      </c>
      <c r="F489" s="2">
        <f>IF(I488&gt;1, Assumptions!$E$18, 0)*-1</f>
        <v>0</v>
      </c>
      <c r="G489" s="24">
        <f t="shared" si="121"/>
        <v>1</v>
      </c>
      <c r="H489" s="20">
        <f t="shared" si="127"/>
        <v>339999.99999999994</v>
      </c>
      <c r="I489" s="2">
        <f>MAX(Assumptions!$D$8-SUM(Model_30y!H489), 0)</f>
        <v>5.8207660913467407E-11</v>
      </c>
      <c r="J489" s="2">
        <f>J488*(1+(Assumptions!$E$51))</f>
        <v>3078373.5392006394</v>
      </c>
      <c r="K489" s="22">
        <f t="shared" si="122"/>
        <v>3078373.5392006394</v>
      </c>
      <c r="L489" s="5">
        <f t="shared" si="128"/>
        <v>424999.99999999971</v>
      </c>
      <c r="M489" s="63">
        <f>L489/Assumptions!$D$6</f>
        <v>0.99999999999999933</v>
      </c>
      <c r="N489" s="24">
        <f t="shared" si="136"/>
        <v>0</v>
      </c>
      <c r="O489" s="5">
        <f>N489*Assumptions!$E$25*-1</f>
        <v>0</v>
      </c>
      <c r="P489" s="20">
        <f>Assumptions!$E$35*J489*-1</f>
        <v>-6340.9454681696416</v>
      </c>
      <c r="Q489" s="5">
        <f>J489*Assumptions!$E$36*-1</f>
        <v>-2553.6281809616198</v>
      </c>
      <c r="R489" s="5">
        <f>(R477+(Model_30y!R477*Assumptions!$D$51))</f>
        <v>-2287.4096657144996</v>
      </c>
      <c r="S489" s="5">
        <f>S477+(S477*Assumptions!$D$51)</f>
        <v>0</v>
      </c>
      <c r="T489" s="5">
        <f t="shared" si="131"/>
        <v>0</v>
      </c>
      <c r="U489" s="22">
        <f t="shared" si="123"/>
        <v>-11181.983314845762</v>
      </c>
      <c r="V489" s="5">
        <f>MAX(Assumptions!$E$18:$E$19)-U489</f>
        <v>14023.616326644458</v>
      </c>
      <c r="W489" s="5">
        <f t="shared" si="124"/>
        <v>0</v>
      </c>
      <c r="X489" s="5">
        <f t="shared" si="129"/>
        <v>-11181.983314845762</v>
      </c>
      <c r="Y489" s="5">
        <f>C489*Assumptions!$D$44*-1</f>
        <v>0</v>
      </c>
      <c r="Z489" s="5">
        <f t="shared" si="125"/>
        <v>2841.6330117986963</v>
      </c>
      <c r="AA489" s="5">
        <f t="shared" si="132"/>
        <v>3761475.285060015</v>
      </c>
      <c r="AB489" s="3">
        <f>Assumptions!$E$45</f>
        <v>6.9899151946608562E-3</v>
      </c>
      <c r="AC489" s="5">
        <f t="shared" si="133"/>
        <v>3790609.3113211961</v>
      </c>
      <c r="AD489" s="5">
        <f>AC489*Assumptions!$E$43</f>
        <v>3394.7768272305702</v>
      </c>
      <c r="AE489" s="2">
        <f>AD489*Assumptions!$D$44*-1</f>
        <v>-509.2165240845855</v>
      </c>
      <c r="AF489" s="2">
        <f>AC489*Assumptions!$E$46*-1</f>
        <v>-126.33048479450335</v>
      </c>
      <c r="AG489" s="22">
        <f t="shared" si="134"/>
        <v>3789973.7643123171</v>
      </c>
      <c r="AH489" s="5">
        <f>Model_30y[[#This Row],[Mortgage Payment]]+Model_30y[[#This Row],[Total Upkeep]]+Model_30y[[#This Row],[Monthly Investment]]</f>
        <v>-8340.3503030470656</v>
      </c>
      <c r="AI489" s="5">
        <f>Model_Renter!D489*-1</f>
        <v>11970.959445776649</v>
      </c>
      <c r="AJ489" s="5">
        <f t="shared" si="135"/>
        <v>3630.6091427295833</v>
      </c>
    </row>
    <row r="490" spans="1:36" x14ac:dyDescent="0.25">
      <c r="A490" s="17">
        <f t="shared" si="130"/>
        <v>488</v>
      </c>
      <c r="B490" s="17">
        <f t="shared" si="126"/>
        <v>41</v>
      </c>
      <c r="C490" s="23">
        <f>IFERROR(IPMT(Assumptions!$D$16/12,Model_30y!A490, 360,Assumptions!$D$8), 0)</f>
        <v>0</v>
      </c>
      <c r="D490" s="2">
        <f>IFERROR(PPMT(Assumptions!$D$16/12, Model_30y!A490, 360, Assumptions!$D$8), 0)</f>
        <v>0</v>
      </c>
      <c r="E490" s="2">
        <f t="shared" si="120"/>
        <v>0</v>
      </c>
      <c r="F490" s="2">
        <f>IF(I489&gt;1, Assumptions!$E$18, 0)*-1</f>
        <v>0</v>
      </c>
      <c r="G490" s="24">
        <f t="shared" si="121"/>
        <v>1</v>
      </c>
      <c r="H490" s="20">
        <f t="shared" si="127"/>
        <v>339999.99999999994</v>
      </c>
      <c r="I490" s="2">
        <f>MAX(Assumptions!$D$8-SUM(Model_30y!H490), 0)</f>
        <v>5.8207660913467407E-11</v>
      </c>
      <c r="J490" s="2">
        <f>J489*(1+(Assumptions!$E$51))</f>
        <v>3090915.2140516504</v>
      </c>
      <c r="K490" s="22">
        <f t="shared" si="122"/>
        <v>3090915.2140516504</v>
      </c>
      <c r="L490" s="5">
        <f t="shared" si="128"/>
        <v>424999.99999999971</v>
      </c>
      <c r="M490" s="63">
        <f>L490/Assumptions!$D$6</f>
        <v>0.99999999999999933</v>
      </c>
      <c r="N490" s="24">
        <f t="shared" si="136"/>
        <v>0</v>
      </c>
      <c r="O490" s="5">
        <f>N490*Assumptions!$E$25*-1</f>
        <v>0</v>
      </c>
      <c r="P490" s="20">
        <f>Assumptions!$E$35*J490*-1</f>
        <v>-6366.7792649123285</v>
      </c>
      <c r="Q490" s="5">
        <f>J490*Assumptions!$E$36*-1</f>
        <v>-2564.0319782682704</v>
      </c>
      <c r="R490" s="5">
        <f>(R478+(Model_30y!R478*Assumptions!$D$51))</f>
        <v>-2287.4096657144996</v>
      </c>
      <c r="S490" s="5">
        <f>S478+(S478*Assumptions!$D$51)</f>
        <v>0</v>
      </c>
      <c r="T490" s="5">
        <f t="shared" si="131"/>
        <v>0</v>
      </c>
      <c r="U490" s="22">
        <f t="shared" si="123"/>
        <v>-11218.220908895099</v>
      </c>
      <c r="V490" s="5">
        <f>MAX(Assumptions!$E$18:$E$19)-U490</f>
        <v>14059.853920693795</v>
      </c>
      <c r="W490" s="5">
        <f t="shared" si="124"/>
        <v>0</v>
      </c>
      <c r="X490" s="5">
        <f t="shared" si="129"/>
        <v>-11218.220908895099</v>
      </c>
      <c r="Y490" s="5">
        <f>C490*Assumptions!$D$44*-1</f>
        <v>0</v>
      </c>
      <c r="Z490" s="5">
        <f t="shared" si="125"/>
        <v>2841.6330117986963</v>
      </c>
      <c r="AA490" s="5">
        <f t="shared" si="132"/>
        <v>3789973.7643123171</v>
      </c>
      <c r="AB490" s="3">
        <f>Assumptions!$E$45</f>
        <v>6.9899151946608562E-3</v>
      </c>
      <c r="AC490" s="5">
        <f t="shared" si="133"/>
        <v>3819306.9925266486</v>
      </c>
      <c r="AD490" s="5">
        <f>AC490*Assumptions!$E$43</f>
        <v>3420.4777674093839</v>
      </c>
      <c r="AE490" s="2">
        <f>AD490*Assumptions!$D$44*-1</f>
        <v>-513.07166511140758</v>
      </c>
      <c r="AF490" s="2">
        <f>AC490*Assumptions!$E$46*-1</f>
        <v>-127.28689883810715</v>
      </c>
      <c r="AG490" s="22">
        <f t="shared" si="134"/>
        <v>3818666.6339626992</v>
      </c>
      <c r="AH490" s="5">
        <f>Model_30y[[#This Row],[Mortgage Payment]]+Model_30y[[#This Row],[Total Upkeep]]+Model_30y[[#This Row],[Monthly Investment]]</f>
        <v>-8376.5878970964022</v>
      </c>
      <c r="AI490" s="5">
        <f>Model_Renter!D490*-1</f>
        <v>11970.959445776649</v>
      </c>
      <c r="AJ490" s="5">
        <f t="shared" si="135"/>
        <v>3594.3715486802466</v>
      </c>
    </row>
    <row r="491" spans="1:36" x14ac:dyDescent="0.25">
      <c r="A491" s="17">
        <f t="shared" si="130"/>
        <v>489</v>
      </c>
      <c r="B491" s="17">
        <f t="shared" si="126"/>
        <v>41</v>
      </c>
      <c r="C491" s="23">
        <f>IFERROR(IPMT(Assumptions!$D$16/12,Model_30y!A491, 360,Assumptions!$D$8), 0)</f>
        <v>0</v>
      </c>
      <c r="D491" s="2">
        <f>IFERROR(PPMT(Assumptions!$D$16/12, Model_30y!A491, 360, Assumptions!$D$8), 0)</f>
        <v>0</v>
      </c>
      <c r="E491" s="2">
        <f t="shared" si="120"/>
        <v>0</v>
      </c>
      <c r="F491" s="2">
        <f>IF(I490&gt;1, Assumptions!$E$18, 0)*-1</f>
        <v>0</v>
      </c>
      <c r="G491" s="24">
        <f t="shared" si="121"/>
        <v>1</v>
      </c>
      <c r="H491" s="20">
        <f t="shared" si="127"/>
        <v>339999.99999999994</v>
      </c>
      <c r="I491" s="2">
        <f>MAX(Assumptions!$D$8-SUM(Model_30y!H491), 0)</f>
        <v>5.8207660913467407E-11</v>
      </c>
      <c r="J491" s="2">
        <f>J490*(1+(Assumptions!$E$51))</f>
        <v>3103507.985238459</v>
      </c>
      <c r="K491" s="22">
        <f t="shared" si="122"/>
        <v>3103507.985238459</v>
      </c>
      <c r="L491" s="5">
        <f t="shared" si="128"/>
        <v>424999.99999999971</v>
      </c>
      <c r="M491" s="63">
        <f>L491/Assumptions!$D$6</f>
        <v>0.99999999999999933</v>
      </c>
      <c r="N491" s="24">
        <f t="shared" si="136"/>
        <v>0</v>
      </c>
      <c r="O491" s="5">
        <f>N491*Assumptions!$E$25*-1</f>
        <v>0</v>
      </c>
      <c r="P491" s="20">
        <f>Assumptions!$E$35*J491*-1</f>
        <v>-6392.7183117407476</v>
      </c>
      <c r="Q491" s="5">
        <f>J491*Assumptions!$E$36*-1</f>
        <v>-2574.4781619329683</v>
      </c>
      <c r="R491" s="5">
        <f>(R479+(Model_30y!R479*Assumptions!$D$51))</f>
        <v>-2287.4096657144996</v>
      </c>
      <c r="S491" s="5">
        <f>S479+(S479*Assumptions!$D$51)</f>
        <v>0</v>
      </c>
      <c r="T491" s="5">
        <f t="shared" si="131"/>
        <v>0</v>
      </c>
      <c r="U491" s="22">
        <f t="shared" si="123"/>
        <v>-11254.606139388216</v>
      </c>
      <c r="V491" s="5">
        <f>MAX(Assumptions!$E$18:$E$19)-U491</f>
        <v>14096.239151186912</v>
      </c>
      <c r="W491" s="5">
        <f t="shared" si="124"/>
        <v>0</v>
      </c>
      <c r="X491" s="5">
        <f t="shared" si="129"/>
        <v>-11254.606139388216</v>
      </c>
      <c r="Y491" s="5">
        <f>C491*Assumptions!$D$44*-1</f>
        <v>0</v>
      </c>
      <c r="Z491" s="5">
        <f t="shared" si="125"/>
        <v>2841.6330117986963</v>
      </c>
      <c r="AA491" s="5">
        <f t="shared" si="132"/>
        <v>3818666.6339626992</v>
      </c>
      <c r="AB491" s="3">
        <f>Assumptions!$E$45</f>
        <v>6.9899151946608562E-3</v>
      </c>
      <c r="AC491" s="5">
        <f t="shared" si="133"/>
        <v>3848200.4229025785</v>
      </c>
      <c r="AD491" s="5">
        <f>AC491*Assumptions!$E$43</f>
        <v>3446.3540157493157</v>
      </c>
      <c r="AE491" s="2">
        <f>AD491*Assumptions!$D$44*-1</f>
        <v>-516.95310236239732</v>
      </c>
      <c r="AF491" s="2">
        <f>AC491*Assumptions!$E$46*-1</f>
        <v>-128.2498366581209</v>
      </c>
      <c r="AG491" s="22">
        <f t="shared" si="134"/>
        <v>3847555.219963558</v>
      </c>
      <c r="AH491" s="5">
        <f>Model_30y[[#This Row],[Mortgage Payment]]+Model_30y[[#This Row],[Total Upkeep]]+Model_30y[[#This Row],[Monthly Investment]]</f>
        <v>-8412.9731275895192</v>
      </c>
      <c r="AI491" s="5">
        <f>Model_Renter!D491*-1</f>
        <v>11970.959445776649</v>
      </c>
      <c r="AJ491" s="5">
        <f t="shared" si="135"/>
        <v>3557.9863181871297</v>
      </c>
    </row>
    <row r="492" spans="1:36" x14ac:dyDescent="0.25">
      <c r="A492" s="17">
        <f t="shared" si="130"/>
        <v>490</v>
      </c>
      <c r="B492" s="17">
        <f t="shared" si="126"/>
        <v>41</v>
      </c>
      <c r="C492" s="23">
        <f>IFERROR(IPMT(Assumptions!$D$16/12,Model_30y!A492, 360,Assumptions!$D$8), 0)</f>
        <v>0</v>
      </c>
      <c r="D492" s="2">
        <f>IFERROR(PPMT(Assumptions!$D$16/12, Model_30y!A492, 360, Assumptions!$D$8), 0)</f>
        <v>0</v>
      </c>
      <c r="E492" s="2">
        <f t="shared" si="120"/>
        <v>0</v>
      </c>
      <c r="F492" s="2">
        <f>IF(I491&gt;1, Assumptions!$E$18, 0)*-1</f>
        <v>0</v>
      </c>
      <c r="G492" s="24">
        <f t="shared" si="121"/>
        <v>1</v>
      </c>
      <c r="H492" s="20">
        <f t="shared" si="127"/>
        <v>339999.99999999994</v>
      </c>
      <c r="I492" s="2">
        <f>MAX(Assumptions!$D$8-SUM(Model_30y!H492), 0)</f>
        <v>5.8207660913467407E-11</v>
      </c>
      <c r="J492" s="2">
        <f>J491*(1+(Assumptions!$E$51))</f>
        <v>3116152.0609338614</v>
      </c>
      <c r="K492" s="22">
        <f t="shared" si="122"/>
        <v>3116152.0609338614</v>
      </c>
      <c r="L492" s="5">
        <f t="shared" si="128"/>
        <v>424999.99999999971</v>
      </c>
      <c r="M492" s="63">
        <f>L492/Assumptions!$D$6</f>
        <v>0.99999999999999933</v>
      </c>
      <c r="N492" s="24">
        <f t="shared" si="136"/>
        <v>0</v>
      </c>
      <c r="O492" s="5">
        <f>N492*Assumptions!$E$25*-1</f>
        <v>0</v>
      </c>
      <c r="P492" s="20">
        <f>Assumptions!$E$35*J492*-1</f>
        <v>-6418.7630374567743</v>
      </c>
      <c r="Q492" s="5">
        <f>J492*Assumptions!$E$36*-1</f>
        <v>-2584.9669046429826</v>
      </c>
      <c r="R492" s="5">
        <f>(R480+(Model_30y!R480*Assumptions!$D$51))</f>
        <v>-2287.4096657144996</v>
      </c>
      <c r="S492" s="5">
        <f>S480+(S480*Assumptions!$D$51)</f>
        <v>0</v>
      </c>
      <c r="T492" s="5">
        <f t="shared" si="131"/>
        <v>0</v>
      </c>
      <c r="U492" s="22">
        <f t="shared" si="123"/>
        <v>-11291.139607814257</v>
      </c>
      <c r="V492" s="5">
        <f>MAX(Assumptions!$E$18:$E$19)-U492</f>
        <v>14132.772619612953</v>
      </c>
      <c r="W492" s="5">
        <f t="shared" si="124"/>
        <v>0</v>
      </c>
      <c r="X492" s="5">
        <f t="shared" si="129"/>
        <v>-11291.139607814257</v>
      </c>
      <c r="Y492" s="5">
        <f>C492*Assumptions!$D$44*-1</f>
        <v>0</v>
      </c>
      <c r="Z492" s="5">
        <f t="shared" si="125"/>
        <v>2841.6330117986963</v>
      </c>
      <c r="AA492" s="5">
        <f t="shared" si="132"/>
        <v>3847555.219963558</v>
      </c>
      <c r="AB492" s="3">
        <f>Assumptions!$E$45</f>
        <v>6.9899151946608562E-3</v>
      </c>
      <c r="AC492" s="5">
        <f t="shared" si="133"/>
        <v>3877290.9376696767</v>
      </c>
      <c r="AD492" s="5">
        <f>AC492*Assumptions!$E$43</f>
        <v>3472.4067680413036</v>
      </c>
      <c r="AE492" s="2">
        <f>AD492*Assumptions!$D$44*-1</f>
        <v>-520.86101520619548</v>
      </c>
      <c r="AF492" s="2">
        <f>AC492*Assumptions!$E$46*-1</f>
        <v>-129.21934275374338</v>
      </c>
      <c r="AG492" s="22">
        <f t="shared" si="134"/>
        <v>3876640.8573117168</v>
      </c>
      <c r="AH492" s="5">
        <f>Model_30y[[#This Row],[Mortgage Payment]]+Model_30y[[#This Row],[Total Upkeep]]+Model_30y[[#This Row],[Monthly Investment]]</f>
        <v>-8449.5065960155607</v>
      </c>
      <c r="AI492" s="5">
        <f>Model_Renter!D492*-1</f>
        <v>11970.959445776649</v>
      </c>
      <c r="AJ492" s="5">
        <f t="shared" si="135"/>
        <v>3521.4528497610881</v>
      </c>
    </row>
    <row r="493" spans="1:36" x14ac:dyDescent="0.25">
      <c r="A493" s="17">
        <f t="shared" si="130"/>
        <v>491</v>
      </c>
      <c r="B493" s="17">
        <f t="shared" si="126"/>
        <v>41</v>
      </c>
      <c r="C493" s="23">
        <f>IFERROR(IPMT(Assumptions!$D$16/12,Model_30y!A493, 360,Assumptions!$D$8), 0)</f>
        <v>0</v>
      </c>
      <c r="D493" s="2">
        <f>IFERROR(PPMT(Assumptions!$D$16/12, Model_30y!A493, 360, Assumptions!$D$8), 0)</f>
        <v>0</v>
      </c>
      <c r="E493" s="2">
        <f t="shared" si="120"/>
        <v>0</v>
      </c>
      <c r="F493" s="2">
        <f>IF(I492&gt;1, Assumptions!$E$18, 0)*-1</f>
        <v>0</v>
      </c>
      <c r="G493" s="24">
        <f t="shared" si="121"/>
        <v>1</v>
      </c>
      <c r="H493" s="20">
        <f t="shared" si="127"/>
        <v>339999.99999999994</v>
      </c>
      <c r="I493" s="2">
        <f>MAX(Assumptions!$D$8-SUM(Model_30y!H493), 0)</f>
        <v>5.8207660913467407E-11</v>
      </c>
      <c r="J493" s="2">
        <f>J492*(1+(Assumptions!$E$51))</f>
        <v>3128847.6501587769</v>
      </c>
      <c r="K493" s="22">
        <f t="shared" si="122"/>
        <v>3128847.6501587769</v>
      </c>
      <c r="L493" s="5">
        <f t="shared" si="128"/>
        <v>424999.99999999971</v>
      </c>
      <c r="M493" s="63">
        <f>L493/Assumptions!$D$6</f>
        <v>0.99999999999999933</v>
      </c>
      <c r="N493" s="24">
        <f t="shared" si="136"/>
        <v>0</v>
      </c>
      <c r="O493" s="5">
        <f>N493*Assumptions!$E$25*-1</f>
        <v>0</v>
      </c>
      <c r="P493" s="20">
        <f>Assumptions!$E$35*J493*-1</f>
        <v>-6444.9138726092797</v>
      </c>
      <c r="Q493" s="5">
        <f>J493*Assumptions!$E$36*-1</f>
        <v>-2595.4983797891323</v>
      </c>
      <c r="R493" s="5">
        <f>(R481+(Model_30y!R481*Assumptions!$D$51))</f>
        <v>-2287.4096657144996</v>
      </c>
      <c r="S493" s="5">
        <f>S481+(S481*Assumptions!$D$51)</f>
        <v>0</v>
      </c>
      <c r="T493" s="5">
        <f t="shared" si="131"/>
        <v>0</v>
      </c>
      <c r="U493" s="22">
        <f t="shared" si="123"/>
        <v>-11327.821918112912</v>
      </c>
      <c r="V493" s="5">
        <f>MAX(Assumptions!$E$18:$E$19)-U493</f>
        <v>14169.454929911608</v>
      </c>
      <c r="W493" s="5">
        <f t="shared" si="124"/>
        <v>0</v>
      </c>
      <c r="X493" s="5">
        <f t="shared" si="129"/>
        <v>-11327.821918112912</v>
      </c>
      <c r="Y493" s="5">
        <f>C493*Assumptions!$D$44*-1</f>
        <v>0</v>
      </c>
      <c r="Z493" s="5">
        <f t="shared" si="125"/>
        <v>2841.6330117986963</v>
      </c>
      <c r="AA493" s="5">
        <f t="shared" si="132"/>
        <v>3876640.8573117168</v>
      </c>
      <c r="AB493" s="3">
        <f>Assumptions!$E$45</f>
        <v>6.9899151946608562E-3</v>
      </c>
      <c r="AC493" s="5">
        <f t="shared" si="133"/>
        <v>3906579.881156282</v>
      </c>
      <c r="AD493" s="5">
        <f>AC493*Assumptions!$E$43</f>
        <v>3498.6372282328707</v>
      </c>
      <c r="AE493" s="2">
        <f>AD493*Assumptions!$D$44*-1</f>
        <v>-524.79558423493063</v>
      </c>
      <c r="AF493" s="2">
        <f>AC493*Assumptions!$E$46*-1</f>
        <v>-130.19546192770594</v>
      </c>
      <c r="AG493" s="22">
        <f t="shared" si="134"/>
        <v>3905924.8901101192</v>
      </c>
      <c r="AH493" s="5">
        <f>Model_30y[[#This Row],[Mortgage Payment]]+Model_30y[[#This Row],[Total Upkeep]]+Model_30y[[#This Row],[Monthly Investment]]</f>
        <v>-8486.1889063142153</v>
      </c>
      <c r="AI493" s="5">
        <f>Model_Renter!D493*-1</f>
        <v>11970.959445776649</v>
      </c>
      <c r="AJ493" s="5">
        <f t="shared" si="135"/>
        <v>3484.7705394624336</v>
      </c>
    </row>
    <row r="494" spans="1:36" x14ac:dyDescent="0.25">
      <c r="A494" s="17">
        <f t="shared" si="130"/>
        <v>492</v>
      </c>
      <c r="B494" s="17">
        <f t="shared" si="126"/>
        <v>41</v>
      </c>
      <c r="C494" s="23">
        <f>IFERROR(IPMT(Assumptions!$D$16/12,Model_30y!A494, 360,Assumptions!$D$8), 0)</f>
        <v>0</v>
      </c>
      <c r="D494" s="2">
        <f>IFERROR(PPMT(Assumptions!$D$16/12, Model_30y!A494, 360, Assumptions!$D$8), 0)</f>
        <v>0</v>
      </c>
      <c r="E494" s="2">
        <f t="shared" si="120"/>
        <v>0</v>
      </c>
      <c r="F494" s="2">
        <f>IF(I493&gt;1, Assumptions!$E$18, 0)*-1</f>
        <v>0</v>
      </c>
      <c r="G494" s="24">
        <f t="shared" si="121"/>
        <v>1</v>
      </c>
      <c r="H494" s="20">
        <f t="shared" si="127"/>
        <v>339999.99999999994</v>
      </c>
      <c r="I494" s="2">
        <f>MAX(Assumptions!$D$8-SUM(Model_30y!H494), 0)</f>
        <v>5.8207660913467407E-11</v>
      </c>
      <c r="J494" s="2">
        <f>J493*(1+(Assumptions!$E$51))</f>
        <v>3141594.9627857013</v>
      </c>
      <c r="K494" s="22">
        <f t="shared" si="122"/>
        <v>3141594.9627857013</v>
      </c>
      <c r="L494" s="5">
        <f t="shared" si="128"/>
        <v>424999.99999999971</v>
      </c>
      <c r="M494" s="63">
        <f>L494/Assumptions!$D$6</f>
        <v>0.99999999999999933</v>
      </c>
      <c r="N494" s="24">
        <f t="shared" si="136"/>
        <v>0</v>
      </c>
      <c r="O494" s="5">
        <f>N494*Assumptions!$E$25*-1</f>
        <v>0</v>
      </c>
      <c r="P494" s="20">
        <f>Assumptions!$E$35*J494*-1</f>
        <v>-6471.1712495012434</v>
      </c>
      <c r="Q494" s="5">
        <f>J494*Assumptions!$E$36*-1</f>
        <v>-2606.0727614686521</v>
      </c>
      <c r="R494" s="5">
        <f>(R482+(Model_30y!R482*Assumptions!$D$51))</f>
        <v>-2287.4096657144996</v>
      </c>
      <c r="S494" s="5">
        <f>S482+(S482*Assumptions!$D$51)</f>
        <v>0</v>
      </c>
      <c r="T494" s="5">
        <f t="shared" si="131"/>
        <v>0</v>
      </c>
      <c r="U494" s="22">
        <f t="shared" si="123"/>
        <v>-11364.653676684395</v>
      </c>
      <c r="V494" s="5">
        <f>MAX(Assumptions!$E$18:$E$19)-U494</f>
        <v>14206.286688483091</v>
      </c>
      <c r="W494" s="5">
        <f t="shared" si="124"/>
        <v>0</v>
      </c>
      <c r="X494" s="5">
        <f t="shared" si="129"/>
        <v>-11364.653676684395</v>
      </c>
      <c r="Y494" s="5">
        <f>C494*Assumptions!$D$44*-1</f>
        <v>0</v>
      </c>
      <c r="Z494" s="5">
        <f t="shared" si="125"/>
        <v>2841.6330117986963</v>
      </c>
      <c r="AA494" s="5">
        <f t="shared" si="132"/>
        <v>3905924.8901101192</v>
      </c>
      <c r="AB494" s="3">
        <f>Assumptions!$E$45</f>
        <v>6.9899151946608562E-3</v>
      </c>
      <c r="AC494" s="5">
        <f t="shared" si="133"/>
        <v>3936068.6068605026</v>
      </c>
      <c r="AD494" s="5">
        <f>AC494*Assumptions!$E$43</f>
        <v>3525.0466084837608</v>
      </c>
      <c r="AE494" s="2">
        <f>AD494*Assumptions!$D$44*-1</f>
        <v>-528.75699127256405</v>
      </c>
      <c r="AF494" s="2">
        <f>AC494*Assumptions!$E$46*-1</f>
        <v>-131.17823928834295</v>
      </c>
      <c r="AG494" s="22">
        <f t="shared" si="134"/>
        <v>3935408.6716299416</v>
      </c>
      <c r="AH494" s="5">
        <f>Model_30y[[#This Row],[Mortgage Payment]]+Model_30y[[#This Row],[Total Upkeep]]+Model_30y[[#This Row],[Monthly Investment]]</f>
        <v>-8523.0206648856984</v>
      </c>
      <c r="AI494" s="5">
        <f>Model_Renter!D494*-1</f>
        <v>11970.959445776649</v>
      </c>
      <c r="AJ494" s="5">
        <f t="shared" si="135"/>
        <v>3447.9387808909505</v>
      </c>
    </row>
    <row r="495" spans="1:36" x14ac:dyDescent="0.25">
      <c r="A495" s="17">
        <f t="shared" si="130"/>
        <v>493</v>
      </c>
      <c r="B495" s="17">
        <f t="shared" si="126"/>
        <v>42</v>
      </c>
      <c r="C495" s="23">
        <f>IFERROR(IPMT(Assumptions!$D$16/12,Model_30y!A495, 360,Assumptions!$D$8), 0)</f>
        <v>0</v>
      </c>
      <c r="D495" s="2">
        <f>IFERROR(PPMT(Assumptions!$D$16/12, Model_30y!A495, 360, Assumptions!$D$8), 0)</f>
        <v>0</v>
      </c>
      <c r="E495" s="2">
        <f t="shared" si="120"/>
        <v>0</v>
      </c>
      <c r="F495" s="2">
        <f>IF(I494&gt;1, Assumptions!$E$18, 0)*-1</f>
        <v>0</v>
      </c>
      <c r="G495" s="24">
        <f t="shared" si="121"/>
        <v>1</v>
      </c>
      <c r="H495" s="20">
        <f t="shared" si="127"/>
        <v>339999.99999999994</v>
      </c>
      <c r="I495" s="2">
        <f>MAX(Assumptions!$D$8-SUM(Model_30y!H495), 0)</f>
        <v>5.8207660913467407E-11</v>
      </c>
      <c r="J495" s="2">
        <f>J494*(1+(Assumptions!$E$51))</f>
        <v>3154394.2095421762</v>
      </c>
      <c r="K495" s="22">
        <f t="shared" si="122"/>
        <v>3154394.2095421762</v>
      </c>
      <c r="L495" s="5">
        <f t="shared" si="128"/>
        <v>424999.99999999971</v>
      </c>
      <c r="M495" s="63">
        <f>L495/Assumptions!$D$6</f>
        <v>0.99999999999999933</v>
      </c>
      <c r="N495" s="24">
        <f t="shared" si="136"/>
        <v>0</v>
      </c>
      <c r="O495" s="5">
        <f>N495*Assumptions!$E$25*-1</f>
        <v>0</v>
      </c>
      <c r="P495" s="20">
        <f>Assumptions!$E$35*J495*-1</f>
        <v>-6497.5356021968973</v>
      </c>
      <c r="Q495" s="5">
        <f>J495*Assumptions!$E$36*-1</f>
        <v>-2616.6902244880698</v>
      </c>
      <c r="R495" s="5">
        <f>(R483+(Model_30y!R483*Assumptions!$D$51))</f>
        <v>-2401.7801490002248</v>
      </c>
      <c r="S495" s="5">
        <f>S483+(S483*Assumptions!$D$51)</f>
        <v>0</v>
      </c>
      <c r="T495" s="5">
        <f t="shared" si="131"/>
        <v>0</v>
      </c>
      <c r="U495" s="22">
        <f t="shared" si="123"/>
        <v>-11516.005975685192</v>
      </c>
      <c r="V495" s="5">
        <f>MAX(Assumptions!$E$18:$E$19)-U495</f>
        <v>14357.638987483888</v>
      </c>
      <c r="W495" s="5">
        <f t="shared" si="124"/>
        <v>0</v>
      </c>
      <c r="X495" s="5">
        <f t="shared" si="129"/>
        <v>-11516.005975685192</v>
      </c>
      <c r="Y495" s="5">
        <f>C495*Assumptions!$D$44*-1</f>
        <v>0</v>
      </c>
      <c r="Z495" s="5">
        <f t="shared" si="125"/>
        <v>2841.6330117986963</v>
      </c>
      <c r="AA495" s="5">
        <f t="shared" si="132"/>
        <v>3935408.6716299416</v>
      </c>
      <c r="AB495" s="3">
        <f>Assumptions!$E$45</f>
        <v>6.9899151946608562E-3</v>
      </c>
      <c r="AC495" s="5">
        <f t="shared" si="133"/>
        <v>3965758.4775127666</v>
      </c>
      <c r="AD495" s="5">
        <f>AC495*Assumptions!$E$43</f>
        <v>3551.6361292219581</v>
      </c>
      <c r="AE495" s="2">
        <f>AD495*Assumptions!$D$44*-1</f>
        <v>-532.74541938329367</v>
      </c>
      <c r="AF495" s="2">
        <f>AC495*Assumptions!$E$46*-1</f>
        <v>-132.16772025167634</v>
      </c>
      <c r="AG495" s="22">
        <f t="shared" si="134"/>
        <v>3965093.5643731318</v>
      </c>
      <c r="AH495" s="5">
        <f>Model_30y[[#This Row],[Mortgage Payment]]+Model_30y[[#This Row],[Total Upkeep]]+Model_30y[[#This Row],[Monthly Investment]]</f>
        <v>-8674.3729638864952</v>
      </c>
      <c r="AI495" s="5">
        <f>Model_Renter!D495*-1</f>
        <v>12418.673329048697</v>
      </c>
      <c r="AJ495" s="5">
        <f t="shared" si="135"/>
        <v>3744.3003651622021</v>
      </c>
    </row>
    <row r="496" spans="1:36" x14ac:dyDescent="0.25">
      <c r="A496" s="17">
        <f t="shared" si="130"/>
        <v>494</v>
      </c>
      <c r="B496" s="17">
        <f t="shared" si="126"/>
        <v>42</v>
      </c>
      <c r="C496" s="23">
        <f>IFERROR(IPMT(Assumptions!$D$16/12,Model_30y!A496, 360,Assumptions!$D$8), 0)</f>
        <v>0</v>
      </c>
      <c r="D496" s="2">
        <f>IFERROR(PPMT(Assumptions!$D$16/12, Model_30y!A496, 360, Assumptions!$D$8), 0)</f>
        <v>0</v>
      </c>
      <c r="E496" s="2">
        <f t="shared" si="120"/>
        <v>0</v>
      </c>
      <c r="F496" s="2">
        <f>IF(I495&gt;1, Assumptions!$E$18, 0)*-1</f>
        <v>0</v>
      </c>
      <c r="G496" s="24">
        <f t="shared" si="121"/>
        <v>1</v>
      </c>
      <c r="H496" s="20">
        <f t="shared" si="127"/>
        <v>339999.99999999994</v>
      </c>
      <c r="I496" s="2">
        <f>MAX(Assumptions!$D$8-SUM(Model_30y!H496), 0)</f>
        <v>5.8207660913467407E-11</v>
      </c>
      <c r="J496" s="2">
        <f>J495*(1+(Assumptions!$E$51))</f>
        <v>3167245.6020142748</v>
      </c>
      <c r="K496" s="22">
        <f t="shared" si="122"/>
        <v>3167245.6020142748</v>
      </c>
      <c r="L496" s="5">
        <f t="shared" si="128"/>
        <v>424999.99999999971</v>
      </c>
      <c r="M496" s="63">
        <f>L496/Assumptions!$D$6</f>
        <v>0.99999999999999933</v>
      </c>
      <c r="N496" s="24">
        <f t="shared" si="136"/>
        <v>0</v>
      </c>
      <c r="O496" s="5">
        <f>N496*Assumptions!$E$25*-1</f>
        <v>0</v>
      </c>
      <c r="P496" s="20">
        <f>Assumptions!$E$35*J496*-1</f>
        <v>-6524.0073665289101</v>
      </c>
      <c r="Q496" s="5">
        <f>J496*Assumptions!$E$36*-1</f>
        <v>-2627.3509443660969</v>
      </c>
      <c r="R496" s="5">
        <f>(R484+(Model_30y!R484*Assumptions!$D$51))</f>
        <v>-2401.7801490002248</v>
      </c>
      <c r="S496" s="5">
        <f>S484+(S484*Assumptions!$D$51)</f>
        <v>0</v>
      </c>
      <c r="T496" s="5">
        <f t="shared" si="131"/>
        <v>0</v>
      </c>
      <c r="U496" s="22">
        <f t="shared" si="123"/>
        <v>-11553.138459895232</v>
      </c>
      <c r="V496" s="5">
        <f>MAX(Assumptions!$E$18:$E$19)-U496</f>
        <v>14394.771471693928</v>
      </c>
      <c r="W496" s="5">
        <f t="shared" si="124"/>
        <v>0</v>
      </c>
      <c r="X496" s="5">
        <f t="shared" si="129"/>
        <v>-11553.138459895232</v>
      </c>
      <c r="Y496" s="5">
        <f>C496*Assumptions!$D$44*-1</f>
        <v>0</v>
      </c>
      <c r="Z496" s="5">
        <f t="shared" si="125"/>
        <v>2841.6330117986963</v>
      </c>
      <c r="AA496" s="5">
        <f t="shared" si="132"/>
        <v>3965093.5643731318</v>
      </c>
      <c r="AB496" s="3">
        <f>Assumptions!$E$45</f>
        <v>6.9899151946608562E-3</v>
      </c>
      <c r="AC496" s="5">
        <f t="shared" si="133"/>
        <v>3995650.8651387943</v>
      </c>
      <c r="AD496" s="5">
        <f>AC496*Assumptions!$E$43</f>
        <v>3578.4070192000822</v>
      </c>
      <c r="AE496" s="2">
        <f>AD496*Assumptions!$D$44*-1</f>
        <v>-536.76105288001236</v>
      </c>
      <c r="AF496" s="2">
        <f>AC496*Assumptions!$E$46*-1</f>
        <v>-133.16395054351432</v>
      </c>
      <c r="AG496" s="22">
        <f t="shared" si="134"/>
        <v>3994980.9401353709</v>
      </c>
      <c r="AH496" s="5">
        <f>Model_30y[[#This Row],[Mortgage Payment]]+Model_30y[[#This Row],[Total Upkeep]]+Model_30y[[#This Row],[Monthly Investment]]</f>
        <v>-8711.5054480965355</v>
      </c>
      <c r="AI496" s="5">
        <f>Model_Renter!D496*-1</f>
        <v>12418.673329048697</v>
      </c>
      <c r="AJ496" s="5">
        <f t="shared" si="135"/>
        <v>3707.1678809521618</v>
      </c>
    </row>
    <row r="497" spans="1:36" x14ac:dyDescent="0.25">
      <c r="A497" s="17">
        <f t="shared" si="130"/>
        <v>495</v>
      </c>
      <c r="B497" s="17">
        <f t="shared" si="126"/>
        <v>42</v>
      </c>
      <c r="C497" s="23">
        <f>IFERROR(IPMT(Assumptions!$D$16/12,Model_30y!A497, 360,Assumptions!$D$8), 0)</f>
        <v>0</v>
      </c>
      <c r="D497" s="2">
        <f>IFERROR(PPMT(Assumptions!$D$16/12, Model_30y!A497, 360, Assumptions!$D$8), 0)</f>
        <v>0</v>
      </c>
      <c r="E497" s="2">
        <f t="shared" si="120"/>
        <v>0</v>
      </c>
      <c r="F497" s="2">
        <f>IF(I496&gt;1, Assumptions!$E$18, 0)*-1</f>
        <v>0</v>
      </c>
      <c r="G497" s="24">
        <f t="shared" si="121"/>
        <v>1</v>
      </c>
      <c r="H497" s="20">
        <f t="shared" si="127"/>
        <v>339999.99999999994</v>
      </c>
      <c r="I497" s="2">
        <f>MAX(Assumptions!$D$8-SUM(Model_30y!H497), 0)</f>
        <v>5.8207660913467407E-11</v>
      </c>
      <c r="J497" s="2">
        <f>J496*(1+(Assumptions!$E$51))</f>
        <v>3180149.3526500966</v>
      </c>
      <c r="K497" s="22">
        <f t="shared" si="122"/>
        <v>3180149.3526500966</v>
      </c>
      <c r="L497" s="5">
        <f t="shared" si="128"/>
        <v>424999.99999999971</v>
      </c>
      <c r="M497" s="63">
        <f>L497/Assumptions!$D$6</f>
        <v>0.99999999999999933</v>
      </c>
      <c r="N497" s="24">
        <f t="shared" si="136"/>
        <v>0</v>
      </c>
      <c r="O497" s="5">
        <f>N497*Assumptions!$E$25*-1</f>
        <v>0</v>
      </c>
      <c r="P497" s="20">
        <f>Assumptions!$E$35*J497*-1</f>
        <v>-6550.5869801055824</v>
      </c>
      <c r="Q497" s="5">
        <f>J497*Assumptions!$E$36*-1</f>
        <v>-2638.0550973365298</v>
      </c>
      <c r="R497" s="5">
        <f>(R485+(Model_30y!R485*Assumptions!$D$51))</f>
        <v>-2401.7801490002248</v>
      </c>
      <c r="S497" s="5">
        <f>S485+(S485*Assumptions!$D$51)</f>
        <v>0</v>
      </c>
      <c r="T497" s="5">
        <f t="shared" si="131"/>
        <v>0</v>
      </c>
      <c r="U497" s="22">
        <f t="shared" si="123"/>
        <v>-11590.422226442337</v>
      </c>
      <c r="V497" s="5">
        <f>MAX(Assumptions!$E$18:$E$19)-U497</f>
        <v>14432.055238241033</v>
      </c>
      <c r="W497" s="5">
        <f t="shared" si="124"/>
        <v>0</v>
      </c>
      <c r="X497" s="5">
        <f t="shared" si="129"/>
        <v>-11590.422226442337</v>
      </c>
      <c r="Y497" s="5">
        <f>C497*Assumptions!$D$44*-1</f>
        <v>0</v>
      </c>
      <c r="Z497" s="5">
        <f t="shared" si="125"/>
        <v>2841.6330117986963</v>
      </c>
      <c r="AA497" s="5">
        <f t="shared" si="132"/>
        <v>3994980.9401353709</v>
      </c>
      <c r="AB497" s="3">
        <f>Assumptions!$E$45</f>
        <v>6.9899151946608562E-3</v>
      </c>
      <c r="AC497" s="5">
        <f t="shared" si="133"/>
        <v>4025747.1511230026</v>
      </c>
      <c r="AD497" s="5">
        <f>AC497*Assumptions!$E$43</f>
        <v>3605.3605155521723</v>
      </c>
      <c r="AE497" s="2">
        <f>AD497*Assumptions!$D$44*-1</f>
        <v>-540.80407733282584</v>
      </c>
      <c r="AF497" s="2">
        <f>AC497*Assumptions!$E$46*-1</f>
        <v>-134.16697620156449</v>
      </c>
      <c r="AG497" s="22">
        <f t="shared" si="134"/>
        <v>4025072.1800694684</v>
      </c>
      <c r="AH497" s="5">
        <f>Model_30y[[#This Row],[Mortgage Payment]]+Model_30y[[#This Row],[Total Upkeep]]+Model_30y[[#This Row],[Monthly Investment]]</f>
        <v>-8748.7892146436407</v>
      </c>
      <c r="AI497" s="5">
        <f>Model_Renter!D497*-1</f>
        <v>12418.673329048697</v>
      </c>
      <c r="AJ497" s="5">
        <f t="shared" si="135"/>
        <v>3669.8841144050566</v>
      </c>
    </row>
    <row r="498" spans="1:36" x14ac:dyDescent="0.25">
      <c r="A498" s="17">
        <f t="shared" si="130"/>
        <v>496</v>
      </c>
      <c r="B498" s="17">
        <f t="shared" si="126"/>
        <v>42</v>
      </c>
      <c r="C498" s="23">
        <f>IFERROR(IPMT(Assumptions!$D$16/12,Model_30y!A498, 360,Assumptions!$D$8), 0)</f>
        <v>0</v>
      </c>
      <c r="D498" s="2">
        <f>IFERROR(PPMT(Assumptions!$D$16/12, Model_30y!A498, 360, Assumptions!$D$8), 0)</f>
        <v>0</v>
      </c>
      <c r="E498" s="2">
        <f t="shared" si="120"/>
        <v>0</v>
      </c>
      <c r="F498" s="2">
        <f>IF(I497&gt;1, Assumptions!$E$18, 0)*-1</f>
        <v>0</v>
      </c>
      <c r="G498" s="24">
        <f t="shared" si="121"/>
        <v>1</v>
      </c>
      <c r="H498" s="20">
        <f t="shared" si="127"/>
        <v>339999.99999999994</v>
      </c>
      <c r="I498" s="2">
        <f>MAX(Assumptions!$D$8-SUM(Model_30y!H498), 0)</f>
        <v>5.8207660913467407E-11</v>
      </c>
      <c r="J498" s="2">
        <f>J497*(1+(Assumptions!$E$51))</f>
        <v>3193105.6747632823</v>
      </c>
      <c r="K498" s="22">
        <f t="shared" si="122"/>
        <v>3193105.6747632823</v>
      </c>
      <c r="L498" s="5">
        <f t="shared" si="128"/>
        <v>424999.99999999971</v>
      </c>
      <c r="M498" s="63">
        <f>L498/Assumptions!$D$6</f>
        <v>0.99999999999999933</v>
      </c>
      <c r="N498" s="24">
        <f t="shared" si="136"/>
        <v>0</v>
      </c>
      <c r="O498" s="5">
        <f>N498*Assumptions!$E$25*-1</f>
        <v>0</v>
      </c>
      <c r="P498" s="20">
        <f>Assumptions!$E$35*J498*-1</f>
        <v>-6577.2748823180873</v>
      </c>
      <c r="Q498" s="5">
        <f>J498*Assumptions!$E$36*-1</f>
        <v>-2648.802860351163</v>
      </c>
      <c r="R498" s="5">
        <f>(R486+(Model_30y!R486*Assumptions!$D$51))</f>
        <v>-2401.7801490002248</v>
      </c>
      <c r="S498" s="5">
        <f>S486+(S486*Assumptions!$D$51)</f>
        <v>0</v>
      </c>
      <c r="T498" s="5">
        <f t="shared" si="131"/>
        <v>0</v>
      </c>
      <c r="U498" s="22">
        <f t="shared" si="123"/>
        <v>-11627.857891669475</v>
      </c>
      <c r="V498" s="5">
        <f>MAX(Assumptions!$E$18:$E$19)-U498</f>
        <v>14469.490903468171</v>
      </c>
      <c r="W498" s="5">
        <f t="shared" si="124"/>
        <v>0</v>
      </c>
      <c r="X498" s="5">
        <f t="shared" si="129"/>
        <v>-11627.857891669475</v>
      </c>
      <c r="Y498" s="5">
        <f>C498*Assumptions!$D$44*-1</f>
        <v>0</v>
      </c>
      <c r="Z498" s="5">
        <f t="shared" si="125"/>
        <v>2841.6330117986963</v>
      </c>
      <c r="AA498" s="5">
        <f t="shared" si="132"/>
        <v>4025072.1800694684</v>
      </c>
      <c r="AB498" s="3">
        <f>Assumptions!$E$45</f>
        <v>6.9899151946608562E-3</v>
      </c>
      <c r="AC498" s="5">
        <f t="shared" si="133"/>
        <v>4056048.7262723418</v>
      </c>
      <c r="AD498" s="5">
        <f>AC498*Assumptions!$E$43</f>
        <v>3632.4978638508574</v>
      </c>
      <c r="AE498" s="2">
        <f>AD498*Assumptions!$D$44*-1</f>
        <v>-544.87467957762863</v>
      </c>
      <c r="AF498" s="2">
        <f>AC498*Assumptions!$E$46*-1</f>
        <v>-135.17684357756133</v>
      </c>
      <c r="AG498" s="22">
        <f t="shared" si="134"/>
        <v>4055368.6747491867</v>
      </c>
      <c r="AH498" s="5">
        <f>Model_30y[[#This Row],[Mortgage Payment]]+Model_30y[[#This Row],[Total Upkeep]]+Model_30y[[#This Row],[Monthly Investment]]</f>
        <v>-8786.2248798707788</v>
      </c>
      <c r="AI498" s="5">
        <f>Model_Renter!D498*-1</f>
        <v>12418.673329048697</v>
      </c>
      <c r="AJ498" s="5">
        <f t="shared" si="135"/>
        <v>3632.4484491779185</v>
      </c>
    </row>
    <row r="499" spans="1:36" x14ac:dyDescent="0.25">
      <c r="A499" s="17">
        <f t="shared" si="130"/>
        <v>497</v>
      </c>
      <c r="B499" s="17">
        <f t="shared" si="126"/>
        <v>42</v>
      </c>
      <c r="C499" s="23">
        <f>IFERROR(IPMT(Assumptions!$D$16/12,Model_30y!A499, 360,Assumptions!$D$8), 0)</f>
        <v>0</v>
      </c>
      <c r="D499" s="2">
        <f>IFERROR(PPMT(Assumptions!$D$16/12, Model_30y!A499, 360, Assumptions!$D$8), 0)</f>
        <v>0</v>
      </c>
      <c r="E499" s="2">
        <f t="shared" si="120"/>
        <v>0</v>
      </c>
      <c r="F499" s="2">
        <f>IF(I498&gt;1, Assumptions!$E$18, 0)*-1</f>
        <v>0</v>
      </c>
      <c r="G499" s="24">
        <f t="shared" si="121"/>
        <v>1</v>
      </c>
      <c r="H499" s="20">
        <f t="shared" si="127"/>
        <v>339999.99999999994</v>
      </c>
      <c r="I499" s="2">
        <f>MAX(Assumptions!$D$8-SUM(Model_30y!H499), 0)</f>
        <v>5.8207660913467407E-11</v>
      </c>
      <c r="J499" s="2">
        <f>J498*(1+(Assumptions!$E$51))</f>
        <v>3206114.7825365379</v>
      </c>
      <c r="K499" s="22">
        <f t="shared" si="122"/>
        <v>3206114.7825365379</v>
      </c>
      <c r="L499" s="5">
        <f t="shared" si="128"/>
        <v>424999.99999999971</v>
      </c>
      <c r="M499" s="63">
        <f>L499/Assumptions!$D$6</f>
        <v>0.99999999999999933</v>
      </c>
      <c r="N499" s="24">
        <f t="shared" si="136"/>
        <v>0</v>
      </c>
      <c r="O499" s="5">
        <f>N499*Assumptions!$E$25*-1</f>
        <v>0</v>
      </c>
      <c r="P499" s="20">
        <f>Assumptions!$E$35*J499*-1</f>
        <v>-6604.0715143477319</v>
      </c>
      <c r="Q499" s="5">
        <f>J499*Assumptions!$E$36*-1</f>
        <v>-2659.5944110827154</v>
      </c>
      <c r="R499" s="5">
        <f>(R487+(Model_30y!R487*Assumptions!$D$51))</f>
        <v>-2401.7801490002248</v>
      </c>
      <c r="S499" s="5">
        <f>S487+(S487*Assumptions!$D$51)</f>
        <v>0</v>
      </c>
      <c r="T499" s="5">
        <f t="shared" si="131"/>
        <v>0</v>
      </c>
      <c r="U499" s="22">
        <f t="shared" si="123"/>
        <v>-11665.446074430671</v>
      </c>
      <c r="V499" s="5">
        <f>MAX(Assumptions!$E$18:$E$19)-U499</f>
        <v>14507.079086229367</v>
      </c>
      <c r="W499" s="5">
        <f t="shared" si="124"/>
        <v>0</v>
      </c>
      <c r="X499" s="5">
        <f t="shared" si="129"/>
        <v>-11665.446074430671</v>
      </c>
      <c r="Y499" s="5">
        <f>C499*Assumptions!$D$44*-1</f>
        <v>0</v>
      </c>
      <c r="Z499" s="5">
        <f t="shared" si="125"/>
        <v>2841.6330117986963</v>
      </c>
      <c r="AA499" s="5">
        <f t="shared" si="132"/>
        <v>4055368.6747491867</v>
      </c>
      <c r="AB499" s="3">
        <f>Assumptions!$E$45</f>
        <v>6.9899151946608562E-3</v>
      </c>
      <c r="AC499" s="5">
        <f t="shared" si="133"/>
        <v>4086556.9908805666</v>
      </c>
      <c r="AD499" s="5">
        <f>AC499*Assumptions!$E$43</f>
        <v>3659.8203181649164</v>
      </c>
      <c r="AE499" s="2">
        <f>AD499*Assumptions!$D$44*-1</f>
        <v>-548.9730477247374</v>
      </c>
      <c r="AF499" s="2">
        <f>AC499*Assumptions!$E$46*-1</f>
        <v>-136.19359933940814</v>
      </c>
      <c r="AG499" s="22">
        <f t="shared" si="134"/>
        <v>4085871.8242335026</v>
      </c>
      <c r="AH499" s="5">
        <f>Model_30y[[#This Row],[Mortgage Payment]]+Model_30y[[#This Row],[Total Upkeep]]+Model_30y[[#This Row],[Monthly Investment]]</f>
        <v>-8823.8130626319744</v>
      </c>
      <c r="AI499" s="5">
        <f>Model_Renter!D499*-1</f>
        <v>12418.673329048697</v>
      </c>
      <c r="AJ499" s="5">
        <f t="shared" si="135"/>
        <v>3594.8602664167229</v>
      </c>
    </row>
    <row r="500" spans="1:36" x14ac:dyDescent="0.25">
      <c r="A500" s="17">
        <f t="shared" si="130"/>
        <v>498</v>
      </c>
      <c r="B500" s="17">
        <f t="shared" si="126"/>
        <v>42</v>
      </c>
      <c r="C500" s="23">
        <f>IFERROR(IPMT(Assumptions!$D$16/12,Model_30y!A500, 360,Assumptions!$D$8), 0)</f>
        <v>0</v>
      </c>
      <c r="D500" s="2">
        <f>IFERROR(PPMT(Assumptions!$D$16/12, Model_30y!A500, 360, Assumptions!$D$8), 0)</f>
        <v>0</v>
      </c>
      <c r="E500" s="2">
        <f t="shared" si="120"/>
        <v>0</v>
      </c>
      <c r="F500" s="2">
        <f>IF(I499&gt;1, Assumptions!$E$18, 0)*-1</f>
        <v>0</v>
      </c>
      <c r="G500" s="24">
        <f t="shared" si="121"/>
        <v>1</v>
      </c>
      <c r="H500" s="20">
        <f t="shared" si="127"/>
        <v>339999.99999999994</v>
      </c>
      <c r="I500" s="2">
        <f>MAX(Assumptions!$D$8-SUM(Model_30y!H500), 0)</f>
        <v>5.8207660913467407E-11</v>
      </c>
      <c r="J500" s="2">
        <f>J499*(1+(Assumptions!$E$51))</f>
        <v>3219176.8910251767</v>
      </c>
      <c r="K500" s="22">
        <f t="shared" si="122"/>
        <v>3219176.8910251767</v>
      </c>
      <c r="L500" s="5">
        <f t="shared" si="128"/>
        <v>424999.99999999971</v>
      </c>
      <c r="M500" s="63">
        <f>L500/Assumptions!$D$6</f>
        <v>0.99999999999999933</v>
      </c>
      <c r="N500" s="24">
        <f t="shared" si="136"/>
        <v>0</v>
      </c>
      <c r="O500" s="5">
        <f>N500*Assumptions!$E$25*-1</f>
        <v>0</v>
      </c>
      <c r="P500" s="20">
        <f>Assumptions!$E$35*J500*-1</f>
        <v>-6630.9773191732511</v>
      </c>
      <c r="Q500" s="5">
        <f>J500*Assumptions!$E$36*-1</f>
        <v>-2670.4299279277661</v>
      </c>
      <c r="R500" s="5">
        <f>(R488+(Model_30y!R488*Assumptions!$D$51))</f>
        <v>-2401.7801490002248</v>
      </c>
      <c r="S500" s="5">
        <f>S488+(S488*Assumptions!$D$51)</f>
        <v>0</v>
      </c>
      <c r="T500" s="5">
        <f t="shared" si="131"/>
        <v>0</v>
      </c>
      <c r="U500" s="22">
        <f t="shared" si="123"/>
        <v>-11703.187396101242</v>
      </c>
      <c r="V500" s="5">
        <f>MAX(Assumptions!$E$18:$E$19)-U500</f>
        <v>14544.820407899939</v>
      </c>
      <c r="W500" s="5">
        <f t="shared" si="124"/>
        <v>0</v>
      </c>
      <c r="X500" s="5">
        <f t="shared" si="129"/>
        <v>-11703.187396101242</v>
      </c>
      <c r="Y500" s="5">
        <f>C500*Assumptions!$D$44*-1</f>
        <v>0</v>
      </c>
      <c r="Z500" s="5">
        <f t="shared" si="125"/>
        <v>2841.6330117986963</v>
      </c>
      <c r="AA500" s="5">
        <f t="shared" si="132"/>
        <v>4085871.8242335026</v>
      </c>
      <c r="AB500" s="3">
        <f>Assumptions!$E$45</f>
        <v>6.9899151946608562E-3</v>
      </c>
      <c r="AC500" s="5">
        <f t="shared" si="133"/>
        <v>4117273.3547929479</v>
      </c>
      <c r="AD500" s="5">
        <f>AC500*Assumptions!$E$43</f>
        <v>3687.3291411172322</v>
      </c>
      <c r="AE500" s="2">
        <f>AD500*Assumptions!$D$44*-1</f>
        <v>-553.09937116758476</v>
      </c>
      <c r="AF500" s="2">
        <f>AC500*Assumptions!$E$46*-1</f>
        <v>-137.21729047333378</v>
      </c>
      <c r="AG500" s="22">
        <f t="shared" si="134"/>
        <v>4116583.0381313069</v>
      </c>
      <c r="AH500" s="5">
        <f>Model_30y[[#This Row],[Mortgage Payment]]+Model_30y[[#This Row],[Total Upkeep]]+Model_30y[[#This Row],[Monthly Investment]]</f>
        <v>-8861.5543843025462</v>
      </c>
      <c r="AI500" s="5">
        <f>Model_Renter!D500*-1</f>
        <v>12418.673329048697</v>
      </c>
      <c r="AJ500" s="5">
        <f t="shared" si="135"/>
        <v>3557.1189447461511</v>
      </c>
    </row>
    <row r="501" spans="1:36" x14ac:dyDescent="0.25">
      <c r="A501" s="17">
        <f t="shared" si="130"/>
        <v>499</v>
      </c>
      <c r="B501" s="17">
        <f t="shared" si="126"/>
        <v>42</v>
      </c>
      <c r="C501" s="23">
        <f>IFERROR(IPMT(Assumptions!$D$16/12,Model_30y!A501, 360,Assumptions!$D$8), 0)</f>
        <v>0</v>
      </c>
      <c r="D501" s="2">
        <f>IFERROR(PPMT(Assumptions!$D$16/12, Model_30y!A501, 360, Assumptions!$D$8), 0)</f>
        <v>0</v>
      </c>
      <c r="E501" s="2">
        <f t="shared" si="120"/>
        <v>0</v>
      </c>
      <c r="F501" s="2">
        <f>IF(I500&gt;1, Assumptions!$E$18, 0)*-1</f>
        <v>0</v>
      </c>
      <c r="G501" s="24">
        <f t="shared" si="121"/>
        <v>1</v>
      </c>
      <c r="H501" s="20">
        <f t="shared" si="127"/>
        <v>339999.99999999994</v>
      </c>
      <c r="I501" s="2">
        <f>MAX(Assumptions!$D$8-SUM(Model_30y!H501), 0)</f>
        <v>5.8207660913467407E-11</v>
      </c>
      <c r="J501" s="2">
        <f>J500*(1+(Assumptions!$E$51))</f>
        <v>3232292.2161606736</v>
      </c>
      <c r="K501" s="22">
        <f t="shared" si="122"/>
        <v>3232292.2161606736</v>
      </c>
      <c r="L501" s="5">
        <f t="shared" si="128"/>
        <v>424999.99999999971</v>
      </c>
      <c r="M501" s="63">
        <f>L501/Assumptions!$D$6</f>
        <v>0.99999999999999933</v>
      </c>
      <c r="N501" s="24">
        <f t="shared" si="136"/>
        <v>0</v>
      </c>
      <c r="O501" s="5">
        <f>N501*Assumptions!$E$25*-1</f>
        <v>0</v>
      </c>
      <c r="P501" s="20">
        <f>Assumptions!$E$35*J501*-1</f>
        <v>-6657.9927415781285</v>
      </c>
      <c r="Q501" s="5">
        <f>J501*Assumptions!$E$36*-1</f>
        <v>-2681.3095900097028</v>
      </c>
      <c r="R501" s="5">
        <f>(R489+(Model_30y!R489*Assumptions!$D$51))</f>
        <v>-2401.7801490002248</v>
      </c>
      <c r="S501" s="5">
        <f>S489+(S489*Assumptions!$D$51)</f>
        <v>0</v>
      </c>
      <c r="T501" s="5">
        <f t="shared" si="131"/>
        <v>0</v>
      </c>
      <c r="U501" s="22">
        <f t="shared" si="123"/>
        <v>-11741.082480588055</v>
      </c>
      <c r="V501" s="5">
        <f>MAX(Assumptions!$E$18:$E$19)-U501</f>
        <v>14582.715492386751</v>
      </c>
      <c r="W501" s="5">
        <f t="shared" si="124"/>
        <v>0</v>
      </c>
      <c r="X501" s="5">
        <f t="shared" si="129"/>
        <v>-11741.082480588055</v>
      </c>
      <c r="Y501" s="5">
        <f>C501*Assumptions!$D$44*-1</f>
        <v>0</v>
      </c>
      <c r="Z501" s="5">
        <f t="shared" si="125"/>
        <v>2841.6330117986963</v>
      </c>
      <c r="AA501" s="5">
        <f t="shared" si="132"/>
        <v>4116583.0381313069</v>
      </c>
      <c r="AB501" s="3">
        <f>Assumptions!$E$45</f>
        <v>6.9899151946608562E-3</v>
      </c>
      <c r="AC501" s="5">
        <f t="shared" si="133"/>
        <v>4148199.2374714231</v>
      </c>
      <c r="AD501" s="5">
        <f>AC501*Assumptions!$E$43</f>
        <v>3715.0256039431374</v>
      </c>
      <c r="AE501" s="2">
        <f>AD501*Assumptions!$D$44*-1</f>
        <v>-557.25384059147063</v>
      </c>
      <c r="AF501" s="2">
        <f>AC501*Assumptions!$E$46*-1</f>
        <v>-138.2479642860639</v>
      </c>
      <c r="AG501" s="22">
        <f t="shared" si="134"/>
        <v>4147503.7356665456</v>
      </c>
      <c r="AH501" s="5">
        <f>Model_30y[[#This Row],[Mortgage Payment]]+Model_30y[[#This Row],[Total Upkeep]]+Model_30y[[#This Row],[Monthly Investment]]</f>
        <v>-8899.4494687893584</v>
      </c>
      <c r="AI501" s="5">
        <f>Model_Renter!D501*-1</f>
        <v>12418.673329048697</v>
      </c>
      <c r="AJ501" s="5">
        <f t="shared" si="135"/>
        <v>3519.2238602593388</v>
      </c>
    </row>
    <row r="502" spans="1:36" x14ac:dyDescent="0.25">
      <c r="A502" s="17">
        <f t="shared" si="130"/>
        <v>500</v>
      </c>
      <c r="B502" s="17">
        <f t="shared" si="126"/>
        <v>42</v>
      </c>
      <c r="C502" s="23">
        <f>IFERROR(IPMT(Assumptions!$D$16/12,Model_30y!A502, 360,Assumptions!$D$8), 0)</f>
        <v>0</v>
      </c>
      <c r="D502" s="2">
        <f>IFERROR(PPMT(Assumptions!$D$16/12, Model_30y!A502, 360, Assumptions!$D$8), 0)</f>
        <v>0</v>
      </c>
      <c r="E502" s="2">
        <f t="shared" si="120"/>
        <v>0</v>
      </c>
      <c r="F502" s="2">
        <f>IF(I501&gt;1, Assumptions!$E$18, 0)*-1</f>
        <v>0</v>
      </c>
      <c r="G502" s="24">
        <f t="shared" si="121"/>
        <v>1</v>
      </c>
      <c r="H502" s="20">
        <f t="shared" si="127"/>
        <v>339999.99999999994</v>
      </c>
      <c r="I502" s="2">
        <f>MAX(Assumptions!$D$8-SUM(Model_30y!H502), 0)</f>
        <v>5.8207660913467407E-11</v>
      </c>
      <c r="J502" s="2">
        <f>J501*(1+(Assumptions!$E$51))</f>
        <v>3245460.9747542352</v>
      </c>
      <c r="K502" s="22">
        <f t="shared" si="122"/>
        <v>3245460.9747542352</v>
      </c>
      <c r="L502" s="5">
        <f t="shared" si="128"/>
        <v>424999.99999999971</v>
      </c>
      <c r="M502" s="63">
        <f>L502/Assumptions!$D$6</f>
        <v>0.99999999999999933</v>
      </c>
      <c r="N502" s="24">
        <f t="shared" si="136"/>
        <v>0</v>
      </c>
      <c r="O502" s="5">
        <f>N502*Assumptions!$E$25*-1</f>
        <v>0</v>
      </c>
      <c r="P502" s="20">
        <f>Assumptions!$E$35*J502*-1</f>
        <v>-6685.1182281579495</v>
      </c>
      <c r="Q502" s="5">
        <f>J502*Assumptions!$E$36*-1</f>
        <v>-2692.2335771816856</v>
      </c>
      <c r="R502" s="5">
        <f>(R490+(Model_30y!R490*Assumptions!$D$51))</f>
        <v>-2401.7801490002248</v>
      </c>
      <c r="S502" s="5">
        <f>S490+(S490*Assumptions!$D$51)</f>
        <v>0</v>
      </c>
      <c r="T502" s="5">
        <f t="shared" si="131"/>
        <v>0</v>
      </c>
      <c r="U502" s="22">
        <f t="shared" si="123"/>
        <v>-11779.13195433986</v>
      </c>
      <c r="V502" s="5">
        <f>MAX(Assumptions!$E$18:$E$19)-U502</f>
        <v>14620.764966138557</v>
      </c>
      <c r="W502" s="5">
        <f t="shared" si="124"/>
        <v>0</v>
      </c>
      <c r="X502" s="5">
        <f t="shared" si="129"/>
        <v>-11779.13195433986</v>
      </c>
      <c r="Y502" s="5">
        <f>C502*Assumptions!$D$44*-1</f>
        <v>0</v>
      </c>
      <c r="Z502" s="5">
        <f t="shared" si="125"/>
        <v>2841.6330117986963</v>
      </c>
      <c r="AA502" s="5">
        <f t="shared" si="132"/>
        <v>4147503.7356665456</v>
      </c>
      <c r="AB502" s="3">
        <f>Assumptions!$E$45</f>
        <v>6.9899151946608562E-3</v>
      </c>
      <c r="AC502" s="5">
        <f t="shared" si="133"/>
        <v>4179336.0680601927</v>
      </c>
      <c r="AD502" s="5">
        <f>AC502*Assumptions!$E$43</f>
        <v>3742.9109865491646</v>
      </c>
      <c r="AE502" s="2">
        <f>AD502*Assumptions!$D$44*-1</f>
        <v>-561.43664798237467</v>
      </c>
      <c r="AF502" s="2">
        <f>AC502*Assumptions!$E$46*-1</f>
        <v>-139.28566840700708</v>
      </c>
      <c r="AG502" s="22">
        <f t="shared" si="134"/>
        <v>4178635.3457438033</v>
      </c>
      <c r="AH502" s="5">
        <f>Model_30y[[#This Row],[Mortgage Payment]]+Model_30y[[#This Row],[Total Upkeep]]+Model_30y[[#This Row],[Monthly Investment]]</f>
        <v>-8937.4989425411641</v>
      </c>
      <c r="AI502" s="5">
        <f>Model_Renter!D502*-1</f>
        <v>12418.673329048697</v>
      </c>
      <c r="AJ502" s="5">
        <f t="shared" si="135"/>
        <v>3481.1743865075332</v>
      </c>
    </row>
    <row r="503" spans="1:36" x14ac:dyDescent="0.25">
      <c r="A503" s="17">
        <f t="shared" si="130"/>
        <v>501</v>
      </c>
      <c r="B503" s="17">
        <f t="shared" si="126"/>
        <v>42</v>
      </c>
      <c r="C503" s="23">
        <f>IFERROR(IPMT(Assumptions!$D$16/12,Model_30y!A503, 360,Assumptions!$D$8), 0)</f>
        <v>0</v>
      </c>
      <c r="D503" s="2">
        <f>IFERROR(PPMT(Assumptions!$D$16/12, Model_30y!A503, 360, Assumptions!$D$8), 0)</f>
        <v>0</v>
      </c>
      <c r="E503" s="2">
        <f t="shared" si="120"/>
        <v>0</v>
      </c>
      <c r="F503" s="2">
        <f>IF(I502&gt;1, Assumptions!$E$18, 0)*-1</f>
        <v>0</v>
      </c>
      <c r="G503" s="24">
        <f t="shared" si="121"/>
        <v>1</v>
      </c>
      <c r="H503" s="20">
        <f t="shared" si="127"/>
        <v>339999.99999999994</v>
      </c>
      <c r="I503" s="2">
        <f>MAX(Assumptions!$D$8-SUM(Model_30y!H503), 0)</f>
        <v>5.8207660913467407E-11</v>
      </c>
      <c r="J503" s="2">
        <f>J502*(1+(Assumptions!$E$51))</f>
        <v>3258683.3845003839</v>
      </c>
      <c r="K503" s="22">
        <f t="shared" si="122"/>
        <v>3258683.3845003839</v>
      </c>
      <c r="L503" s="5">
        <f t="shared" si="128"/>
        <v>424999.99999999971</v>
      </c>
      <c r="M503" s="63">
        <f>L503/Assumptions!$D$6</f>
        <v>0.99999999999999933</v>
      </c>
      <c r="N503" s="24">
        <f t="shared" si="136"/>
        <v>0</v>
      </c>
      <c r="O503" s="5">
        <f>N503*Assumptions!$E$25*-1</f>
        <v>0</v>
      </c>
      <c r="P503" s="20">
        <f>Assumptions!$E$35*J503*-1</f>
        <v>-6712.354227327789</v>
      </c>
      <c r="Q503" s="5">
        <f>J503*Assumptions!$E$36*-1</f>
        <v>-2703.2020700296184</v>
      </c>
      <c r="R503" s="5">
        <f>(R491+(Model_30y!R491*Assumptions!$D$51))</f>
        <v>-2401.7801490002248</v>
      </c>
      <c r="S503" s="5">
        <f>S491+(S491*Assumptions!$D$51)</f>
        <v>0</v>
      </c>
      <c r="T503" s="5">
        <f t="shared" si="131"/>
        <v>0</v>
      </c>
      <c r="U503" s="22">
        <f t="shared" si="123"/>
        <v>-11817.336446357633</v>
      </c>
      <c r="V503" s="5">
        <f>MAX(Assumptions!$E$18:$E$19)-U503</f>
        <v>14658.969458156329</v>
      </c>
      <c r="W503" s="5">
        <f t="shared" si="124"/>
        <v>0</v>
      </c>
      <c r="X503" s="5">
        <f t="shared" si="129"/>
        <v>-11817.336446357633</v>
      </c>
      <c r="Y503" s="5">
        <f>C503*Assumptions!$D$44*-1</f>
        <v>0</v>
      </c>
      <c r="Z503" s="5">
        <f t="shared" si="125"/>
        <v>2841.6330117986963</v>
      </c>
      <c r="AA503" s="5">
        <f t="shared" si="132"/>
        <v>4178635.3457438033</v>
      </c>
      <c r="AB503" s="3">
        <f>Assumptions!$E$45</f>
        <v>6.9899151946608562E-3</v>
      </c>
      <c r="AC503" s="5">
        <f t="shared" si="133"/>
        <v>4210685.2854517633</v>
      </c>
      <c r="AD503" s="5">
        <f>AC503*Assumptions!$E$43</f>
        <v>3770.9865775721873</v>
      </c>
      <c r="AE503" s="2">
        <f>AD503*Assumptions!$D$44*-1</f>
        <v>-565.64798663582803</v>
      </c>
      <c r="AF503" s="2">
        <f>AC503*Assumptions!$E$46*-1</f>
        <v>-140.3304507904559</v>
      </c>
      <c r="AG503" s="22">
        <f t="shared" si="134"/>
        <v>4209979.3070143368</v>
      </c>
      <c r="AH503" s="5">
        <f>Model_30y[[#This Row],[Mortgage Payment]]+Model_30y[[#This Row],[Total Upkeep]]+Model_30y[[#This Row],[Monthly Investment]]</f>
        <v>-8975.7034345589364</v>
      </c>
      <c r="AI503" s="5">
        <f>Model_Renter!D503*-1</f>
        <v>12418.673329048697</v>
      </c>
      <c r="AJ503" s="5">
        <f t="shared" si="135"/>
        <v>3442.9698944897609</v>
      </c>
    </row>
    <row r="504" spans="1:36" x14ac:dyDescent="0.25">
      <c r="A504" s="17">
        <f t="shared" si="130"/>
        <v>502</v>
      </c>
      <c r="B504" s="17">
        <f t="shared" si="126"/>
        <v>42</v>
      </c>
      <c r="C504" s="23">
        <f>IFERROR(IPMT(Assumptions!$D$16/12,Model_30y!A504, 360,Assumptions!$D$8), 0)</f>
        <v>0</v>
      </c>
      <c r="D504" s="2">
        <f>IFERROR(PPMT(Assumptions!$D$16/12, Model_30y!A504, 360, Assumptions!$D$8), 0)</f>
        <v>0</v>
      </c>
      <c r="E504" s="2">
        <f t="shared" si="120"/>
        <v>0</v>
      </c>
      <c r="F504" s="2">
        <f>IF(I503&gt;1, Assumptions!$E$18, 0)*-1</f>
        <v>0</v>
      </c>
      <c r="G504" s="24">
        <f t="shared" si="121"/>
        <v>1</v>
      </c>
      <c r="H504" s="20">
        <f t="shared" si="127"/>
        <v>339999.99999999994</v>
      </c>
      <c r="I504" s="2">
        <f>MAX(Assumptions!$D$8-SUM(Model_30y!H504), 0)</f>
        <v>5.8207660913467407E-11</v>
      </c>
      <c r="J504" s="2">
        <f>J503*(1+(Assumptions!$E$51))</f>
        <v>3271959.6639805567</v>
      </c>
      <c r="K504" s="22">
        <f t="shared" si="122"/>
        <v>3271959.6639805567</v>
      </c>
      <c r="L504" s="5">
        <f t="shared" si="128"/>
        <v>424999.99999999971</v>
      </c>
      <c r="M504" s="63">
        <f>L504/Assumptions!$D$6</f>
        <v>0.99999999999999933</v>
      </c>
      <c r="N504" s="24">
        <f t="shared" si="136"/>
        <v>0</v>
      </c>
      <c r="O504" s="5">
        <f>N504*Assumptions!$E$25*-1</f>
        <v>0</v>
      </c>
      <c r="P504" s="20">
        <f>Assumptions!$E$35*J504*-1</f>
        <v>-6739.7011893296176</v>
      </c>
      <c r="Q504" s="5">
        <f>J504*Assumptions!$E$36*-1</f>
        <v>-2714.2152498751334</v>
      </c>
      <c r="R504" s="5">
        <f>(R492+(Model_30y!R492*Assumptions!$D$51))</f>
        <v>-2401.7801490002248</v>
      </c>
      <c r="S504" s="5">
        <f>S492+(S492*Assumptions!$D$51)</f>
        <v>0</v>
      </c>
      <c r="T504" s="5">
        <f t="shared" si="131"/>
        <v>0</v>
      </c>
      <c r="U504" s="22">
        <f t="shared" si="123"/>
        <v>-11855.696588204977</v>
      </c>
      <c r="V504" s="5">
        <f>MAX(Assumptions!$E$18:$E$19)-U504</f>
        <v>14697.329600003673</v>
      </c>
      <c r="W504" s="5">
        <f t="shared" si="124"/>
        <v>0</v>
      </c>
      <c r="X504" s="5">
        <f t="shared" si="129"/>
        <v>-11855.696588204977</v>
      </c>
      <c r="Y504" s="5">
        <f>C504*Assumptions!$D$44*-1</f>
        <v>0</v>
      </c>
      <c r="Z504" s="5">
        <f t="shared" si="125"/>
        <v>2841.6330117986963</v>
      </c>
      <c r="AA504" s="5">
        <f t="shared" si="132"/>
        <v>4209979.3070143368</v>
      </c>
      <c r="AB504" s="3">
        <f>Assumptions!$E$45</f>
        <v>6.9899151946608562E-3</v>
      </c>
      <c r="AC504" s="5">
        <f t="shared" si="133"/>
        <v>4242248.338353442</v>
      </c>
      <c r="AD504" s="5">
        <f>AC504*Assumptions!$E$43</f>
        <v>3799.2536744389772</v>
      </c>
      <c r="AE504" s="2">
        <f>AD504*Assumptions!$D$44*-1</f>
        <v>-569.8880511658466</v>
      </c>
      <c r="AF504" s="2">
        <f>AC504*Assumptions!$E$46*-1</f>
        <v>-141.38235971780296</v>
      </c>
      <c r="AG504" s="22">
        <f t="shared" si="134"/>
        <v>4241537.0679425588</v>
      </c>
      <c r="AH504" s="5">
        <f>Model_30y[[#This Row],[Mortgage Payment]]+Model_30y[[#This Row],[Total Upkeep]]+Model_30y[[#This Row],[Monthly Investment]]</f>
        <v>-9014.0635764062808</v>
      </c>
      <c r="AI504" s="5">
        <f>Model_Renter!D504*-1</f>
        <v>12418.673329048697</v>
      </c>
      <c r="AJ504" s="5">
        <f t="shared" si="135"/>
        <v>3404.6097526424164</v>
      </c>
    </row>
    <row r="505" spans="1:36" x14ac:dyDescent="0.25">
      <c r="A505" s="17">
        <f t="shared" si="130"/>
        <v>503</v>
      </c>
      <c r="B505" s="17">
        <f t="shared" si="126"/>
        <v>42</v>
      </c>
      <c r="C505" s="23">
        <f>IFERROR(IPMT(Assumptions!$D$16/12,Model_30y!A505, 360,Assumptions!$D$8), 0)</f>
        <v>0</v>
      </c>
      <c r="D505" s="2">
        <f>IFERROR(PPMT(Assumptions!$D$16/12, Model_30y!A505, 360, Assumptions!$D$8), 0)</f>
        <v>0</v>
      </c>
      <c r="E505" s="2">
        <f t="shared" si="120"/>
        <v>0</v>
      </c>
      <c r="F505" s="2">
        <f>IF(I504&gt;1, Assumptions!$E$18, 0)*-1</f>
        <v>0</v>
      </c>
      <c r="G505" s="24">
        <f t="shared" si="121"/>
        <v>1</v>
      </c>
      <c r="H505" s="20">
        <f t="shared" si="127"/>
        <v>339999.99999999994</v>
      </c>
      <c r="I505" s="2">
        <f>MAX(Assumptions!$D$8-SUM(Model_30y!H505), 0)</f>
        <v>5.8207660913467407E-11</v>
      </c>
      <c r="J505" s="2">
        <f>J504*(1+(Assumptions!$E$51))</f>
        <v>3285290.0326667181</v>
      </c>
      <c r="K505" s="22">
        <f t="shared" si="122"/>
        <v>3285290.0326667181</v>
      </c>
      <c r="L505" s="5">
        <f t="shared" si="128"/>
        <v>424999.99999999971</v>
      </c>
      <c r="M505" s="63">
        <f>L505/Assumptions!$D$6</f>
        <v>0.99999999999999933</v>
      </c>
      <c r="N505" s="24">
        <f t="shared" si="136"/>
        <v>0</v>
      </c>
      <c r="O505" s="5">
        <f>N505*Assumptions!$E$25*-1</f>
        <v>0</v>
      </c>
      <c r="P505" s="20">
        <f>Assumptions!$E$35*J505*-1</f>
        <v>-6767.1595662397485</v>
      </c>
      <c r="Q505" s="5">
        <f>J505*Assumptions!$E$36*-1</f>
        <v>-2725.2732987785912</v>
      </c>
      <c r="R505" s="5">
        <f>(R493+(Model_30y!R493*Assumptions!$D$51))</f>
        <v>-2401.7801490002248</v>
      </c>
      <c r="S505" s="5">
        <f>S493+(S493*Assumptions!$D$51)</f>
        <v>0</v>
      </c>
      <c r="T505" s="5">
        <f t="shared" si="131"/>
        <v>0</v>
      </c>
      <c r="U505" s="22">
        <f t="shared" si="123"/>
        <v>-11894.213014018565</v>
      </c>
      <c r="V505" s="5">
        <f>MAX(Assumptions!$E$18:$E$19)-U505</f>
        <v>14735.846025817262</v>
      </c>
      <c r="W505" s="5">
        <f t="shared" si="124"/>
        <v>0</v>
      </c>
      <c r="X505" s="5">
        <f t="shared" si="129"/>
        <v>-11894.213014018565</v>
      </c>
      <c r="Y505" s="5">
        <f>C505*Assumptions!$D$44*-1</f>
        <v>0</v>
      </c>
      <c r="Z505" s="5">
        <f t="shared" si="125"/>
        <v>2841.6330117986963</v>
      </c>
      <c r="AA505" s="5">
        <f t="shared" si="132"/>
        <v>4241537.0679425588</v>
      </c>
      <c r="AB505" s="3">
        <f>Assumptions!$E$45</f>
        <v>6.9899151946608562E-3</v>
      </c>
      <c r="AC505" s="5">
        <f t="shared" si="133"/>
        <v>4274026.6853542859</v>
      </c>
      <c r="AD505" s="5">
        <f>AC505*Assumptions!$E$43</f>
        <v>3827.7135834261567</v>
      </c>
      <c r="AE505" s="2">
        <f>AD505*Assumptions!$D$44*-1</f>
        <v>-574.15703751392346</v>
      </c>
      <c r="AF505" s="2">
        <f>AC505*Assumptions!$E$46*-1</f>
        <v>-142.44144379977214</v>
      </c>
      <c r="AG505" s="22">
        <f t="shared" si="134"/>
        <v>4273310.0868729725</v>
      </c>
      <c r="AH505" s="5">
        <f>Model_30y[[#This Row],[Mortgage Payment]]+Model_30y[[#This Row],[Total Upkeep]]+Model_30y[[#This Row],[Monthly Investment]]</f>
        <v>-9052.5800022198691</v>
      </c>
      <c r="AI505" s="5">
        <f>Model_Renter!D505*-1</f>
        <v>12418.673329048697</v>
      </c>
      <c r="AJ505" s="5">
        <f t="shared" si="135"/>
        <v>3366.0933268288281</v>
      </c>
    </row>
    <row r="506" spans="1:36" x14ac:dyDescent="0.25">
      <c r="A506" s="17">
        <f t="shared" si="130"/>
        <v>504</v>
      </c>
      <c r="B506" s="17">
        <f t="shared" si="126"/>
        <v>42</v>
      </c>
      <c r="C506" s="23">
        <f>IFERROR(IPMT(Assumptions!$D$16/12,Model_30y!A506, 360,Assumptions!$D$8), 0)</f>
        <v>0</v>
      </c>
      <c r="D506" s="2">
        <f>IFERROR(PPMT(Assumptions!$D$16/12, Model_30y!A506, 360, Assumptions!$D$8), 0)</f>
        <v>0</v>
      </c>
      <c r="E506" s="2">
        <f t="shared" si="120"/>
        <v>0</v>
      </c>
      <c r="F506" s="2">
        <f>IF(I505&gt;1, Assumptions!$E$18, 0)*-1</f>
        <v>0</v>
      </c>
      <c r="G506" s="24">
        <f t="shared" si="121"/>
        <v>1</v>
      </c>
      <c r="H506" s="20">
        <f t="shared" si="127"/>
        <v>339999.99999999994</v>
      </c>
      <c r="I506" s="2">
        <f>MAX(Assumptions!$D$8-SUM(Model_30y!H506), 0)</f>
        <v>5.8207660913467407E-11</v>
      </c>
      <c r="J506" s="2">
        <f>J505*(1+(Assumptions!$E$51))</f>
        <v>3298674.7109249886</v>
      </c>
      <c r="K506" s="22">
        <f t="shared" si="122"/>
        <v>3298674.7109249886</v>
      </c>
      <c r="L506" s="5">
        <f t="shared" si="128"/>
        <v>424999.99999999971</v>
      </c>
      <c r="M506" s="63">
        <f>L506/Assumptions!$D$6</f>
        <v>0.99999999999999933</v>
      </c>
      <c r="N506" s="24">
        <f t="shared" si="136"/>
        <v>0</v>
      </c>
      <c r="O506" s="5">
        <f>N506*Assumptions!$E$25*-1</f>
        <v>0</v>
      </c>
      <c r="P506" s="20">
        <f>Assumptions!$E$35*J506*-1</f>
        <v>-6794.72981197631</v>
      </c>
      <c r="Q506" s="5">
        <f>J506*Assumptions!$E$36*-1</f>
        <v>-2736.3763995420868</v>
      </c>
      <c r="R506" s="5">
        <f>(R494+(Model_30y!R494*Assumptions!$D$51))</f>
        <v>-2401.7801490002248</v>
      </c>
      <c r="S506" s="5">
        <f>S494+(S494*Assumptions!$D$51)</f>
        <v>0</v>
      </c>
      <c r="T506" s="5">
        <f t="shared" si="131"/>
        <v>0</v>
      </c>
      <c r="U506" s="22">
        <f t="shared" si="123"/>
        <v>-11932.88636051862</v>
      </c>
      <c r="V506" s="5">
        <f>MAX(Assumptions!$E$18:$E$19)-U506</f>
        <v>14774.519372317316</v>
      </c>
      <c r="W506" s="5">
        <f t="shared" si="124"/>
        <v>0</v>
      </c>
      <c r="X506" s="5">
        <f t="shared" si="129"/>
        <v>-11932.88636051862</v>
      </c>
      <c r="Y506" s="5">
        <f>C506*Assumptions!$D$44*-1</f>
        <v>0</v>
      </c>
      <c r="Z506" s="5">
        <f t="shared" si="125"/>
        <v>2841.6330117986963</v>
      </c>
      <c r="AA506" s="5">
        <f t="shared" si="132"/>
        <v>4273310.0868729725</v>
      </c>
      <c r="AB506" s="3">
        <f>Assumptions!$E$45</f>
        <v>6.9899151946608562E-3</v>
      </c>
      <c r="AC506" s="5">
        <f t="shared" si="133"/>
        <v>4306021.7949925018</v>
      </c>
      <c r="AD506" s="5">
        <f>AC506*Assumptions!$E$43</f>
        <v>3856.3676197205646</v>
      </c>
      <c r="AE506" s="2">
        <f>AD506*Assumptions!$D$44*-1</f>
        <v>-578.45514295808471</v>
      </c>
      <c r="AF506" s="2">
        <f>AC506*Assumptions!$E$46*-1</f>
        <v>-143.507751978665</v>
      </c>
      <c r="AG506" s="22">
        <f t="shared" si="134"/>
        <v>4305299.8320975648</v>
      </c>
      <c r="AH506" s="5">
        <f>Model_30y[[#This Row],[Mortgage Payment]]+Model_30y[[#This Row],[Total Upkeep]]+Model_30y[[#This Row],[Monthly Investment]]</f>
        <v>-9091.2533487199235</v>
      </c>
      <c r="AI506" s="5">
        <f>Model_Renter!D506*-1</f>
        <v>12418.673329048697</v>
      </c>
      <c r="AJ506" s="5">
        <f t="shared" si="135"/>
        <v>3327.4199803287738</v>
      </c>
    </row>
    <row r="507" spans="1:36" x14ac:dyDescent="0.25">
      <c r="A507" s="17">
        <f t="shared" si="130"/>
        <v>505</v>
      </c>
      <c r="B507" s="17">
        <f t="shared" si="126"/>
        <v>43</v>
      </c>
      <c r="C507" s="23">
        <f>IFERROR(IPMT(Assumptions!$D$16/12,Model_30y!A507, 360,Assumptions!$D$8), 0)</f>
        <v>0</v>
      </c>
      <c r="D507" s="2">
        <f>IFERROR(PPMT(Assumptions!$D$16/12, Model_30y!A507, 360, Assumptions!$D$8), 0)</f>
        <v>0</v>
      </c>
      <c r="E507" s="2">
        <f t="shared" si="120"/>
        <v>0</v>
      </c>
      <c r="F507" s="2">
        <f>IF(I506&gt;1, Assumptions!$E$18, 0)*-1</f>
        <v>0</v>
      </c>
      <c r="G507" s="24">
        <f t="shared" si="121"/>
        <v>1</v>
      </c>
      <c r="H507" s="20">
        <f t="shared" si="127"/>
        <v>339999.99999999994</v>
      </c>
      <c r="I507" s="2">
        <f>MAX(Assumptions!$D$8-SUM(Model_30y!H507), 0)</f>
        <v>5.8207660913467407E-11</v>
      </c>
      <c r="J507" s="2">
        <f>J506*(1+(Assumptions!$E$51))</f>
        <v>3312113.9200192876</v>
      </c>
      <c r="K507" s="22">
        <f t="shared" si="122"/>
        <v>3312113.9200192876</v>
      </c>
      <c r="L507" s="5">
        <f t="shared" si="128"/>
        <v>424999.99999999971</v>
      </c>
      <c r="M507" s="63">
        <f>L507/Assumptions!$D$6</f>
        <v>0.99999999999999933</v>
      </c>
      <c r="N507" s="24">
        <f t="shared" si="136"/>
        <v>0</v>
      </c>
      <c r="O507" s="5">
        <f>N507*Assumptions!$E$25*-1</f>
        <v>0</v>
      </c>
      <c r="P507" s="20">
        <f>Assumptions!$E$35*J507*-1</f>
        <v>-6822.4123823067475</v>
      </c>
      <c r="Q507" s="5">
        <f>J507*Assumptions!$E$36*-1</f>
        <v>-2747.5247357124754</v>
      </c>
      <c r="R507" s="5">
        <f>(R495+(Model_30y!R495*Assumptions!$D$51))</f>
        <v>-2521.869156450236</v>
      </c>
      <c r="S507" s="5">
        <f>S495+(S495*Assumptions!$D$51)</f>
        <v>0</v>
      </c>
      <c r="T507" s="5">
        <f t="shared" si="131"/>
        <v>0</v>
      </c>
      <c r="U507" s="22">
        <f t="shared" si="123"/>
        <v>-12091.806274469458</v>
      </c>
      <c r="V507" s="5">
        <f>MAX(Assumptions!$E$18:$E$19)-U507</f>
        <v>14933.439286268154</v>
      </c>
      <c r="W507" s="5">
        <f t="shared" si="124"/>
        <v>0</v>
      </c>
      <c r="X507" s="5">
        <f t="shared" si="129"/>
        <v>-12091.806274469458</v>
      </c>
      <c r="Y507" s="5">
        <f>C507*Assumptions!$D$44*-1</f>
        <v>0</v>
      </c>
      <c r="Z507" s="5">
        <f t="shared" si="125"/>
        <v>2841.6330117986963</v>
      </c>
      <c r="AA507" s="5">
        <f t="shared" si="132"/>
        <v>4305299.8320975648</v>
      </c>
      <c r="AB507" s="3">
        <f>Assumptions!$E$45</f>
        <v>6.9899151946608562E-3</v>
      </c>
      <c r="AC507" s="5">
        <f t="shared" si="133"/>
        <v>4338235.1458233129</v>
      </c>
      <c r="AD507" s="5">
        <f>AC507*Assumptions!$E$43</f>
        <v>3885.2171074800326</v>
      </c>
      <c r="AE507" s="2">
        <f>AD507*Assumptions!$D$44*-1</f>
        <v>-582.78256612200482</v>
      </c>
      <c r="AF507" s="2">
        <f>AC507*Assumptions!$E$46*-1</f>
        <v>-144.58133353062223</v>
      </c>
      <c r="AG507" s="22">
        <f t="shared" si="134"/>
        <v>4337507.7819236601</v>
      </c>
      <c r="AH507" s="5">
        <f>Model_30y[[#This Row],[Mortgage Payment]]+Model_30y[[#This Row],[Total Upkeep]]+Model_30y[[#This Row],[Monthly Investment]]</f>
        <v>-9250.1732626707617</v>
      </c>
      <c r="AI507" s="5">
        <f>Model_Renter!D507*-1</f>
        <v>12883.131711555119</v>
      </c>
      <c r="AJ507" s="5">
        <f t="shared" si="135"/>
        <v>3632.9584488843575</v>
      </c>
    </row>
    <row r="508" spans="1:36" x14ac:dyDescent="0.25">
      <c r="A508" s="17">
        <f t="shared" si="130"/>
        <v>506</v>
      </c>
      <c r="B508" s="17">
        <f t="shared" si="126"/>
        <v>43</v>
      </c>
      <c r="C508" s="23">
        <f>IFERROR(IPMT(Assumptions!$D$16/12,Model_30y!A508, 360,Assumptions!$D$8), 0)</f>
        <v>0</v>
      </c>
      <c r="D508" s="2">
        <f>IFERROR(PPMT(Assumptions!$D$16/12, Model_30y!A508, 360, Assumptions!$D$8), 0)</f>
        <v>0</v>
      </c>
      <c r="E508" s="2">
        <f t="shared" si="120"/>
        <v>0</v>
      </c>
      <c r="F508" s="2">
        <f>IF(I507&gt;1, Assumptions!$E$18, 0)*-1</f>
        <v>0</v>
      </c>
      <c r="G508" s="24">
        <f t="shared" si="121"/>
        <v>1</v>
      </c>
      <c r="H508" s="20">
        <f t="shared" si="127"/>
        <v>339999.99999999994</v>
      </c>
      <c r="I508" s="2">
        <f>MAX(Assumptions!$D$8-SUM(Model_30y!H508), 0)</f>
        <v>5.8207660913467407E-11</v>
      </c>
      <c r="J508" s="2">
        <f>J507*(1+(Assumptions!$E$51))</f>
        <v>3325607.8821149911</v>
      </c>
      <c r="K508" s="22">
        <f t="shared" si="122"/>
        <v>3325607.8821149911</v>
      </c>
      <c r="L508" s="5">
        <f t="shared" si="128"/>
        <v>424999.99999999971</v>
      </c>
      <c r="M508" s="63">
        <f>L508/Assumptions!$D$6</f>
        <v>0.99999999999999933</v>
      </c>
      <c r="N508" s="24">
        <f t="shared" si="136"/>
        <v>0</v>
      </c>
      <c r="O508" s="5">
        <f>N508*Assumptions!$E$25*-1</f>
        <v>0</v>
      </c>
      <c r="P508" s="20">
        <f>Assumptions!$E$35*J508*-1</f>
        <v>-6850.2077348553603</v>
      </c>
      <c r="Q508" s="5">
        <f>J508*Assumptions!$E$36*-1</f>
        <v>-2758.7184915844036</v>
      </c>
      <c r="R508" s="5">
        <f>(R496+(Model_30y!R496*Assumptions!$D$51))</f>
        <v>-2521.869156450236</v>
      </c>
      <c r="S508" s="5">
        <f>S496+(S496*Assumptions!$D$51)</f>
        <v>0</v>
      </c>
      <c r="T508" s="5">
        <f t="shared" si="131"/>
        <v>0</v>
      </c>
      <c r="U508" s="22">
        <f t="shared" si="123"/>
        <v>-12130.795382889999</v>
      </c>
      <c r="V508" s="5">
        <f>MAX(Assumptions!$E$18:$E$19)-U508</f>
        <v>14972.428394688695</v>
      </c>
      <c r="W508" s="5">
        <f t="shared" si="124"/>
        <v>0</v>
      </c>
      <c r="X508" s="5">
        <f t="shared" si="129"/>
        <v>-12130.795382889999</v>
      </c>
      <c r="Y508" s="5">
        <f>C508*Assumptions!$D$44*-1</f>
        <v>0</v>
      </c>
      <c r="Z508" s="5">
        <f t="shared" si="125"/>
        <v>2841.6330117986963</v>
      </c>
      <c r="AA508" s="5">
        <f t="shared" si="132"/>
        <v>4337507.7819236601</v>
      </c>
      <c r="AB508" s="3">
        <f>Assumptions!$E$45</f>
        <v>6.9899151946608562E-3</v>
      </c>
      <c r="AC508" s="5">
        <f t="shared" si="133"/>
        <v>4370668.2264872864</v>
      </c>
      <c r="AD508" s="5">
        <f>AC508*Assumptions!$E$43</f>
        <v>3914.2633798945803</v>
      </c>
      <c r="AE508" s="2">
        <f>AD508*Assumptions!$D$44*-1</f>
        <v>-587.13950698418705</v>
      </c>
      <c r="AF508" s="2">
        <f>AC508*Assumptions!$E$46*-1</f>
        <v>-145.6622380679012</v>
      </c>
      <c r="AG508" s="22">
        <f t="shared" si="134"/>
        <v>4369935.4247422339</v>
      </c>
      <c r="AH508" s="5">
        <f>Model_30y[[#This Row],[Mortgage Payment]]+Model_30y[[#This Row],[Total Upkeep]]+Model_30y[[#This Row],[Monthly Investment]]</f>
        <v>-9289.1623710913027</v>
      </c>
      <c r="AI508" s="5">
        <f>Model_Renter!D508*-1</f>
        <v>12883.131711555119</v>
      </c>
      <c r="AJ508" s="5">
        <f t="shared" si="135"/>
        <v>3593.9693404638165</v>
      </c>
    </row>
    <row r="509" spans="1:36" x14ac:dyDescent="0.25">
      <c r="A509" s="17">
        <f t="shared" si="130"/>
        <v>507</v>
      </c>
      <c r="B509" s="17">
        <f t="shared" si="126"/>
        <v>43</v>
      </c>
      <c r="C509" s="23">
        <f>IFERROR(IPMT(Assumptions!$D$16/12,Model_30y!A509, 360,Assumptions!$D$8), 0)</f>
        <v>0</v>
      </c>
      <c r="D509" s="2">
        <f>IFERROR(PPMT(Assumptions!$D$16/12, Model_30y!A509, 360, Assumptions!$D$8), 0)</f>
        <v>0</v>
      </c>
      <c r="E509" s="2">
        <f t="shared" si="120"/>
        <v>0</v>
      </c>
      <c r="F509" s="2">
        <f>IF(I508&gt;1, Assumptions!$E$18, 0)*-1</f>
        <v>0</v>
      </c>
      <c r="G509" s="24">
        <f t="shared" si="121"/>
        <v>1</v>
      </c>
      <c r="H509" s="20">
        <f t="shared" si="127"/>
        <v>339999.99999999994</v>
      </c>
      <c r="I509" s="2">
        <f>MAX(Assumptions!$D$8-SUM(Model_30y!H509), 0)</f>
        <v>5.8207660913467407E-11</v>
      </c>
      <c r="J509" s="2">
        <f>J508*(1+(Assumptions!$E$51))</f>
        <v>3339156.8202826041</v>
      </c>
      <c r="K509" s="22">
        <f t="shared" si="122"/>
        <v>3339156.8202826041</v>
      </c>
      <c r="L509" s="5">
        <f t="shared" si="128"/>
        <v>424999.99999999971</v>
      </c>
      <c r="M509" s="63">
        <f>L509/Assumptions!$D$6</f>
        <v>0.99999999999999933</v>
      </c>
      <c r="N509" s="24">
        <f t="shared" si="136"/>
        <v>0</v>
      </c>
      <c r="O509" s="5">
        <f>N509*Assumptions!$E$25*-1</f>
        <v>0</v>
      </c>
      <c r="P509" s="20">
        <f>Assumptions!$E$35*J509*-1</f>
        <v>-6878.1163291108669</v>
      </c>
      <c r="Q509" s="5">
        <f>J509*Assumptions!$E$36*-1</f>
        <v>-2769.957852203358</v>
      </c>
      <c r="R509" s="5">
        <f>(R497+(Model_30y!R497*Assumptions!$D$51))</f>
        <v>-2521.869156450236</v>
      </c>
      <c r="S509" s="5">
        <f>S497+(S497*Assumptions!$D$51)</f>
        <v>0</v>
      </c>
      <c r="T509" s="5">
        <f t="shared" si="131"/>
        <v>0</v>
      </c>
      <c r="U509" s="22">
        <f t="shared" si="123"/>
        <v>-12169.94333776446</v>
      </c>
      <c r="V509" s="5">
        <f>MAX(Assumptions!$E$18:$E$19)-U509</f>
        <v>15011.576349563156</v>
      </c>
      <c r="W509" s="5">
        <f t="shared" si="124"/>
        <v>0</v>
      </c>
      <c r="X509" s="5">
        <f t="shared" si="129"/>
        <v>-12169.94333776446</v>
      </c>
      <c r="Y509" s="5">
        <f>C509*Assumptions!$D$44*-1</f>
        <v>0</v>
      </c>
      <c r="Z509" s="5">
        <f t="shared" si="125"/>
        <v>2841.6330117986963</v>
      </c>
      <c r="AA509" s="5">
        <f t="shared" si="132"/>
        <v>4369935.4247422339</v>
      </c>
      <c r="AB509" s="3">
        <f>Assumptions!$E$45</f>
        <v>6.9899151946608562E-3</v>
      </c>
      <c r="AC509" s="5">
        <f t="shared" si="133"/>
        <v>4403322.5357791251</v>
      </c>
      <c r="AD509" s="5">
        <f>AC509*Assumptions!$E$43</f>
        <v>3943.5077792480224</v>
      </c>
      <c r="AE509" s="2">
        <f>AD509*Assumptions!$D$44*-1</f>
        <v>-591.52616688720332</v>
      </c>
      <c r="AF509" s="2">
        <f>AC509*Assumptions!$E$46*-1</f>
        <v>-146.75051554116837</v>
      </c>
      <c r="AG509" s="22">
        <f t="shared" si="134"/>
        <v>4402584.259096697</v>
      </c>
      <c r="AH509" s="5">
        <f>Model_30y[[#This Row],[Mortgage Payment]]+Model_30y[[#This Row],[Total Upkeep]]+Model_30y[[#This Row],[Monthly Investment]]</f>
        <v>-9328.3103259657637</v>
      </c>
      <c r="AI509" s="5">
        <f>Model_Renter!D509*-1</f>
        <v>12883.131711555119</v>
      </c>
      <c r="AJ509" s="5">
        <f t="shared" si="135"/>
        <v>3554.8213855893555</v>
      </c>
    </row>
    <row r="510" spans="1:36" x14ac:dyDescent="0.25">
      <c r="A510" s="17">
        <f t="shared" si="130"/>
        <v>508</v>
      </c>
      <c r="B510" s="17">
        <f t="shared" si="126"/>
        <v>43</v>
      </c>
      <c r="C510" s="23">
        <f>IFERROR(IPMT(Assumptions!$D$16/12,Model_30y!A510, 360,Assumptions!$D$8), 0)</f>
        <v>0</v>
      </c>
      <c r="D510" s="2">
        <f>IFERROR(PPMT(Assumptions!$D$16/12, Model_30y!A510, 360, Assumptions!$D$8), 0)</f>
        <v>0</v>
      </c>
      <c r="E510" s="2">
        <f t="shared" si="120"/>
        <v>0</v>
      </c>
      <c r="F510" s="2">
        <f>IF(I509&gt;1, Assumptions!$E$18, 0)*-1</f>
        <v>0</v>
      </c>
      <c r="G510" s="24">
        <f t="shared" si="121"/>
        <v>1</v>
      </c>
      <c r="H510" s="20">
        <f t="shared" si="127"/>
        <v>339999.99999999994</v>
      </c>
      <c r="I510" s="2">
        <f>MAX(Assumptions!$D$8-SUM(Model_30y!H510), 0)</f>
        <v>5.8207660913467407E-11</v>
      </c>
      <c r="J510" s="2">
        <f>J509*(1+(Assumptions!$E$51))</f>
        <v>3352760.9585014489</v>
      </c>
      <c r="K510" s="22">
        <f t="shared" si="122"/>
        <v>3352760.9585014489</v>
      </c>
      <c r="L510" s="5">
        <f t="shared" si="128"/>
        <v>424999.99999999971</v>
      </c>
      <c r="M510" s="63">
        <f>L510/Assumptions!$D$6</f>
        <v>0.99999999999999933</v>
      </c>
      <c r="N510" s="24">
        <f t="shared" si="136"/>
        <v>0</v>
      </c>
      <c r="O510" s="5">
        <f>N510*Assumptions!$E$25*-1</f>
        <v>0</v>
      </c>
      <c r="P510" s="20">
        <f>Assumptions!$E$35*J510*-1</f>
        <v>-6906.1386264339972</v>
      </c>
      <c r="Q510" s="5">
        <f>J510*Assumptions!$E$36*-1</f>
        <v>-2781.2430033687233</v>
      </c>
      <c r="R510" s="5">
        <f>(R498+(Model_30y!R498*Assumptions!$D$51))</f>
        <v>-2521.869156450236</v>
      </c>
      <c r="S510" s="5">
        <f>S498+(S498*Assumptions!$D$51)</f>
        <v>0</v>
      </c>
      <c r="T510" s="5">
        <f t="shared" si="131"/>
        <v>0</v>
      </c>
      <c r="U510" s="22">
        <f t="shared" si="123"/>
        <v>-12209.250786252956</v>
      </c>
      <c r="V510" s="5">
        <f>MAX(Assumptions!$E$18:$E$19)-U510</f>
        <v>15050.883798051653</v>
      </c>
      <c r="W510" s="5">
        <f t="shared" si="124"/>
        <v>0</v>
      </c>
      <c r="X510" s="5">
        <f t="shared" si="129"/>
        <v>-12209.250786252956</v>
      </c>
      <c r="Y510" s="5">
        <f>C510*Assumptions!$D$44*-1</f>
        <v>0</v>
      </c>
      <c r="Z510" s="5">
        <f t="shared" si="125"/>
        <v>2841.6330117986963</v>
      </c>
      <c r="AA510" s="5">
        <f t="shared" si="132"/>
        <v>4402584.259096697</v>
      </c>
      <c r="AB510" s="3">
        <f>Assumptions!$E$45</f>
        <v>6.9899151946608562E-3</v>
      </c>
      <c r="AC510" s="5">
        <f t="shared" si="133"/>
        <v>4436199.5827169297</v>
      </c>
      <c r="AD510" s="5">
        <f>AC510*Assumptions!$E$43</f>
        <v>3972.9516569799985</v>
      </c>
      <c r="AE510" s="2">
        <f>AD510*Assumptions!$D$44*-1</f>
        <v>-595.94274854699972</v>
      </c>
      <c r="AF510" s="2">
        <f>AC510*Assumptions!$E$46*-1</f>
        <v>-147.84621624180767</v>
      </c>
      <c r="AG510" s="22">
        <f t="shared" si="134"/>
        <v>4435455.7937521413</v>
      </c>
      <c r="AH510" s="5">
        <f>Model_30y[[#This Row],[Mortgage Payment]]+Model_30y[[#This Row],[Total Upkeep]]+Model_30y[[#This Row],[Monthly Investment]]</f>
        <v>-9367.6177744542601</v>
      </c>
      <c r="AI510" s="5">
        <f>Model_Renter!D510*-1</f>
        <v>12883.131711555119</v>
      </c>
      <c r="AJ510" s="5">
        <f t="shared" si="135"/>
        <v>3515.513937100859</v>
      </c>
    </row>
    <row r="511" spans="1:36" x14ac:dyDescent="0.25">
      <c r="A511" s="17">
        <f t="shared" si="130"/>
        <v>509</v>
      </c>
      <c r="B511" s="17">
        <f t="shared" si="126"/>
        <v>43</v>
      </c>
      <c r="C511" s="23">
        <f>IFERROR(IPMT(Assumptions!$D$16/12,Model_30y!A511, 360,Assumptions!$D$8), 0)</f>
        <v>0</v>
      </c>
      <c r="D511" s="2">
        <f>IFERROR(PPMT(Assumptions!$D$16/12, Model_30y!A511, 360, Assumptions!$D$8), 0)</f>
        <v>0</v>
      </c>
      <c r="E511" s="2">
        <f t="shared" si="120"/>
        <v>0</v>
      </c>
      <c r="F511" s="2">
        <f>IF(I510&gt;1, Assumptions!$E$18, 0)*-1</f>
        <v>0</v>
      </c>
      <c r="G511" s="24">
        <f t="shared" si="121"/>
        <v>1</v>
      </c>
      <c r="H511" s="20">
        <f t="shared" si="127"/>
        <v>339999.99999999994</v>
      </c>
      <c r="I511" s="2">
        <f>MAX(Assumptions!$D$8-SUM(Model_30y!H511), 0)</f>
        <v>5.8207660913467407E-11</v>
      </c>
      <c r="J511" s="2">
        <f>J510*(1+(Assumptions!$E$51))</f>
        <v>3366420.5216633673</v>
      </c>
      <c r="K511" s="22">
        <f t="shared" si="122"/>
        <v>3366420.5216633673</v>
      </c>
      <c r="L511" s="5">
        <f t="shared" si="128"/>
        <v>424999.99999999971</v>
      </c>
      <c r="M511" s="63">
        <f>L511/Assumptions!$D$6</f>
        <v>0.99999999999999933</v>
      </c>
      <c r="N511" s="24">
        <f t="shared" si="136"/>
        <v>0</v>
      </c>
      <c r="O511" s="5">
        <f>N511*Assumptions!$E$25*-1</f>
        <v>0</v>
      </c>
      <c r="P511" s="20">
        <f>Assumptions!$E$35*J511*-1</f>
        <v>-6934.2750900651245</v>
      </c>
      <c r="Q511" s="5">
        <f>J511*Assumptions!$E$36*-1</f>
        <v>-2792.5741316368535</v>
      </c>
      <c r="R511" s="5">
        <f>(R499+(Model_30y!R499*Assumptions!$D$51))</f>
        <v>-2521.869156450236</v>
      </c>
      <c r="S511" s="5">
        <f>S499+(S499*Assumptions!$D$51)</f>
        <v>0</v>
      </c>
      <c r="T511" s="5">
        <f t="shared" si="131"/>
        <v>0</v>
      </c>
      <c r="U511" s="22">
        <f t="shared" si="123"/>
        <v>-12248.718378152214</v>
      </c>
      <c r="V511" s="5">
        <f>MAX(Assumptions!$E$18:$E$19)-U511</f>
        <v>15090.351389950911</v>
      </c>
      <c r="W511" s="5">
        <f t="shared" si="124"/>
        <v>0</v>
      </c>
      <c r="X511" s="5">
        <f t="shared" si="129"/>
        <v>-12248.718378152214</v>
      </c>
      <c r="Y511" s="5">
        <f>C511*Assumptions!$D$44*-1</f>
        <v>0</v>
      </c>
      <c r="Z511" s="5">
        <f t="shared" si="125"/>
        <v>2841.6330117986963</v>
      </c>
      <c r="AA511" s="5">
        <f t="shared" si="132"/>
        <v>4435455.7937521413</v>
      </c>
      <c r="AB511" s="3">
        <f>Assumptions!$E$45</f>
        <v>6.9899151946608562E-3</v>
      </c>
      <c r="AC511" s="5">
        <f t="shared" si="133"/>
        <v>4469300.8866119348</v>
      </c>
      <c r="AD511" s="5">
        <f>AC511*Assumptions!$E$43</f>
        <v>4002.5963737484258</v>
      </c>
      <c r="AE511" s="2">
        <f>AD511*Assumptions!$D$44*-1</f>
        <v>-600.38945606226389</v>
      </c>
      <c r="AF511" s="2">
        <f>AC511*Assumptions!$E$46*-1</f>
        <v>-148.94939080424462</v>
      </c>
      <c r="AG511" s="22">
        <f t="shared" si="134"/>
        <v>4468551.5477650678</v>
      </c>
      <c r="AH511" s="5">
        <f>Model_30y[[#This Row],[Mortgage Payment]]+Model_30y[[#This Row],[Total Upkeep]]+Model_30y[[#This Row],[Monthly Investment]]</f>
        <v>-9407.0853663535181</v>
      </c>
      <c r="AI511" s="5">
        <f>Model_Renter!D511*-1</f>
        <v>12883.131711555119</v>
      </c>
      <c r="AJ511" s="5">
        <f t="shared" si="135"/>
        <v>3476.0463452016011</v>
      </c>
    </row>
    <row r="512" spans="1:36" x14ac:dyDescent="0.25">
      <c r="A512" s="17">
        <f t="shared" si="130"/>
        <v>510</v>
      </c>
      <c r="B512" s="17">
        <f t="shared" si="126"/>
        <v>43</v>
      </c>
      <c r="C512" s="23">
        <f>IFERROR(IPMT(Assumptions!$D$16/12,Model_30y!A512, 360,Assumptions!$D$8), 0)</f>
        <v>0</v>
      </c>
      <c r="D512" s="2">
        <f>IFERROR(PPMT(Assumptions!$D$16/12, Model_30y!A512, 360, Assumptions!$D$8), 0)</f>
        <v>0</v>
      </c>
      <c r="E512" s="2">
        <f t="shared" si="120"/>
        <v>0</v>
      </c>
      <c r="F512" s="2">
        <f>IF(I511&gt;1, Assumptions!$E$18, 0)*-1</f>
        <v>0</v>
      </c>
      <c r="G512" s="24">
        <f t="shared" si="121"/>
        <v>1</v>
      </c>
      <c r="H512" s="20">
        <f t="shared" si="127"/>
        <v>339999.99999999994</v>
      </c>
      <c r="I512" s="2">
        <f>MAX(Assumptions!$D$8-SUM(Model_30y!H512), 0)</f>
        <v>5.8207660913467407E-11</v>
      </c>
      <c r="J512" s="2">
        <f>J511*(1+(Assumptions!$E$51))</f>
        <v>3380135.7355764378</v>
      </c>
      <c r="K512" s="22">
        <f t="shared" si="122"/>
        <v>3380135.7355764378</v>
      </c>
      <c r="L512" s="5">
        <f t="shared" si="128"/>
        <v>424999.99999999971</v>
      </c>
      <c r="M512" s="63">
        <f>L512/Assumptions!$D$6</f>
        <v>0.99999999999999933</v>
      </c>
      <c r="N512" s="24">
        <f t="shared" si="136"/>
        <v>0</v>
      </c>
      <c r="O512" s="5">
        <f>N512*Assumptions!$E$25*-1</f>
        <v>0</v>
      </c>
      <c r="P512" s="20">
        <f>Assumptions!$E$35*J512*-1</f>
        <v>-6962.5261851319183</v>
      </c>
      <c r="Q512" s="5">
        <f>J512*Assumptions!$E$36*-1</f>
        <v>-2803.9514243241561</v>
      </c>
      <c r="R512" s="5">
        <f>(R500+(Model_30y!R500*Assumptions!$D$51))</f>
        <v>-2521.869156450236</v>
      </c>
      <c r="S512" s="5">
        <f>S500+(S500*Assumptions!$D$51)</f>
        <v>0</v>
      </c>
      <c r="T512" s="5">
        <f t="shared" si="131"/>
        <v>0</v>
      </c>
      <c r="U512" s="22">
        <f t="shared" si="123"/>
        <v>-12288.34676590631</v>
      </c>
      <c r="V512" s="5">
        <f>MAX(Assumptions!$E$18:$E$19)-U512</f>
        <v>15129.979777705006</v>
      </c>
      <c r="W512" s="5">
        <f t="shared" si="124"/>
        <v>0</v>
      </c>
      <c r="X512" s="5">
        <f t="shared" si="129"/>
        <v>-12288.34676590631</v>
      </c>
      <c r="Y512" s="5">
        <f>C512*Assumptions!$D$44*-1</f>
        <v>0</v>
      </c>
      <c r="Z512" s="5">
        <f t="shared" si="125"/>
        <v>2841.6330117986963</v>
      </c>
      <c r="AA512" s="5">
        <f t="shared" si="132"/>
        <v>4468551.5477650678</v>
      </c>
      <c r="AB512" s="3">
        <f>Assumptions!$E$45</f>
        <v>6.9899151946608562E-3</v>
      </c>
      <c r="AC512" s="5">
        <f t="shared" si="133"/>
        <v>4502627.9771387149</v>
      </c>
      <c r="AD512" s="5">
        <f>AC512*Assumptions!$E$43</f>
        <v>4032.4432994923759</v>
      </c>
      <c r="AE512" s="2">
        <f>AD512*Assumptions!$D$44*-1</f>
        <v>-604.86649492385641</v>
      </c>
      <c r="AF512" s="2">
        <f>AC512*Assumptions!$E$46*-1</f>
        <v>-150.06009020828606</v>
      </c>
      <c r="AG512" s="22">
        <f t="shared" si="134"/>
        <v>4501873.0505535826</v>
      </c>
      <c r="AH512" s="5">
        <f>Model_30y[[#This Row],[Mortgage Payment]]+Model_30y[[#This Row],[Total Upkeep]]+Model_30y[[#This Row],[Monthly Investment]]</f>
        <v>-9446.7137541076136</v>
      </c>
      <c r="AI512" s="5">
        <f>Model_Renter!D512*-1</f>
        <v>12883.131711555119</v>
      </c>
      <c r="AJ512" s="5">
        <f t="shared" si="135"/>
        <v>3436.4179574475056</v>
      </c>
    </row>
    <row r="513" spans="1:36" x14ac:dyDescent="0.25">
      <c r="A513" s="17">
        <f t="shared" si="130"/>
        <v>511</v>
      </c>
      <c r="B513" s="17">
        <f t="shared" si="126"/>
        <v>43</v>
      </c>
      <c r="C513" s="23">
        <f>IFERROR(IPMT(Assumptions!$D$16/12,Model_30y!A513, 360,Assumptions!$D$8), 0)</f>
        <v>0</v>
      </c>
      <c r="D513" s="2">
        <f>IFERROR(PPMT(Assumptions!$D$16/12, Model_30y!A513, 360, Assumptions!$D$8), 0)</f>
        <v>0</v>
      </c>
      <c r="E513" s="2">
        <f t="shared" si="120"/>
        <v>0</v>
      </c>
      <c r="F513" s="2">
        <f>IF(I512&gt;1, Assumptions!$E$18, 0)*-1</f>
        <v>0</v>
      </c>
      <c r="G513" s="24">
        <f t="shared" si="121"/>
        <v>1</v>
      </c>
      <c r="H513" s="20">
        <f t="shared" si="127"/>
        <v>339999.99999999994</v>
      </c>
      <c r="I513" s="2">
        <f>MAX(Assumptions!$D$8-SUM(Model_30y!H513), 0)</f>
        <v>5.8207660913467407E-11</v>
      </c>
      <c r="J513" s="2">
        <f>J512*(1+(Assumptions!$E$51))</f>
        <v>3393906.8269687095</v>
      </c>
      <c r="K513" s="22">
        <f t="shared" si="122"/>
        <v>3393906.8269687095</v>
      </c>
      <c r="L513" s="5">
        <f t="shared" si="128"/>
        <v>424999.99999999971</v>
      </c>
      <c r="M513" s="63">
        <f>L513/Assumptions!$D$6</f>
        <v>0.99999999999999933</v>
      </c>
      <c r="N513" s="24">
        <f t="shared" si="136"/>
        <v>0</v>
      </c>
      <c r="O513" s="5">
        <f>N513*Assumptions!$E$25*-1</f>
        <v>0</v>
      </c>
      <c r="P513" s="20">
        <f>Assumptions!$E$35*J513*-1</f>
        <v>-6990.8923786570385</v>
      </c>
      <c r="Q513" s="5">
        <f>J513*Assumptions!$E$36*-1</f>
        <v>-2815.3750695101899</v>
      </c>
      <c r="R513" s="5">
        <f>(R501+(Model_30y!R501*Assumptions!$D$51))</f>
        <v>-2521.869156450236</v>
      </c>
      <c r="S513" s="5">
        <f>S501+(S501*Assumptions!$D$51)</f>
        <v>0</v>
      </c>
      <c r="T513" s="5">
        <f t="shared" si="131"/>
        <v>0</v>
      </c>
      <c r="U513" s="22">
        <f t="shared" si="123"/>
        <v>-12328.136604617466</v>
      </c>
      <c r="V513" s="5">
        <f>MAX(Assumptions!$E$18:$E$19)-U513</f>
        <v>15169.769616416163</v>
      </c>
      <c r="W513" s="5">
        <f t="shared" si="124"/>
        <v>0</v>
      </c>
      <c r="X513" s="5">
        <f t="shared" si="129"/>
        <v>-12328.136604617466</v>
      </c>
      <c r="Y513" s="5">
        <f>C513*Assumptions!$D$44*-1</f>
        <v>0</v>
      </c>
      <c r="Z513" s="5">
        <f t="shared" si="125"/>
        <v>2841.6330117986963</v>
      </c>
      <c r="AA513" s="5">
        <f t="shared" si="132"/>
        <v>4501873.0505535826</v>
      </c>
      <c r="AB513" s="3">
        <f>Assumptions!$E$45</f>
        <v>6.9899151946608562E-3</v>
      </c>
      <c r="AC513" s="5">
        <f t="shared" si="133"/>
        <v>4536182.39440588</v>
      </c>
      <c r="AD513" s="5">
        <f>AC513*Assumptions!$E$43</f>
        <v>4062.4938134953854</v>
      </c>
      <c r="AE513" s="2">
        <f>AD513*Assumptions!$D$44*-1</f>
        <v>-609.37407202430779</v>
      </c>
      <c r="AF513" s="2">
        <f>AC513*Assumptions!$E$46*-1</f>
        <v>-151.17836578147632</v>
      </c>
      <c r="AG513" s="22">
        <f t="shared" si="134"/>
        <v>4535421.8419680744</v>
      </c>
      <c r="AH513" s="5">
        <f>Model_30y[[#This Row],[Mortgage Payment]]+Model_30y[[#This Row],[Total Upkeep]]+Model_30y[[#This Row],[Monthly Investment]]</f>
        <v>-9486.5035928187699</v>
      </c>
      <c r="AI513" s="5">
        <f>Model_Renter!D513*-1</f>
        <v>12883.131711555119</v>
      </c>
      <c r="AJ513" s="5">
        <f t="shared" si="135"/>
        <v>3396.6281187363493</v>
      </c>
    </row>
    <row r="514" spans="1:36" x14ac:dyDescent="0.25">
      <c r="A514" s="17">
        <f t="shared" si="130"/>
        <v>512</v>
      </c>
      <c r="B514" s="17">
        <f t="shared" si="126"/>
        <v>43</v>
      </c>
      <c r="C514" s="23">
        <f>IFERROR(IPMT(Assumptions!$D$16/12,Model_30y!A514, 360,Assumptions!$D$8), 0)</f>
        <v>0</v>
      </c>
      <c r="D514" s="2">
        <f>IFERROR(PPMT(Assumptions!$D$16/12, Model_30y!A514, 360, Assumptions!$D$8), 0)</f>
        <v>0</v>
      </c>
      <c r="E514" s="2">
        <f t="shared" ref="E514:E542" si="137">SUM(C514:D514)</f>
        <v>0</v>
      </c>
      <c r="F514" s="2">
        <f>IF(I513&gt;1, Assumptions!$E$18, 0)*-1</f>
        <v>0</v>
      </c>
      <c r="G514" s="24">
        <f t="shared" ref="G514:G542" si="138">IF(E514+F514&lt;1, 1, 0)</f>
        <v>1</v>
      </c>
      <c r="H514" s="20">
        <f t="shared" si="127"/>
        <v>339999.99999999994</v>
      </c>
      <c r="I514" s="2">
        <f>MAX(Assumptions!$D$8-SUM(Model_30y!H514), 0)</f>
        <v>5.8207660913467407E-11</v>
      </c>
      <c r="J514" s="2">
        <f>J513*(1+(Assumptions!$E$51))</f>
        <v>3407734.0234919493</v>
      </c>
      <c r="K514" s="22">
        <f t="shared" ref="K514:K542" si="139">(J514-I514)</f>
        <v>3407734.0234919493</v>
      </c>
      <c r="L514" s="5">
        <f t="shared" si="128"/>
        <v>424999.99999999971</v>
      </c>
      <c r="M514" s="63">
        <f>L514/Assumptions!$D$6</f>
        <v>0.99999999999999933</v>
      </c>
      <c r="N514" s="24">
        <f t="shared" si="136"/>
        <v>0</v>
      </c>
      <c r="O514" s="5">
        <f>N514*Assumptions!$E$25*-1</f>
        <v>0</v>
      </c>
      <c r="P514" s="20">
        <f>Assumptions!$E$35*J514*-1</f>
        <v>-7019.3741395658517</v>
      </c>
      <c r="Q514" s="5">
        <f>J514*Assumptions!$E$36*-1</f>
        <v>-2826.8452560407723</v>
      </c>
      <c r="R514" s="5">
        <f>(R502+(Model_30y!R502*Assumptions!$D$51))</f>
        <v>-2521.869156450236</v>
      </c>
      <c r="S514" s="5">
        <f>S502+(S502*Assumptions!$D$51)</f>
        <v>0</v>
      </c>
      <c r="T514" s="5">
        <f t="shared" si="131"/>
        <v>0</v>
      </c>
      <c r="U514" s="22">
        <f t="shared" ref="U514:U542" si="140">SUM(P514:T514)</f>
        <v>-12368.088552056859</v>
      </c>
      <c r="V514" s="5">
        <f>MAX(Assumptions!$E$18:$E$19)-U514</f>
        <v>15209.721563855555</v>
      </c>
      <c r="W514" s="5">
        <f t="shared" ref="W514:W542" si="141">F514</f>
        <v>0</v>
      </c>
      <c r="X514" s="5">
        <f t="shared" si="129"/>
        <v>-12368.088552056859</v>
      </c>
      <c r="Y514" s="5">
        <f>C514*Assumptions!$D$44*-1</f>
        <v>0</v>
      </c>
      <c r="Z514" s="5">
        <f t="shared" ref="Z514:Z542" si="142">SUM(V514:Y514)</f>
        <v>2841.6330117986963</v>
      </c>
      <c r="AA514" s="5">
        <f t="shared" si="132"/>
        <v>4535421.8419680744</v>
      </c>
      <c r="AB514" s="3">
        <f>Assumptions!$E$45</f>
        <v>6.9899151946608562E-3</v>
      </c>
      <c r="AC514" s="5">
        <f t="shared" si="133"/>
        <v>4569965.6890272424</v>
      </c>
      <c r="AD514" s="5">
        <f>AC514*Assumptions!$E$43</f>
        <v>4092.7493044491948</v>
      </c>
      <c r="AE514" s="2">
        <f>AD514*Assumptions!$D$44*-1</f>
        <v>-613.9123956673792</v>
      </c>
      <c r="AF514" s="2">
        <f>AC514*Assumptions!$E$46*-1</f>
        <v>-152.30426920146891</v>
      </c>
      <c r="AG514" s="22">
        <f t="shared" si="134"/>
        <v>4569199.472362374</v>
      </c>
      <c r="AH514" s="5">
        <f>Model_30y[[#This Row],[Mortgage Payment]]+Model_30y[[#This Row],[Total Upkeep]]+Model_30y[[#This Row],[Monthly Investment]]</f>
        <v>-9526.4555402581627</v>
      </c>
      <c r="AI514" s="5">
        <f>Model_Renter!D514*-1</f>
        <v>12883.131711555119</v>
      </c>
      <c r="AJ514" s="5">
        <f t="shared" si="135"/>
        <v>3356.6761712969565</v>
      </c>
    </row>
    <row r="515" spans="1:36" x14ac:dyDescent="0.25">
      <c r="A515" s="17">
        <f t="shared" si="130"/>
        <v>513</v>
      </c>
      <c r="B515" s="17">
        <f t="shared" ref="B515:B542" si="143">ROUNDUP(A515/12,0)</f>
        <v>43</v>
      </c>
      <c r="C515" s="23">
        <f>IFERROR(IPMT(Assumptions!$D$16/12,Model_30y!A515, 360,Assumptions!$D$8), 0)</f>
        <v>0</v>
      </c>
      <c r="D515" s="2">
        <f>IFERROR(PPMT(Assumptions!$D$16/12, Model_30y!A515, 360, Assumptions!$D$8), 0)</f>
        <v>0</v>
      </c>
      <c r="E515" s="2">
        <f t="shared" si="137"/>
        <v>0</v>
      </c>
      <c r="F515" s="2">
        <f>IF(I514&gt;1, Assumptions!$E$18, 0)*-1</f>
        <v>0</v>
      </c>
      <c r="G515" s="24">
        <f t="shared" si="138"/>
        <v>1</v>
      </c>
      <c r="H515" s="20">
        <f t="shared" ref="H515:H542" si="144">H514+D515*-1</f>
        <v>339999.99999999994</v>
      </c>
      <c r="I515" s="2">
        <f>MAX(Assumptions!$D$8-SUM(Model_30y!H515), 0)</f>
        <v>5.8207660913467407E-11</v>
      </c>
      <c r="J515" s="2">
        <f>J514*(1+(Assumptions!$E$51))</f>
        <v>3421617.5537254056</v>
      </c>
      <c r="K515" s="22">
        <f t="shared" si="139"/>
        <v>3421617.5537254056</v>
      </c>
      <c r="L515" s="5">
        <f t="shared" ref="L515:L542" si="145">L514+D515*-1</f>
        <v>424999.99999999971</v>
      </c>
      <c r="M515" s="63">
        <f>L515/Assumptions!$D$6</f>
        <v>0.99999999999999933</v>
      </c>
      <c r="N515" s="24">
        <f t="shared" si="136"/>
        <v>0</v>
      </c>
      <c r="O515" s="5">
        <f>N515*Assumptions!$E$25*-1</f>
        <v>0</v>
      </c>
      <c r="P515" s="20">
        <f>Assumptions!$E$35*J515*-1</f>
        <v>-7047.9719386941833</v>
      </c>
      <c r="Q515" s="5">
        <f>J515*Assumptions!$E$36*-1</f>
        <v>-2838.3621735311012</v>
      </c>
      <c r="R515" s="5">
        <f>(R503+(Model_30y!R503*Assumptions!$D$51))</f>
        <v>-2521.869156450236</v>
      </c>
      <c r="S515" s="5">
        <f>S503+(S503*Assumptions!$D$51)</f>
        <v>0</v>
      </c>
      <c r="T515" s="5">
        <f t="shared" si="131"/>
        <v>0</v>
      </c>
      <c r="U515" s="22">
        <f t="shared" si="140"/>
        <v>-12408.203268675519</v>
      </c>
      <c r="V515" s="5">
        <f>MAX(Assumptions!$E$18:$E$19)-U515</f>
        <v>15249.836280474216</v>
      </c>
      <c r="W515" s="5">
        <f t="shared" si="141"/>
        <v>0</v>
      </c>
      <c r="X515" s="5">
        <f t="shared" ref="X515:X542" si="146">U515</f>
        <v>-12408.203268675519</v>
      </c>
      <c r="Y515" s="5">
        <f>C515*Assumptions!$D$44*-1</f>
        <v>0</v>
      </c>
      <c r="Z515" s="5">
        <f t="shared" si="142"/>
        <v>2841.6330117986963</v>
      </c>
      <c r="AA515" s="5">
        <f t="shared" si="132"/>
        <v>4569199.472362374</v>
      </c>
      <c r="AB515" s="3">
        <f>Assumptions!$E$45</f>
        <v>6.9899151946608562E-3</v>
      </c>
      <c r="AC515" s="5">
        <f t="shared" si="133"/>
        <v>4603979.4221934741</v>
      </c>
      <c r="AD515" s="5">
        <f>AC515*Assumptions!$E$43</f>
        <v>4123.2111705179195</v>
      </c>
      <c r="AE515" s="2">
        <f>AD515*Assumptions!$D$44*-1</f>
        <v>-618.48167557768795</v>
      </c>
      <c r="AF515" s="2">
        <f>AC515*Assumptions!$E$46*-1</f>
        <v>-153.43785249841471</v>
      </c>
      <c r="AG515" s="22">
        <f t="shared" si="134"/>
        <v>4603207.5026653977</v>
      </c>
      <c r="AH515" s="5">
        <f>Model_30y[[#This Row],[Mortgage Payment]]+Model_30y[[#This Row],[Total Upkeep]]+Model_30y[[#This Row],[Monthly Investment]]</f>
        <v>-9566.5702568768229</v>
      </c>
      <c r="AI515" s="5">
        <f>Model_Renter!D515*-1</f>
        <v>12883.131711555119</v>
      </c>
      <c r="AJ515" s="5">
        <f t="shared" si="135"/>
        <v>3316.5614546782963</v>
      </c>
    </row>
    <row r="516" spans="1:36" x14ac:dyDescent="0.25">
      <c r="A516" s="17">
        <f t="shared" ref="A516:A542" si="147">A515+1</f>
        <v>514</v>
      </c>
      <c r="B516" s="17">
        <f t="shared" si="143"/>
        <v>43</v>
      </c>
      <c r="C516" s="23">
        <f>IFERROR(IPMT(Assumptions!$D$16/12,Model_30y!A516, 360,Assumptions!$D$8), 0)</f>
        <v>0</v>
      </c>
      <c r="D516" s="2">
        <f>IFERROR(PPMT(Assumptions!$D$16/12, Model_30y!A516, 360, Assumptions!$D$8), 0)</f>
        <v>0</v>
      </c>
      <c r="E516" s="2">
        <f t="shared" si="137"/>
        <v>0</v>
      </c>
      <c r="F516" s="2">
        <f>IF(I515&gt;1, Assumptions!$E$18, 0)*-1</f>
        <v>0</v>
      </c>
      <c r="G516" s="24">
        <f t="shared" si="138"/>
        <v>1</v>
      </c>
      <c r="H516" s="20">
        <f t="shared" si="144"/>
        <v>339999.99999999994</v>
      </c>
      <c r="I516" s="2">
        <f>MAX(Assumptions!$D$8-SUM(Model_30y!H516), 0)</f>
        <v>5.8207660913467407E-11</v>
      </c>
      <c r="J516" s="2">
        <f>J515*(1+(Assumptions!$E$51))</f>
        <v>3435557.6471795868</v>
      </c>
      <c r="K516" s="22">
        <f t="shared" si="139"/>
        <v>3435557.6471795868</v>
      </c>
      <c r="L516" s="5">
        <f t="shared" si="145"/>
        <v>424999.99999999971</v>
      </c>
      <c r="M516" s="63">
        <f>L516/Assumptions!$D$6</f>
        <v>0.99999999999999933</v>
      </c>
      <c r="N516" s="24">
        <f t="shared" si="136"/>
        <v>0</v>
      </c>
      <c r="O516" s="5">
        <f>N516*Assumptions!$E$25*-1</f>
        <v>0</v>
      </c>
      <c r="P516" s="20">
        <f>Assumptions!$E$35*J516*-1</f>
        <v>-7076.6862487961034</v>
      </c>
      <c r="Q516" s="5">
        <f>J516*Assumptions!$E$36*-1</f>
        <v>-2849.9260123688919</v>
      </c>
      <c r="R516" s="5">
        <f>(R504+(Model_30y!R504*Assumptions!$D$51))</f>
        <v>-2521.869156450236</v>
      </c>
      <c r="S516" s="5">
        <f>S504+(S504*Assumptions!$D$51)</f>
        <v>0</v>
      </c>
      <c r="T516" s="5">
        <f t="shared" ref="T516:T542" si="148">O516</f>
        <v>0</v>
      </c>
      <c r="U516" s="22">
        <f t="shared" si="140"/>
        <v>-12448.481417615232</v>
      </c>
      <c r="V516" s="5">
        <f>MAX(Assumptions!$E$18:$E$19)-U516</f>
        <v>15290.114429413929</v>
      </c>
      <c r="W516" s="5">
        <f t="shared" si="141"/>
        <v>0</v>
      </c>
      <c r="X516" s="5">
        <f t="shared" si="146"/>
        <v>-12448.481417615232</v>
      </c>
      <c r="Y516" s="5">
        <f>C516*Assumptions!$D$44*-1</f>
        <v>0</v>
      </c>
      <c r="Z516" s="5">
        <f t="shared" si="142"/>
        <v>2841.6330117986963</v>
      </c>
      <c r="AA516" s="5">
        <f t="shared" ref="AA516:AA542" si="149">AG515</f>
        <v>4603207.5026653977</v>
      </c>
      <c r="AB516" s="3">
        <f>Assumptions!$E$45</f>
        <v>6.9899151946608562E-3</v>
      </c>
      <c r="AC516" s="5">
        <f t="shared" ref="AC516:AC542" si="150">(AA516+Z516)+(AA516*AB516)</f>
        <v>4638225.1657442534</v>
      </c>
      <c r="AD516" s="5">
        <f>AC516*Assumptions!$E$43</f>
        <v>4153.8808194026651</v>
      </c>
      <c r="AE516" s="2">
        <f>AD516*Assumptions!$D$44*-1</f>
        <v>-623.08212291039979</v>
      </c>
      <c r="AF516" s="2">
        <f>AC516*Assumptions!$E$46*-1</f>
        <v>-154.57916805736645</v>
      </c>
      <c r="AG516" s="22">
        <f t="shared" ref="AG516:AG542" si="151">AC516+SUM(AE516:AF516)</f>
        <v>4637447.5044532856</v>
      </c>
      <c r="AH516" s="5">
        <f>Model_30y[[#This Row],[Mortgage Payment]]+Model_30y[[#This Row],[Total Upkeep]]+Model_30y[[#This Row],[Monthly Investment]]</f>
        <v>-9606.8484058165359</v>
      </c>
      <c r="AI516" s="5">
        <f>Model_Renter!D516*-1</f>
        <v>12883.131711555119</v>
      </c>
      <c r="AJ516" s="5">
        <f t="shared" ref="AJ516:AJ541" si="152">SUM(AH516:AI516)</f>
        <v>3276.2833057385833</v>
      </c>
    </row>
    <row r="517" spans="1:36" x14ac:dyDescent="0.25">
      <c r="A517" s="17">
        <f t="shared" si="147"/>
        <v>515</v>
      </c>
      <c r="B517" s="17">
        <f t="shared" si="143"/>
        <v>43</v>
      </c>
      <c r="C517" s="23">
        <f>IFERROR(IPMT(Assumptions!$D$16/12,Model_30y!A517, 360,Assumptions!$D$8), 0)</f>
        <v>0</v>
      </c>
      <c r="D517" s="2">
        <f>IFERROR(PPMT(Assumptions!$D$16/12, Model_30y!A517, 360, Assumptions!$D$8), 0)</f>
        <v>0</v>
      </c>
      <c r="E517" s="2">
        <f t="shared" si="137"/>
        <v>0</v>
      </c>
      <c r="F517" s="2">
        <f>IF(I516&gt;1, Assumptions!$E$18, 0)*-1</f>
        <v>0</v>
      </c>
      <c r="G517" s="24">
        <f t="shared" si="138"/>
        <v>1</v>
      </c>
      <c r="H517" s="20">
        <f t="shared" si="144"/>
        <v>339999.99999999994</v>
      </c>
      <c r="I517" s="2">
        <f>MAX(Assumptions!$D$8-SUM(Model_30y!H517), 0)</f>
        <v>5.8207660913467407E-11</v>
      </c>
      <c r="J517" s="2">
        <f>J516*(1+(Assumptions!$E$51))</f>
        <v>3449554.5343000563</v>
      </c>
      <c r="K517" s="22">
        <f t="shared" si="139"/>
        <v>3449554.5343000563</v>
      </c>
      <c r="L517" s="5">
        <f t="shared" si="145"/>
        <v>424999.99999999971</v>
      </c>
      <c r="M517" s="63">
        <f>L517/Assumptions!$D$6</f>
        <v>0.99999999999999933</v>
      </c>
      <c r="N517" s="24">
        <f t="shared" si="136"/>
        <v>0</v>
      </c>
      <c r="O517" s="5">
        <f>N517*Assumptions!$E$25*-1</f>
        <v>0</v>
      </c>
      <c r="P517" s="20">
        <f>Assumptions!$E$35*J517*-1</f>
        <v>-7105.5175445517407</v>
      </c>
      <c r="Q517" s="5">
        <f>J517*Assumptions!$E$36*-1</f>
        <v>-2861.5369637175222</v>
      </c>
      <c r="R517" s="5">
        <f>(R505+(Model_30y!R505*Assumptions!$D$51))</f>
        <v>-2521.869156450236</v>
      </c>
      <c r="S517" s="5">
        <f>S505+(S505*Assumptions!$D$51)</f>
        <v>0</v>
      </c>
      <c r="T517" s="5">
        <f t="shared" si="148"/>
        <v>0</v>
      </c>
      <c r="U517" s="22">
        <f t="shared" si="140"/>
        <v>-12488.923664719499</v>
      </c>
      <c r="V517" s="5">
        <f>MAX(Assumptions!$E$18:$E$19)-U517</f>
        <v>15330.556676518196</v>
      </c>
      <c r="W517" s="5">
        <f t="shared" si="141"/>
        <v>0</v>
      </c>
      <c r="X517" s="5">
        <f t="shared" si="146"/>
        <v>-12488.923664719499</v>
      </c>
      <c r="Y517" s="5">
        <f>C517*Assumptions!$D$44*-1</f>
        <v>0</v>
      </c>
      <c r="Z517" s="5">
        <f t="shared" si="142"/>
        <v>2841.6330117986963</v>
      </c>
      <c r="AA517" s="5">
        <f t="shared" si="149"/>
        <v>4637447.5044532856</v>
      </c>
      <c r="AB517" s="3">
        <f>Assumptions!$E$45</f>
        <v>6.9899151946608562E-3</v>
      </c>
      <c r="AC517" s="5">
        <f t="shared" si="150"/>
        <v>4672704.5022409037</v>
      </c>
      <c r="AD517" s="5">
        <f>AC517*Assumptions!$E$43</f>
        <v>4184.7596684065775</v>
      </c>
      <c r="AE517" s="2">
        <f>AD517*Assumptions!$D$44*-1</f>
        <v>-627.71395026098662</v>
      </c>
      <c r="AF517" s="2">
        <f>AC517*Assumptions!$E$46*-1</f>
        <v>-155.72826862069948</v>
      </c>
      <c r="AG517" s="22">
        <f t="shared" si="151"/>
        <v>4671921.0600220216</v>
      </c>
      <c r="AH517" s="5">
        <f>Model_30y[[#This Row],[Mortgage Payment]]+Model_30y[[#This Row],[Total Upkeep]]+Model_30y[[#This Row],[Monthly Investment]]</f>
        <v>-9647.290652920803</v>
      </c>
      <c r="AI517" s="5">
        <f>Model_Renter!D517*-1</f>
        <v>12883.131711555119</v>
      </c>
      <c r="AJ517" s="5">
        <f t="shared" si="152"/>
        <v>3235.8410586343161</v>
      </c>
    </row>
    <row r="518" spans="1:36" x14ac:dyDescent="0.25">
      <c r="A518" s="17">
        <f t="shared" si="147"/>
        <v>516</v>
      </c>
      <c r="B518" s="17">
        <f t="shared" si="143"/>
        <v>43</v>
      </c>
      <c r="C518" s="23">
        <f>IFERROR(IPMT(Assumptions!$D$16/12,Model_30y!A518, 360,Assumptions!$D$8), 0)</f>
        <v>0</v>
      </c>
      <c r="D518" s="2">
        <f>IFERROR(PPMT(Assumptions!$D$16/12, Model_30y!A518, 360, Assumptions!$D$8), 0)</f>
        <v>0</v>
      </c>
      <c r="E518" s="2">
        <f t="shared" si="137"/>
        <v>0</v>
      </c>
      <c r="F518" s="2">
        <f>IF(I517&gt;1, Assumptions!$E$18, 0)*-1</f>
        <v>0</v>
      </c>
      <c r="G518" s="24">
        <f t="shared" si="138"/>
        <v>1</v>
      </c>
      <c r="H518" s="20">
        <f t="shared" si="144"/>
        <v>339999.99999999994</v>
      </c>
      <c r="I518" s="2">
        <f>MAX(Assumptions!$D$8-SUM(Model_30y!H518), 0)</f>
        <v>5.8207660913467407E-11</v>
      </c>
      <c r="J518" s="2">
        <f>J517*(1+(Assumptions!$E$51))</f>
        <v>3463608.4464712404</v>
      </c>
      <c r="K518" s="22">
        <f t="shared" si="139"/>
        <v>3463608.4464712404</v>
      </c>
      <c r="L518" s="5">
        <f t="shared" si="145"/>
        <v>424999.99999999971</v>
      </c>
      <c r="M518" s="63">
        <f>L518/Assumptions!$D$6</f>
        <v>0.99999999999999933</v>
      </c>
      <c r="N518" s="24">
        <f t="shared" si="136"/>
        <v>0</v>
      </c>
      <c r="O518" s="5">
        <f>N518*Assumptions!$E$25*-1</f>
        <v>0</v>
      </c>
      <c r="P518" s="20">
        <f>Assumptions!$E$35*J518*-1</f>
        <v>-7134.4663025751306</v>
      </c>
      <c r="Q518" s="5">
        <f>J518*Assumptions!$E$36*-1</f>
        <v>-2873.195219519193</v>
      </c>
      <c r="R518" s="5">
        <f>(R506+(Model_30y!R506*Assumptions!$D$51))</f>
        <v>-2521.869156450236</v>
      </c>
      <c r="S518" s="5">
        <f>S506+(S506*Assumptions!$D$51)</f>
        <v>0</v>
      </c>
      <c r="T518" s="5">
        <f t="shared" si="148"/>
        <v>0</v>
      </c>
      <c r="U518" s="22">
        <f t="shared" si="140"/>
        <v>-12529.530678544561</v>
      </c>
      <c r="V518" s="5">
        <f>MAX(Assumptions!$E$18:$E$19)-U518</f>
        <v>15371.163690343257</v>
      </c>
      <c r="W518" s="5">
        <f t="shared" si="141"/>
        <v>0</v>
      </c>
      <c r="X518" s="5">
        <f t="shared" si="146"/>
        <v>-12529.530678544561</v>
      </c>
      <c r="Y518" s="5">
        <f>C518*Assumptions!$D$44*-1</f>
        <v>0</v>
      </c>
      <c r="Z518" s="5">
        <f t="shared" si="142"/>
        <v>2841.6330117986963</v>
      </c>
      <c r="AA518" s="5">
        <f t="shared" si="149"/>
        <v>4671921.0600220216</v>
      </c>
      <c r="AB518" s="3">
        <f>Assumptions!$E$45</f>
        <v>6.9899151946608562E-3</v>
      </c>
      <c r="AC518" s="5">
        <f t="shared" si="150"/>
        <v>4707419.0250395238</v>
      </c>
      <c r="AD518" s="5">
        <f>AC518*Assumptions!$E$43</f>
        <v>4215.8491445003428</v>
      </c>
      <c r="AE518" s="2">
        <f>AD518*Assumptions!$D$44*-1</f>
        <v>-632.37737167505145</v>
      </c>
      <c r="AF518" s="2">
        <f>AC518*Assumptions!$E$46*-1</f>
        <v>-156.88520729054909</v>
      </c>
      <c r="AG518" s="22">
        <f t="shared" si="151"/>
        <v>4706629.7624605587</v>
      </c>
      <c r="AH518" s="5">
        <f>Model_30y[[#This Row],[Mortgage Payment]]+Model_30y[[#This Row],[Total Upkeep]]+Model_30y[[#This Row],[Monthly Investment]]</f>
        <v>-9687.8976667458646</v>
      </c>
      <c r="AI518" s="5">
        <f>Model_Renter!D518*-1</f>
        <v>12883.131711555119</v>
      </c>
      <c r="AJ518" s="5">
        <f t="shared" si="152"/>
        <v>3195.2340448092546</v>
      </c>
    </row>
    <row r="519" spans="1:36" x14ac:dyDescent="0.25">
      <c r="A519" s="17">
        <f t="shared" si="147"/>
        <v>517</v>
      </c>
      <c r="B519" s="17">
        <f t="shared" si="143"/>
        <v>44</v>
      </c>
      <c r="C519" s="23">
        <f>IFERROR(IPMT(Assumptions!$D$16/12,Model_30y!A519, 360,Assumptions!$D$8), 0)</f>
        <v>0</v>
      </c>
      <c r="D519" s="2">
        <f>IFERROR(PPMT(Assumptions!$D$16/12, Model_30y!A519, 360, Assumptions!$D$8), 0)</f>
        <v>0</v>
      </c>
      <c r="E519" s="2">
        <f t="shared" si="137"/>
        <v>0</v>
      </c>
      <c r="F519" s="2">
        <f>IF(I518&gt;1, Assumptions!$E$18, 0)*-1</f>
        <v>0</v>
      </c>
      <c r="G519" s="24">
        <f t="shared" si="138"/>
        <v>1</v>
      </c>
      <c r="H519" s="20">
        <f t="shared" si="144"/>
        <v>339999.99999999994</v>
      </c>
      <c r="I519" s="2">
        <f>MAX(Assumptions!$D$8-SUM(Model_30y!H519), 0)</f>
        <v>5.8207660913467407E-11</v>
      </c>
      <c r="J519" s="2">
        <f>J518*(1+(Assumptions!$E$51))</f>
        <v>3477719.6160202543</v>
      </c>
      <c r="K519" s="22">
        <f t="shared" si="139"/>
        <v>3477719.6160202543</v>
      </c>
      <c r="L519" s="5">
        <f t="shared" si="145"/>
        <v>424999.99999999971</v>
      </c>
      <c r="M519" s="63">
        <f>L519/Assumptions!$D$6</f>
        <v>0.99999999999999933</v>
      </c>
      <c r="N519" s="24">
        <f t="shared" si="136"/>
        <v>0</v>
      </c>
      <c r="O519" s="5">
        <f>N519*Assumptions!$E$25*-1</f>
        <v>0</v>
      </c>
      <c r="P519" s="20">
        <f>Assumptions!$E$35*J519*-1</f>
        <v>-7163.5330014220899</v>
      </c>
      <c r="Q519" s="5">
        <f>J519*Assumptions!$E$36*-1</f>
        <v>-2884.9009724981011</v>
      </c>
      <c r="R519" s="5">
        <f>(R507+(Model_30y!R507*Assumptions!$D$51))</f>
        <v>-2647.9626142727479</v>
      </c>
      <c r="S519" s="5">
        <f>S507+(S507*Assumptions!$D$51)</f>
        <v>0</v>
      </c>
      <c r="T519" s="5">
        <f t="shared" si="148"/>
        <v>0</v>
      </c>
      <c r="U519" s="22">
        <f t="shared" si="140"/>
        <v>-12696.39658819294</v>
      </c>
      <c r="V519" s="5">
        <f>MAX(Assumptions!$E$18:$E$19)-U519</f>
        <v>15538.029599991636</v>
      </c>
      <c r="W519" s="5">
        <f t="shared" si="141"/>
        <v>0</v>
      </c>
      <c r="X519" s="5">
        <f t="shared" si="146"/>
        <v>-12696.39658819294</v>
      </c>
      <c r="Y519" s="5">
        <f>C519*Assumptions!$D$44*-1</f>
        <v>0</v>
      </c>
      <c r="Z519" s="5">
        <f t="shared" si="142"/>
        <v>2841.6330117986963</v>
      </c>
      <c r="AA519" s="5">
        <f t="shared" si="149"/>
        <v>4706629.7624605587</v>
      </c>
      <c r="AB519" s="3">
        <f>Assumptions!$E$45</f>
        <v>6.9899151946608562E-3</v>
      </c>
      <c r="AC519" s="5">
        <f t="shared" si="150"/>
        <v>4742370.3383646235</v>
      </c>
      <c r="AD519" s="5">
        <f>AC519*Assumptions!$E$43</f>
        <v>4247.1506843881261</v>
      </c>
      <c r="AE519" s="2">
        <f>AD519*Assumptions!$D$44*-1</f>
        <v>-637.0726026582189</v>
      </c>
      <c r="AF519" s="2">
        <f>AC519*Assumptions!$E$46*-1</f>
        <v>-158.05003753126451</v>
      </c>
      <c r="AG519" s="22">
        <f t="shared" si="151"/>
        <v>4741575.2157244338</v>
      </c>
      <c r="AH519" s="5">
        <f>Model_30y[[#This Row],[Mortgage Payment]]+Model_30y[[#This Row],[Total Upkeep]]+Model_30y[[#This Row],[Monthly Investment]]</f>
        <v>-9854.7635763942435</v>
      </c>
      <c r="AI519" s="5">
        <f>Model_Renter!D519*-1</f>
        <v>13364.960837567281</v>
      </c>
      <c r="AJ519" s="5">
        <f t="shared" si="152"/>
        <v>3510.197261173038</v>
      </c>
    </row>
    <row r="520" spans="1:36" x14ac:dyDescent="0.25">
      <c r="A520" s="17">
        <f t="shared" si="147"/>
        <v>518</v>
      </c>
      <c r="B520" s="17">
        <f t="shared" si="143"/>
        <v>44</v>
      </c>
      <c r="C520" s="23">
        <f>IFERROR(IPMT(Assumptions!$D$16/12,Model_30y!A520, 360,Assumptions!$D$8), 0)</f>
        <v>0</v>
      </c>
      <c r="D520" s="2">
        <f>IFERROR(PPMT(Assumptions!$D$16/12, Model_30y!A520, 360, Assumptions!$D$8), 0)</f>
        <v>0</v>
      </c>
      <c r="E520" s="2">
        <f t="shared" si="137"/>
        <v>0</v>
      </c>
      <c r="F520" s="2">
        <f>IF(I519&gt;1, Assumptions!$E$18, 0)*-1</f>
        <v>0</v>
      </c>
      <c r="G520" s="24">
        <f t="shared" si="138"/>
        <v>1</v>
      </c>
      <c r="H520" s="20">
        <f t="shared" si="144"/>
        <v>339999.99999999994</v>
      </c>
      <c r="I520" s="2">
        <f>MAX(Assumptions!$D$8-SUM(Model_30y!H520), 0)</f>
        <v>5.8207660913467407E-11</v>
      </c>
      <c r="J520" s="2">
        <f>J519*(1+(Assumptions!$E$51))</f>
        <v>3491888.2762207431</v>
      </c>
      <c r="K520" s="22">
        <f t="shared" si="139"/>
        <v>3491888.2762207431</v>
      </c>
      <c r="L520" s="5">
        <f t="shared" si="145"/>
        <v>424999.99999999971</v>
      </c>
      <c r="M520" s="63">
        <f>L520/Assumptions!$D$6</f>
        <v>0.99999999999999933</v>
      </c>
      <c r="N520" s="24">
        <f t="shared" si="136"/>
        <v>0</v>
      </c>
      <c r="O520" s="5">
        <f>N520*Assumptions!$E$25*-1</f>
        <v>0</v>
      </c>
      <c r="P520" s="20">
        <f>Assumptions!$E$35*J520*-1</f>
        <v>-7192.7181215981336</v>
      </c>
      <c r="Q520" s="5">
        <f>J520*Assumptions!$E$36*-1</f>
        <v>-2896.6544161636261</v>
      </c>
      <c r="R520" s="5">
        <f>(R508+(Model_30y!R508*Assumptions!$D$51))</f>
        <v>-2647.9626142727479</v>
      </c>
      <c r="S520" s="5">
        <f>S508+(S508*Assumptions!$D$51)</f>
        <v>0</v>
      </c>
      <c r="T520" s="5">
        <f t="shared" si="148"/>
        <v>0</v>
      </c>
      <c r="U520" s="22">
        <f t="shared" si="140"/>
        <v>-12737.335152034508</v>
      </c>
      <c r="V520" s="5">
        <f>MAX(Assumptions!$E$18:$E$19)-U520</f>
        <v>15578.968163833204</v>
      </c>
      <c r="W520" s="5">
        <f t="shared" si="141"/>
        <v>0</v>
      </c>
      <c r="X520" s="5">
        <f t="shared" si="146"/>
        <v>-12737.335152034508</v>
      </c>
      <c r="Y520" s="5">
        <f>C520*Assumptions!$D$44*-1</f>
        <v>0</v>
      </c>
      <c r="Z520" s="5">
        <f t="shared" si="142"/>
        <v>2841.6330117986963</v>
      </c>
      <c r="AA520" s="5">
        <f t="shared" si="149"/>
        <v>4741575.2157244338</v>
      </c>
      <c r="AB520" s="3">
        <f>Assumptions!$E$45</f>
        <v>6.9899151946608562E-3</v>
      </c>
      <c r="AC520" s="5">
        <f t="shared" si="150"/>
        <v>4777560.0573832514</v>
      </c>
      <c r="AD520" s="5">
        <f>AC520*Assumptions!$E$43</f>
        <v>4278.6657345739641</v>
      </c>
      <c r="AE520" s="2">
        <f>AD520*Assumptions!$D$44*-1</f>
        <v>-641.79986018609463</v>
      </c>
      <c r="AF520" s="2">
        <f>AC520*Assumptions!$E$46*-1</f>
        <v>-159.22281317187944</v>
      </c>
      <c r="AG520" s="22">
        <f t="shared" si="151"/>
        <v>4776759.0347098932</v>
      </c>
      <c r="AH520" s="5">
        <f>Model_30y[[#This Row],[Mortgage Payment]]+Model_30y[[#This Row],[Total Upkeep]]+Model_30y[[#This Row],[Monthly Investment]]</f>
        <v>-9895.7021402358114</v>
      </c>
      <c r="AI520" s="5">
        <f>Model_Renter!D520*-1</f>
        <v>13364.960837567281</v>
      </c>
      <c r="AJ520" s="5">
        <f t="shared" si="152"/>
        <v>3469.2586973314701</v>
      </c>
    </row>
    <row r="521" spans="1:36" x14ac:dyDescent="0.25">
      <c r="A521" s="17">
        <f t="shared" si="147"/>
        <v>519</v>
      </c>
      <c r="B521" s="17">
        <f t="shared" si="143"/>
        <v>44</v>
      </c>
      <c r="C521" s="23">
        <f>IFERROR(IPMT(Assumptions!$D$16/12,Model_30y!A521, 360,Assumptions!$D$8), 0)</f>
        <v>0</v>
      </c>
      <c r="D521" s="2">
        <f>IFERROR(PPMT(Assumptions!$D$16/12, Model_30y!A521, 360, Assumptions!$D$8), 0)</f>
        <v>0</v>
      </c>
      <c r="E521" s="2">
        <f t="shared" si="137"/>
        <v>0</v>
      </c>
      <c r="F521" s="2">
        <f>IF(I520&gt;1, Assumptions!$E$18, 0)*-1</f>
        <v>0</v>
      </c>
      <c r="G521" s="24">
        <f t="shared" si="138"/>
        <v>1</v>
      </c>
      <c r="H521" s="20">
        <f t="shared" si="144"/>
        <v>339999.99999999994</v>
      </c>
      <c r="I521" s="2">
        <f>MAX(Assumptions!$D$8-SUM(Model_30y!H521), 0)</f>
        <v>5.8207660913467407E-11</v>
      </c>
      <c r="J521" s="2">
        <f>J520*(1+(Assumptions!$E$51))</f>
        <v>3506114.6612967369</v>
      </c>
      <c r="K521" s="22">
        <f t="shared" si="139"/>
        <v>3506114.6612967369</v>
      </c>
      <c r="L521" s="5">
        <f t="shared" si="145"/>
        <v>424999.99999999971</v>
      </c>
      <c r="M521" s="63">
        <f>L521/Assumptions!$D$6</f>
        <v>0.99999999999999933</v>
      </c>
      <c r="N521" s="24">
        <f t="shared" si="136"/>
        <v>0</v>
      </c>
      <c r="O521" s="5">
        <f>N521*Assumptions!$E$25*-1</f>
        <v>0</v>
      </c>
      <c r="P521" s="20">
        <f>Assumptions!$E$35*J521*-1</f>
        <v>-7222.022145566415</v>
      </c>
      <c r="Q521" s="5">
        <f>J521*Assumptions!$E$36*-1</f>
        <v>-2908.4557448135283</v>
      </c>
      <c r="R521" s="5">
        <f>(R509+(Model_30y!R509*Assumptions!$D$51))</f>
        <v>-2647.9626142727479</v>
      </c>
      <c r="S521" s="5">
        <f>S509+(S509*Assumptions!$D$51)</f>
        <v>0</v>
      </c>
      <c r="T521" s="5">
        <f t="shared" si="148"/>
        <v>0</v>
      </c>
      <c r="U521" s="22">
        <f t="shared" si="140"/>
        <v>-12778.440504652692</v>
      </c>
      <c r="V521" s="5">
        <f>MAX(Assumptions!$E$18:$E$19)-U521</f>
        <v>15620.073516451388</v>
      </c>
      <c r="W521" s="5">
        <f t="shared" si="141"/>
        <v>0</v>
      </c>
      <c r="X521" s="5">
        <f t="shared" si="146"/>
        <v>-12778.440504652692</v>
      </c>
      <c r="Y521" s="5">
        <f>C521*Assumptions!$D$44*-1</f>
        <v>0</v>
      </c>
      <c r="Z521" s="5">
        <f t="shared" si="142"/>
        <v>2841.6330117986963</v>
      </c>
      <c r="AA521" s="5">
        <f t="shared" si="149"/>
        <v>4776759.0347098932</v>
      </c>
      <c r="AB521" s="3">
        <f>Assumptions!$E$45</f>
        <v>6.9899151946608562E-3</v>
      </c>
      <c r="AC521" s="5">
        <f t="shared" si="150"/>
        <v>4812989.8082796438</v>
      </c>
      <c r="AD521" s="5">
        <f>AC521*Assumptions!$E$43</f>
        <v>4310.3957514286167</v>
      </c>
      <c r="AE521" s="2">
        <f>AD521*Assumptions!$D$44*-1</f>
        <v>-646.55936271429243</v>
      </c>
      <c r="AF521" s="2">
        <f>AC521*Assumptions!$E$46*-1</f>
        <v>-160.40358840859983</v>
      </c>
      <c r="AG521" s="22">
        <f t="shared" si="151"/>
        <v>4812182.845328521</v>
      </c>
      <c r="AH521" s="5">
        <f>Model_30y[[#This Row],[Mortgage Payment]]+Model_30y[[#This Row],[Total Upkeep]]+Model_30y[[#This Row],[Monthly Investment]]</f>
        <v>-9936.8074928539954</v>
      </c>
      <c r="AI521" s="5">
        <f>Model_Renter!D521*-1</f>
        <v>13364.960837567281</v>
      </c>
      <c r="AJ521" s="5">
        <f t="shared" si="152"/>
        <v>3428.1533447132861</v>
      </c>
    </row>
    <row r="522" spans="1:36" x14ac:dyDescent="0.25">
      <c r="A522" s="17">
        <f t="shared" si="147"/>
        <v>520</v>
      </c>
      <c r="B522" s="17">
        <f t="shared" si="143"/>
        <v>44</v>
      </c>
      <c r="C522" s="23">
        <f>IFERROR(IPMT(Assumptions!$D$16/12,Model_30y!A522, 360,Assumptions!$D$8), 0)</f>
        <v>0</v>
      </c>
      <c r="D522" s="2">
        <f>IFERROR(PPMT(Assumptions!$D$16/12, Model_30y!A522, 360, Assumptions!$D$8), 0)</f>
        <v>0</v>
      </c>
      <c r="E522" s="2">
        <f t="shared" si="137"/>
        <v>0</v>
      </c>
      <c r="F522" s="2">
        <f>IF(I521&gt;1, Assumptions!$E$18, 0)*-1</f>
        <v>0</v>
      </c>
      <c r="G522" s="24">
        <f t="shared" si="138"/>
        <v>1</v>
      </c>
      <c r="H522" s="20">
        <f t="shared" si="144"/>
        <v>339999.99999999994</v>
      </c>
      <c r="I522" s="2">
        <f>MAX(Assumptions!$D$8-SUM(Model_30y!H522), 0)</f>
        <v>5.8207660913467407E-11</v>
      </c>
      <c r="J522" s="2">
        <f>J521*(1+(Assumptions!$E$51))</f>
        <v>3520399.0064265244</v>
      </c>
      <c r="K522" s="22">
        <f t="shared" si="139"/>
        <v>3520399.0064265244</v>
      </c>
      <c r="L522" s="5">
        <f t="shared" si="145"/>
        <v>424999.99999999971</v>
      </c>
      <c r="M522" s="63">
        <f>L522/Assumptions!$D$6</f>
        <v>0.99999999999999933</v>
      </c>
      <c r="N522" s="24">
        <f t="shared" si="136"/>
        <v>0</v>
      </c>
      <c r="O522" s="5">
        <f>N522*Assumptions!$E$25*-1</f>
        <v>0</v>
      </c>
      <c r="P522" s="20">
        <f>Assumptions!$E$35*J522*-1</f>
        <v>-7251.4455577557028</v>
      </c>
      <c r="Q522" s="5">
        <f>J522*Assumptions!$E$36*-1</f>
        <v>-2920.3051535371619</v>
      </c>
      <c r="R522" s="5">
        <f>(R510+(Model_30y!R510*Assumptions!$D$51))</f>
        <v>-2647.9626142727479</v>
      </c>
      <c r="S522" s="5">
        <f>S510+(S510*Assumptions!$D$51)</f>
        <v>0</v>
      </c>
      <c r="T522" s="5">
        <f t="shared" si="148"/>
        <v>0</v>
      </c>
      <c r="U522" s="22">
        <f t="shared" si="140"/>
        <v>-12819.713325565614</v>
      </c>
      <c r="V522" s="5">
        <f>MAX(Assumptions!$E$18:$E$19)-U522</f>
        <v>15661.34633736431</v>
      </c>
      <c r="W522" s="5">
        <f t="shared" si="141"/>
        <v>0</v>
      </c>
      <c r="X522" s="5">
        <f t="shared" si="146"/>
        <v>-12819.713325565614</v>
      </c>
      <c r="Y522" s="5">
        <f>C522*Assumptions!$D$44*-1</f>
        <v>0</v>
      </c>
      <c r="Z522" s="5">
        <f t="shared" si="142"/>
        <v>2841.6330117986963</v>
      </c>
      <c r="AA522" s="5">
        <f t="shared" si="149"/>
        <v>4812182.845328521</v>
      </c>
      <c r="AB522" s="3">
        <f>Assumptions!$E$45</f>
        <v>6.9899151946608562E-3</v>
      </c>
      <c r="AC522" s="5">
        <f t="shared" si="150"/>
        <v>4848661.2283303672</v>
      </c>
      <c r="AD522" s="5">
        <f>AC522*Assumptions!$E$43</f>
        <v>4342.3422012568626</v>
      </c>
      <c r="AE522" s="2">
        <f>AD522*Assumptions!$D$44*-1</f>
        <v>-651.35133018852935</v>
      </c>
      <c r="AF522" s="2">
        <f>AC522*Assumptions!$E$46*-1</f>
        <v>-161.59241780730818</v>
      </c>
      <c r="AG522" s="22">
        <f t="shared" si="151"/>
        <v>4847848.2845823718</v>
      </c>
      <c r="AH522" s="5">
        <f>Model_30y[[#This Row],[Mortgage Payment]]+Model_30y[[#This Row],[Total Upkeep]]+Model_30y[[#This Row],[Monthly Investment]]</f>
        <v>-9978.0803137669172</v>
      </c>
      <c r="AI522" s="5">
        <f>Model_Renter!D522*-1</f>
        <v>13364.960837567281</v>
      </c>
      <c r="AJ522" s="5">
        <f t="shared" si="152"/>
        <v>3386.8805238003642</v>
      </c>
    </row>
    <row r="523" spans="1:36" x14ac:dyDescent="0.25">
      <c r="A523" s="17">
        <f t="shared" si="147"/>
        <v>521</v>
      </c>
      <c r="B523" s="17">
        <f t="shared" si="143"/>
        <v>44</v>
      </c>
      <c r="C523" s="23">
        <f>IFERROR(IPMT(Assumptions!$D$16/12,Model_30y!A523, 360,Assumptions!$D$8), 0)</f>
        <v>0</v>
      </c>
      <c r="D523" s="2">
        <f>IFERROR(PPMT(Assumptions!$D$16/12, Model_30y!A523, 360, Assumptions!$D$8), 0)</f>
        <v>0</v>
      </c>
      <c r="E523" s="2">
        <f t="shared" si="137"/>
        <v>0</v>
      </c>
      <c r="F523" s="2">
        <f>IF(I522&gt;1, Assumptions!$E$18, 0)*-1</f>
        <v>0</v>
      </c>
      <c r="G523" s="24">
        <f t="shared" si="138"/>
        <v>1</v>
      </c>
      <c r="H523" s="20">
        <f t="shared" si="144"/>
        <v>339999.99999999994</v>
      </c>
      <c r="I523" s="2">
        <f>MAX(Assumptions!$D$8-SUM(Model_30y!H523), 0)</f>
        <v>5.8207660913467407E-11</v>
      </c>
      <c r="J523" s="2">
        <f>J522*(1+(Assumptions!$E$51))</f>
        <v>3534741.5477465387</v>
      </c>
      <c r="K523" s="22">
        <f t="shared" si="139"/>
        <v>3534741.5477465387</v>
      </c>
      <c r="L523" s="5">
        <f t="shared" si="145"/>
        <v>424999.99999999971</v>
      </c>
      <c r="M523" s="63">
        <f>L523/Assumptions!$D$6</f>
        <v>0.99999999999999933</v>
      </c>
      <c r="N523" s="24">
        <f t="shared" si="136"/>
        <v>0</v>
      </c>
      <c r="O523" s="5">
        <f>N523*Assumptions!$E$25*-1</f>
        <v>0</v>
      </c>
      <c r="P523" s="20">
        <f>Assumptions!$E$35*J523*-1</f>
        <v>-7280.9888445683864</v>
      </c>
      <c r="Q523" s="5">
        <f>J523*Assumptions!$E$36*-1</f>
        <v>-2932.2028382186986</v>
      </c>
      <c r="R523" s="5">
        <f>(R511+(Model_30y!R511*Assumptions!$D$51))</f>
        <v>-2647.9626142727479</v>
      </c>
      <c r="S523" s="5">
        <f>S511+(S511*Assumptions!$D$51)</f>
        <v>0</v>
      </c>
      <c r="T523" s="5">
        <f t="shared" si="148"/>
        <v>0</v>
      </c>
      <c r="U523" s="22">
        <f t="shared" si="140"/>
        <v>-12861.154297059833</v>
      </c>
      <c r="V523" s="5">
        <f>MAX(Assumptions!$E$18:$E$19)-U523</f>
        <v>15702.787308858529</v>
      </c>
      <c r="W523" s="5">
        <f t="shared" si="141"/>
        <v>0</v>
      </c>
      <c r="X523" s="5">
        <f t="shared" si="146"/>
        <v>-12861.154297059833</v>
      </c>
      <c r="Y523" s="5">
        <f>C523*Assumptions!$D$44*-1</f>
        <v>0</v>
      </c>
      <c r="Z523" s="5">
        <f t="shared" si="142"/>
        <v>2841.6330117986963</v>
      </c>
      <c r="AA523" s="5">
        <f t="shared" si="149"/>
        <v>4847848.2845823718</v>
      </c>
      <c r="AB523" s="3">
        <f>Assumptions!$E$45</f>
        <v>6.9899151946608562E-3</v>
      </c>
      <c r="AC523" s="5">
        <f t="shared" si="150"/>
        <v>4884575.9659799831</v>
      </c>
      <c r="AD523" s="5">
        <f>AC523*Assumptions!$E$43</f>
        <v>4374.5065603652629</v>
      </c>
      <c r="AE523" s="2">
        <f>AD523*Assumptions!$D$44*-1</f>
        <v>-656.17598405478941</v>
      </c>
      <c r="AF523" s="2">
        <f>AC523*Assumptions!$E$46*-1</f>
        <v>-162.7893563060853</v>
      </c>
      <c r="AG523" s="22">
        <f t="shared" si="151"/>
        <v>4883757.0006396221</v>
      </c>
      <c r="AH523" s="5">
        <f>Model_30y[[#This Row],[Mortgage Payment]]+Model_30y[[#This Row],[Total Upkeep]]+Model_30y[[#This Row],[Monthly Investment]]</f>
        <v>-10019.521285261137</v>
      </c>
      <c r="AI523" s="5">
        <f>Model_Renter!D523*-1</f>
        <v>13364.960837567281</v>
      </c>
      <c r="AJ523" s="5">
        <f t="shared" si="152"/>
        <v>3345.4395523061448</v>
      </c>
    </row>
    <row r="524" spans="1:36" x14ac:dyDescent="0.25">
      <c r="A524" s="17">
        <f t="shared" si="147"/>
        <v>522</v>
      </c>
      <c r="B524" s="17">
        <f t="shared" si="143"/>
        <v>44</v>
      </c>
      <c r="C524" s="23">
        <f>IFERROR(IPMT(Assumptions!$D$16/12,Model_30y!A524, 360,Assumptions!$D$8), 0)</f>
        <v>0</v>
      </c>
      <c r="D524" s="2">
        <f>IFERROR(PPMT(Assumptions!$D$16/12, Model_30y!A524, 360, Assumptions!$D$8), 0)</f>
        <v>0</v>
      </c>
      <c r="E524" s="2">
        <f t="shared" si="137"/>
        <v>0</v>
      </c>
      <c r="F524" s="2">
        <f>IF(I523&gt;1, Assumptions!$E$18, 0)*-1</f>
        <v>0</v>
      </c>
      <c r="G524" s="24">
        <f t="shared" si="138"/>
        <v>1</v>
      </c>
      <c r="H524" s="20">
        <f t="shared" si="144"/>
        <v>339999.99999999994</v>
      </c>
      <c r="I524" s="2">
        <f>MAX(Assumptions!$D$8-SUM(Model_30y!H524), 0)</f>
        <v>5.8207660913467407E-11</v>
      </c>
      <c r="J524" s="2">
        <f>J523*(1+(Assumptions!$E$51))</f>
        <v>3549142.5223552627</v>
      </c>
      <c r="K524" s="22">
        <f t="shared" si="139"/>
        <v>3549142.5223552627</v>
      </c>
      <c r="L524" s="5">
        <f t="shared" si="145"/>
        <v>424999.99999999971</v>
      </c>
      <c r="M524" s="63">
        <f>L524/Assumptions!$D$6</f>
        <v>0.99999999999999933</v>
      </c>
      <c r="N524" s="24">
        <f t="shared" si="136"/>
        <v>0</v>
      </c>
      <c r="O524" s="5">
        <f>N524*Assumptions!$E$25*-1</f>
        <v>0</v>
      </c>
      <c r="P524" s="20">
        <f>Assumptions!$E$35*J524*-1</f>
        <v>-7310.6524943885206</v>
      </c>
      <c r="Q524" s="5">
        <f>J524*Assumptions!$E$36*-1</f>
        <v>-2944.1489955403663</v>
      </c>
      <c r="R524" s="5">
        <f>(R512+(Model_30y!R512*Assumptions!$D$51))</f>
        <v>-2647.9626142727479</v>
      </c>
      <c r="S524" s="5">
        <f>S512+(S512*Assumptions!$D$51)</f>
        <v>0</v>
      </c>
      <c r="T524" s="5">
        <f t="shared" si="148"/>
        <v>0</v>
      </c>
      <c r="U524" s="22">
        <f t="shared" si="140"/>
        <v>-12902.764104201635</v>
      </c>
      <c r="V524" s="5">
        <f>MAX(Assumptions!$E$18:$E$19)-U524</f>
        <v>15744.397116000331</v>
      </c>
      <c r="W524" s="5">
        <f t="shared" si="141"/>
        <v>0</v>
      </c>
      <c r="X524" s="5">
        <f t="shared" si="146"/>
        <v>-12902.764104201635</v>
      </c>
      <c r="Y524" s="5">
        <f>C524*Assumptions!$D$44*-1</f>
        <v>0</v>
      </c>
      <c r="Z524" s="5">
        <f t="shared" si="142"/>
        <v>2841.6330117986963</v>
      </c>
      <c r="AA524" s="5">
        <f t="shared" si="149"/>
        <v>4883757.0006396221</v>
      </c>
      <c r="AB524" s="3">
        <f>Assumptions!$E$45</f>
        <v>6.9899151946608562E-3</v>
      </c>
      <c r="AC524" s="5">
        <f t="shared" si="150"/>
        <v>4920735.680917223</v>
      </c>
      <c r="AD524" s="5">
        <f>AC524*Assumptions!$E$43</f>
        <v>4406.890315130383</v>
      </c>
      <c r="AE524" s="2">
        <f>AD524*Assumptions!$D$44*-1</f>
        <v>-661.0335472695574</v>
      </c>
      <c r="AF524" s="2">
        <f>AC524*Assumptions!$E$46*-1</f>
        <v>-163.99445921774895</v>
      </c>
      <c r="AG524" s="22">
        <f t="shared" si="151"/>
        <v>4919910.6529107355</v>
      </c>
      <c r="AH524" s="5">
        <f>Model_30y[[#This Row],[Mortgage Payment]]+Model_30y[[#This Row],[Total Upkeep]]+Model_30y[[#This Row],[Monthly Investment]]</f>
        <v>-10061.131092402939</v>
      </c>
      <c r="AI524" s="5">
        <f>Model_Renter!D524*-1</f>
        <v>13364.960837567281</v>
      </c>
      <c r="AJ524" s="5">
        <f t="shared" si="152"/>
        <v>3303.829745164343</v>
      </c>
    </row>
    <row r="525" spans="1:36" x14ac:dyDescent="0.25">
      <c r="A525" s="17">
        <f t="shared" si="147"/>
        <v>523</v>
      </c>
      <c r="B525" s="17">
        <f t="shared" si="143"/>
        <v>44</v>
      </c>
      <c r="C525" s="23">
        <f>IFERROR(IPMT(Assumptions!$D$16/12,Model_30y!A525, 360,Assumptions!$D$8), 0)</f>
        <v>0</v>
      </c>
      <c r="D525" s="2">
        <f>IFERROR(PPMT(Assumptions!$D$16/12, Model_30y!A525, 360, Assumptions!$D$8), 0)</f>
        <v>0</v>
      </c>
      <c r="E525" s="2">
        <f t="shared" si="137"/>
        <v>0</v>
      </c>
      <c r="F525" s="2">
        <f>IF(I524&gt;1, Assumptions!$E$18, 0)*-1</f>
        <v>0</v>
      </c>
      <c r="G525" s="24">
        <f t="shared" si="138"/>
        <v>1</v>
      </c>
      <c r="H525" s="20">
        <f t="shared" si="144"/>
        <v>339999.99999999994</v>
      </c>
      <c r="I525" s="2">
        <f>MAX(Assumptions!$D$8-SUM(Model_30y!H525), 0)</f>
        <v>5.8207660913467407E-11</v>
      </c>
      <c r="J525" s="2">
        <f>J524*(1+(Assumptions!$E$51))</f>
        <v>3563602.168317148</v>
      </c>
      <c r="K525" s="22">
        <f t="shared" si="139"/>
        <v>3563602.168317148</v>
      </c>
      <c r="L525" s="5">
        <f t="shared" si="145"/>
        <v>424999.99999999971</v>
      </c>
      <c r="M525" s="63">
        <f>L525/Assumptions!$D$6</f>
        <v>0.99999999999999933</v>
      </c>
      <c r="N525" s="24">
        <f t="shared" si="136"/>
        <v>0</v>
      </c>
      <c r="O525" s="5">
        <f>N525*Assumptions!$E$25*-1</f>
        <v>0</v>
      </c>
      <c r="P525" s="20">
        <f>Assumptions!$E$35*J525*-1</f>
        <v>-7340.4369975898971</v>
      </c>
      <c r="Q525" s="5">
        <f>J525*Assumptions!$E$36*-1</f>
        <v>-2956.1438229857017</v>
      </c>
      <c r="R525" s="5">
        <f>(R513+(Model_30y!R513*Assumptions!$D$51))</f>
        <v>-2647.9626142727479</v>
      </c>
      <c r="S525" s="5">
        <f>S513+(S513*Assumptions!$D$51)</f>
        <v>0</v>
      </c>
      <c r="T525" s="5">
        <f t="shared" si="148"/>
        <v>0</v>
      </c>
      <c r="U525" s="22">
        <f t="shared" si="140"/>
        <v>-12944.543434848347</v>
      </c>
      <c r="V525" s="5">
        <f>MAX(Assumptions!$E$18:$E$19)-U525</f>
        <v>15786.176446647043</v>
      </c>
      <c r="W525" s="5">
        <f t="shared" si="141"/>
        <v>0</v>
      </c>
      <c r="X525" s="5">
        <f t="shared" si="146"/>
        <v>-12944.543434848347</v>
      </c>
      <c r="Y525" s="5">
        <f>C525*Assumptions!$D$44*-1</f>
        <v>0</v>
      </c>
      <c r="Z525" s="5">
        <f t="shared" si="142"/>
        <v>2841.6330117986963</v>
      </c>
      <c r="AA525" s="5">
        <f t="shared" si="149"/>
        <v>4919910.6529107355</v>
      </c>
      <c r="AB525" s="3">
        <f>Assumptions!$E$45</f>
        <v>6.9899151946608562E-3</v>
      </c>
      <c r="AC525" s="5">
        <f t="shared" si="150"/>
        <v>4957142.044151688</v>
      </c>
      <c r="AD525" s="5">
        <f>AC525*Assumptions!$E$43</f>
        <v>4439.4949620674797</v>
      </c>
      <c r="AE525" s="2">
        <f>AD525*Assumptions!$D$44*-1</f>
        <v>-665.92424431012194</v>
      </c>
      <c r="AF525" s="2">
        <f>AC525*Assumptions!$E$46*-1</f>
        <v>-165.20778223241007</v>
      </c>
      <c r="AG525" s="22">
        <f t="shared" si="151"/>
        <v>4956310.9121251451</v>
      </c>
      <c r="AH525" s="5">
        <f>Model_30y[[#This Row],[Mortgage Payment]]+Model_30y[[#This Row],[Total Upkeep]]+Model_30y[[#This Row],[Monthly Investment]]</f>
        <v>-10102.91042304965</v>
      </c>
      <c r="AI525" s="5">
        <f>Model_Renter!D525*-1</f>
        <v>13364.960837567281</v>
      </c>
      <c r="AJ525" s="5">
        <f t="shared" si="152"/>
        <v>3262.050414517631</v>
      </c>
    </row>
    <row r="526" spans="1:36" x14ac:dyDescent="0.25">
      <c r="A526" s="17">
        <f t="shared" si="147"/>
        <v>524</v>
      </c>
      <c r="B526" s="17">
        <f t="shared" si="143"/>
        <v>44</v>
      </c>
      <c r="C526" s="23">
        <f>IFERROR(IPMT(Assumptions!$D$16/12,Model_30y!A526, 360,Assumptions!$D$8), 0)</f>
        <v>0</v>
      </c>
      <c r="D526" s="2">
        <f>IFERROR(PPMT(Assumptions!$D$16/12, Model_30y!A526, 360, Assumptions!$D$8), 0)</f>
        <v>0</v>
      </c>
      <c r="E526" s="2">
        <f t="shared" si="137"/>
        <v>0</v>
      </c>
      <c r="F526" s="2">
        <f>IF(I525&gt;1, Assumptions!$E$18, 0)*-1</f>
        <v>0</v>
      </c>
      <c r="G526" s="24">
        <f t="shared" si="138"/>
        <v>1</v>
      </c>
      <c r="H526" s="20">
        <f t="shared" si="144"/>
        <v>339999.99999999994</v>
      </c>
      <c r="I526" s="2">
        <f>MAX(Assumptions!$D$8-SUM(Model_30y!H526), 0)</f>
        <v>5.8207660913467407E-11</v>
      </c>
      <c r="J526" s="2">
        <f>J525*(1+(Assumptions!$E$51))</f>
        <v>3578120.7246665498</v>
      </c>
      <c r="K526" s="22">
        <f t="shared" si="139"/>
        <v>3578120.7246665498</v>
      </c>
      <c r="L526" s="5">
        <f t="shared" si="145"/>
        <v>424999.99999999971</v>
      </c>
      <c r="M526" s="63">
        <f>L526/Assumptions!$D$6</f>
        <v>0.99999999999999933</v>
      </c>
      <c r="N526" s="24">
        <f t="shared" si="136"/>
        <v>0</v>
      </c>
      <c r="O526" s="5">
        <f>N526*Assumptions!$E$25*-1</f>
        <v>0</v>
      </c>
      <c r="P526" s="20">
        <f>Assumptions!$E$35*J526*-1</f>
        <v>-7370.3428465441502</v>
      </c>
      <c r="Q526" s="5">
        <f>J526*Assumptions!$E$36*-1</f>
        <v>-2968.187518842813</v>
      </c>
      <c r="R526" s="5">
        <f>(R514+(Model_30y!R514*Assumptions!$D$51))</f>
        <v>-2647.9626142727479</v>
      </c>
      <c r="S526" s="5">
        <f>S514+(S514*Assumptions!$D$51)</f>
        <v>0</v>
      </c>
      <c r="T526" s="5">
        <f t="shared" si="148"/>
        <v>0</v>
      </c>
      <c r="U526" s="22">
        <f t="shared" si="140"/>
        <v>-12986.492979659712</v>
      </c>
      <c r="V526" s="5">
        <f>MAX(Assumptions!$E$18:$E$19)-U526</f>
        <v>15828.125991458408</v>
      </c>
      <c r="W526" s="5">
        <f t="shared" si="141"/>
        <v>0</v>
      </c>
      <c r="X526" s="5">
        <f t="shared" si="146"/>
        <v>-12986.492979659712</v>
      </c>
      <c r="Y526" s="5">
        <f>C526*Assumptions!$D$44*-1</f>
        <v>0</v>
      </c>
      <c r="Z526" s="5">
        <f t="shared" si="142"/>
        <v>2841.6330117986963</v>
      </c>
      <c r="AA526" s="5">
        <f t="shared" si="149"/>
        <v>4956310.9121251451</v>
      </c>
      <c r="AB526" s="3">
        <f>Assumptions!$E$45</f>
        <v>6.9899151946608562E-3</v>
      </c>
      <c r="AC526" s="5">
        <f t="shared" si="150"/>
        <v>4993796.7380910702</v>
      </c>
      <c r="AD526" s="5">
        <f>AC526*Assumptions!$E$43</f>
        <v>4472.3220078996637</v>
      </c>
      <c r="AE526" s="2">
        <f>AD526*Assumptions!$D$44*-1</f>
        <v>-670.84830118494949</v>
      </c>
      <c r="AF526" s="2">
        <f>AC526*Assumptions!$E$46*-1</f>
        <v>-166.4293814200463</v>
      </c>
      <c r="AG526" s="22">
        <f t="shared" si="151"/>
        <v>4992959.460408465</v>
      </c>
      <c r="AH526" s="5">
        <f>Model_30y[[#This Row],[Mortgage Payment]]+Model_30y[[#This Row],[Total Upkeep]]+Model_30y[[#This Row],[Monthly Investment]]</f>
        <v>-10144.859967861015</v>
      </c>
      <c r="AI526" s="5">
        <f>Model_Renter!D526*-1</f>
        <v>13364.960837567281</v>
      </c>
      <c r="AJ526" s="5">
        <f t="shared" si="152"/>
        <v>3220.1008697062662</v>
      </c>
    </row>
    <row r="527" spans="1:36" x14ac:dyDescent="0.25">
      <c r="A527" s="17">
        <f t="shared" si="147"/>
        <v>525</v>
      </c>
      <c r="B527" s="17">
        <f t="shared" si="143"/>
        <v>44</v>
      </c>
      <c r="C527" s="23">
        <f>IFERROR(IPMT(Assumptions!$D$16/12,Model_30y!A527, 360,Assumptions!$D$8), 0)</f>
        <v>0</v>
      </c>
      <c r="D527" s="2">
        <f>IFERROR(PPMT(Assumptions!$D$16/12, Model_30y!A527, 360, Assumptions!$D$8), 0)</f>
        <v>0</v>
      </c>
      <c r="E527" s="2">
        <f t="shared" si="137"/>
        <v>0</v>
      </c>
      <c r="F527" s="2">
        <f>IF(I526&gt;1, Assumptions!$E$18, 0)*-1</f>
        <v>0</v>
      </c>
      <c r="G527" s="24">
        <f t="shared" si="138"/>
        <v>1</v>
      </c>
      <c r="H527" s="20">
        <f t="shared" si="144"/>
        <v>339999.99999999994</v>
      </c>
      <c r="I527" s="2">
        <f>MAX(Assumptions!$D$8-SUM(Model_30y!H527), 0)</f>
        <v>5.8207660913467407E-11</v>
      </c>
      <c r="J527" s="2">
        <f>J526*(1+(Assumptions!$E$51))</f>
        <v>3592698.4314116789</v>
      </c>
      <c r="K527" s="22">
        <f t="shared" si="139"/>
        <v>3592698.4314116789</v>
      </c>
      <c r="L527" s="5">
        <f t="shared" si="145"/>
        <v>424999.99999999971</v>
      </c>
      <c r="M527" s="63">
        <f>L527/Assumptions!$D$6</f>
        <v>0.99999999999999933</v>
      </c>
      <c r="N527" s="24">
        <f t="shared" si="136"/>
        <v>0</v>
      </c>
      <c r="O527" s="5">
        <f>N527*Assumptions!$E$25*-1</f>
        <v>0</v>
      </c>
      <c r="P527" s="20">
        <f>Assumptions!$E$35*J527*-1</f>
        <v>-7400.3705356288983</v>
      </c>
      <c r="Q527" s="5">
        <f>J527*Assumptions!$E$36*-1</f>
        <v>-2980.2802822076587</v>
      </c>
      <c r="R527" s="5">
        <f>(R515+(Model_30y!R515*Assumptions!$D$51))</f>
        <v>-2647.9626142727479</v>
      </c>
      <c r="S527" s="5">
        <f>S515+(S515*Assumptions!$D$51)</f>
        <v>0</v>
      </c>
      <c r="T527" s="5">
        <f t="shared" si="148"/>
        <v>0</v>
      </c>
      <c r="U527" s="22">
        <f t="shared" si="140"/>
        <v>-13028.613432109305</v>
      </c>
      <c r="V527" s="5">
        <f>MAX(Assumptions!$E$18:$E$19)-U527</f>
        <v>15870.246443908001</v>
      </c>
      <c r="W527" s="5">
        <f t="shared" si="141"/>
        <v>0</v>
      </c>
      <c r="X527" s="5">
        <f t="shared" si="146"/>
        <v>-13028.613432109305</v>
      </c>
      <c r="Y527" s="5">
        <f>C527*Assumptions!$D$44*-1</f>
        <v>0</v>
      </c>
      <c r="Z527" s="5">
        <f t="shared" si="142"/>
        <v>2841.6330117986963</v>
      </c>
      <c r="AA527" s="5">
        <f t="shared" si="149"/>
        <v>4992959.460408465</v>
      </c>
      <c r="AB527" s="3">
        <f>Assumptions!$E$45</f>
        <v>6.9899151946608562E-3</v>
      </c>
      <c r="AC527" s="5">
        <f t="shared" si="150"/>
        <v>5030701.4566188985</v>
      </c>
      <c r="AD527" s="5">
        <f>AC527*Assumptions!$E$43</f>
        <v>4505.3729696275213</v>
      </c>
      <c r="AE527" s="2">
        <f>AD527*Assumptions!$D$44*-1</f>
        <v>-675.80594544412816</v>
      </c>
      <c r="AF527" s="2">
        <f>AC527*Assumptions!$E$46*-1</f>
        <v>-167.65931323309309</v>
      </c>
      <c r="AG527" s="22">
        <f t="shared" si="151"/>
        <v>5029857.9913602211</v>
      </c>
      <c r="AH527" s="5">
        <f>Model_30y[[#This Row],[Mortgage Payment]]+Model_30y[[#This Row],[Total Upkeep]]+Model_30y[[#This Row],[Monthly Investment]]</f>
        <v>-10186.980420310609</v>
      </c>
      <c r="AI527" s="5">
        <f>Model_Renter!D527*-1</f>
        <v>13364.960837567281</v>
      </c>
      <c r="AJ527" s="5">
        <f t="shared" si="152"/>
        <v>3177.9804172566728</v>
      </c>
    </row>
    <row r="528" spans="1:36" x14ac:dyDescent="0.25">
      <c r="A528" s="17">
        <f t="shared" si="147"/>
        <v>526</v>
      </c>
      <c r="B528" s="17">
        <f t="shared" si="143"/>
        <v>44</v>
      </c>
      <c r="C528" s="23">
        <f>IFERROR(IPMT(Assumptions!$D$16/12,Model_30y!A528, 360,Assumptions!$D$8), 0)</f>
        <v>0</v>
      </c>
      <c r="D528" s="2">
        <f>IFERROR(PPMT(Assumptions!$D$16/12, Model_30y!A528, 360, Assumptions!$D$8), 0)</f>
        <v>0</v>
      </c>
      <c r="E528" s="2">
        <f t="shared" si="137"/>
        <v>0</v>
      </c>
      <c r="F528" s="2">
        <f>IF(I527&gt;1, Assumptions!$E$18, 0)*-1</f>
        <v>0</v>
      </c>
      <c r="G528" s="24">
        <f t="shared" si="138"/>
        <v>1</v>
      </c>
      <c r="H528" s="20">
        <f t="shared" si="144"/>
        <v>339999.99999999994</v>
      </c>
      <c r="I528" s="2">
        <f>MAX(Assumptions!$D$8-SUM(Model_30y!H528), 0)</f>
        <v>5.8207660913467407E-11</v>
      </c>
      <c r="J528" s="2">
        <f>J527*(1+(Assumptions!$E$51))</f>
        <v>3607335.5295385695</v>
      </c>
      <c r="K528" s="22">
        <f t="shared" si="139"/>
        <v>3607335.5295385695</v>
      </c>
      <c r="L528" s="5">
        <f t="shared" si="145"/>
        <v>424999.99999999971</v>
      </c>
      <c r="M528" s="63">
        <f>L528/Assumptions!$D$6</f>
        <v>0.99999999999999933</v>
      </c>
      <c r="N528" s="24">
        <f t="shared" si="136"/>
        <v>0</v>
      </c>
      <c r="O528" s="5">
        <f>N528*Assumptions!$E$25*-1</f>
        <v>0</v>
      </c>
      <c r="P528" s="20">
        <f>Assumptions!$E$35*J528*-1</f>
        <v>-7430.520561235915</v>
      </c>
      <c r="Q528" s="5">
        <f>J528*Assumptions!$E$36*-1</f>
        <v>-2992.4223129873394</v>
      </c>
      <c r="R528" s="5">
        <f>(R516+(Model_30y!R516*Assumptions!$D$51))</f>
        <v>-2647.9626142727479</v>
      </c>
      <c r="S528" s="5">
        <f>S516+(S516*Assumptions!$D$51)</f>
        <v>0</v>
      </c>
      <c r="T528" s="5">
        <f t="shared" si="148"/>
        <v>0</v>
      </c>
      <c r="U528" s="22">
        <f t="shared" si="140"/>
        <v>-13070.905488496002</v>
      </c>
      <c r="V528" s="5">
        <f>MAX(Assumptions!$E$18:$E$19)-U528</f>
        <v>15912.538500294699</v>
      </c>
      <c r="W528" s="5">
        <f t="shared" si="141"/>
        <v>0</v>
      </c>
      <c r="X528" s="5">
        <f t="shared" si="146"/>
        <v>-13070.905488496002</v>
      </c>
      <c r="Y528" s="5">
        <f>C528*Assumptions!$D$44*-1</f>
        <v>0</v>
      </c>
      <c r="Z528" s="5">
        <f t="shared" si="142"/>
        <v>2841.6330117986963</v>
      </c>
      <c r="AA528" s="5">
        <f t="shared" si="149"/>
        <v>5029857.9913602211</v>
      </c>
      <c r="AB528" s="3">
        <f>Assumptions!$E$45</f>
        <v>6.9899151946608562E-3</v>
      </c>
      <c r="AC528" s="5">
        <f t="shared" si="150"/>
        <v>5067857.9051728146</v>
      </c>
      <c r="AD528" s="5">
        <f>AC528*Assumptions!$E$43</f>
        <v>4538.6493745992211</v>
      </c>
      <c r="AE528" s="2">
        <f>AD528*Assumptions!$D$44*-1</f>
        <v>-680.79740618988319</v>
      </c>
      <c r="AF528" s="2">
        <f>AC528*Assumptions!$E$46*-1</f>
        <v>-168.89763450905232</v>
      </c>
      <c r="AG528" s="22">
        <f t="shared" si="151"/>
        <v>5067008.2101321155</v>
      </c>
      <c r="AH528" s="5">
        <f>Model_30y[[#This Row],[Mortgage Payment]]+Model_30y[[#This Row],[Total Upkeep]]+Model_30y[[#This Row],[Monthly Investment]]</f>
        <v>-10229.272476697306</v>
      </c>
      <c r="AI528" s="5">
        <f>Model_Renter!D528*-1</f>
        <v>13364.960837567281</v>
      </c>
      <c r="AJ528" s="5">
        <f t="shared" si="152"/>
        <v>3135.6883608699754</v>
      </c>
    </row>
    <row r="529" spans="1:36" x14ac:dyDescent="0.25">
      <c r="A529" s="17">
        <f t="shared" si="147"/>
        <v>527</v>
      </c>
      <c r="B529" s="17">
        <f t="shared" si="143"/>
        <v>44</v>
      </c>
      <c r="C529" s="23">
        <f>IFERROR(IPMT(Assumptions!$D$16/12,Model_30y!A529, 360,Assumptions!$D$8), 0)</f>
        <v>0</v>
      </c>
      <c r="D529" s="2">
        <f>IFERROR(PPMT(Assumptions!$D$16/12, Model_30y!A529, 360, Assumptions!$D$8), 0)</f>
        <v>0</v>
      </c>
      <c r="E529" s="2">
        <f t="shared" si="137"/>
        <v>0</v>
      </c>
      <c r="F529" s="2">
        <f>IF(I528&gt;1, Assumptions!$E$18, 0)*-1</f>
        <v>0</v>
      </c>
      <c r="G529" s="24">
        <f t="shared" si="138"/>
        <v>1</v>
      </c>
      <c r="H529" s="20">
        <f t="shared" si="144"/>
        <v>339999.99999999994</v>
      </c>
      <c r="I529" s="2">
        <f>MAX(Assumptions!$D$8-SUM(Model_30y!H529), 0)</f>
        <v>5.8207660913467407E-11</v>
      </c>
      <c r="J529" s="2">
        <f>J528*(1+(Assumptions!$E$51))</f>
        <v>3622032.2610150622</v>
      </c>
      <c r="K529" s="22">
        <f t="shared" si="139"/>
        <v>3622032.2610150622</v>
      </c>
      <c r="L529" s="5">
        <f t="shared" si="145"/>
        <v>424999.99999999971</v>
      </c>
      <c r="M529" s="63">
        <f>L529/Assumptions!$D$6</f>
        <v>0.99999999999999933</v>
      </c>
      <c r="N529" s="24">
        <f t="shared" si="136"/>
        <v>0</v>
      </c>
      <c r="O529" s="5">
        <f>N529*Assumptions!$E$25*-1</f>
        <v>0</v>
      </c>
      <c r="P529" s="20">
        <f>Assumptions!$E$35*J529*-1</f>
        <v>-7460.7934217793345</v>
      </c>
      <c r="Q529" s="5">
        <f>J529*Assumptions!$E$36*-1</f>
        <v>-3004.6138119034013</v>
      </c>
      <c r="R529" s="5">
        <f>(R517+(Model_30y!R517*Assumptions!$D$51))</f>
        <v>-2647.9626142727479</v>
      </c>
      <c r="S529" s="5">
        <f>S517+(S517*Assumptions!$D$51)</f>
        <v>0</v>
      </c>
      <c r="T529" s="5">
        <f t="shared" si="148"/>
        <v>0</v>
      </c>
      <c r="U529" s="22">
        <f t="shared" si="140"/>
        <v>-13113.369847955484</v>
      </c>
      <c r="V529" s="5">
        <f>MAX(Assumptions!$E$18:$E$19)-U529</f>
        <v>15955.00285975418</v>
      </c>
      <c r="W529" s="5">
        <f t="shared" si="141"/>
        <v>0</v>
      </c>
      <c r="X529" s="5">
        <f t="shared" si="146"/>
        <v>-13113.369847955484</v>
      </c>
      <c r="Y529" s="5">
        <f>C529*Assumptions!$D$44*-1</f>
        <v>0</v>
      </c>
      <c r="Z529" s="5">
        <f t="shared" si="142"/>
        <v>2841.6330117986963</v>
      </c>
      <c r="AA529" s="5">
        <f t="shared" si="149"/>
        <v>5067008.2101321155</v>
      </c>
      <c r="AB529" s="3">
        <f>Assumptions!$E$45</f>
        <v>6.9899151946608562E-3</v>
      </c>
      <c r="AC529" s="5">
        <f t="shared" si="150"/>
        <v>5105267.8008233877</v>
      </c>
      <c r="AD529" s="5">
        <f>AC529*Assumptions!$E$43</f>
        <v>4572.1527605810952</v>
      </c>
      <c r="AE529" s="2">
        <f>AD529*Assumptions!$D$44*-1</f>
        <v>-685.82291408716424</v>
      </c>
      <c r="AF529" s="2">
        <f>AC529*Assumptions!$E$46*-1</f>
        <v>-170.14440247311913</v>
      </c>
      <c r="AG529" s="22">
        <f t="shared" si="151"/>
        <v>5104411.8335068272</v>
      </c>
      <c r="AH529" s="5">
        <f>Model_30y[[#This Row],[Mortgage Payment]]+Model_30y[[#This Row],[Total Upkeep]]+Model_30y[[#This Row],[Monthly Investment]]</f>
        <v>-10271.736836156788</v>
      </c>
      <c r="AI529" s="5">
        <f>Model_Renter!D529*-1</f>
        <v>13364.960837567281</v>
      </c>
      <c r="AJ529" s="5">
        <f t="shared" si="152"/>
        <v>3093.2240014104937</v>
      </c>
    </row>
    <row r="530" spans="1:36" x14ac:dyDescent="0.25">
      <c r="A530" s="17">
        <f t="shared" si="147"/>
        <v>528</v>
      </c>
      <c r="B530" s="17">
        <f t="shared" si="143"/>
        <v>44</v>
      </c>
      <c r="C530" s="23">
        <f>IFERROR(IPMT(Assumptions!$D$16/12,Model_30y!A530, 360,Assumptions!$D$8), 0)</f>
        <v>0</v>
      </c>
      <c r="D530" s="2">
        <f>IFERROR(PPMT(Assumptions!$D$16/12, Model_30y!A530, 360, Assumptions!$D$8), 0)</f>
        <v>0</v>
      </c>
      <c r="E530" s="2">
        <f t="shared" si="137"/>
        <v>0</v>
      </c>
      <c r="F530" s="2">
        <f>IF(I529&gt;1, Assumptions!$E$18, 0)*-1</f>
        <v>0</v>
      </c>
      <c r="G530" s="24">
        <f t="shared" si="138"/>
        <v>1</v>
      </c>
      <c r="H530" s="20">
        <f t="shared" si="144"/>
        <v>339999.99999999994</v>
      </c>
      <c r="I530" s="2">
        <f>MAX(Assumptions!$D$8-SUM(Model_30y!H530), 0)</f>
        <v>5.8207660913467407E-11</v>
      </c>
      <c r="J530" s="2">
        <f>J529*(1+(Assumptions!$E$51))</f>
        <v>3636788.8687948054</v>
      </c>
      <c r="K530" s="22">
        <f t="shared" si="139"/>
        <v>3636788.8687948054</v>
      </c>
      <c r="L530" s="5">
        <f t="shared" si="145"/>
        <v>424999.99999999971</v>
      </c>
      <c r="M530" s="63">
        <f>L530/Assumptions!$D$6</f>
        <v>0.99999999999999933</v>
      </c>
      <c r="N530" s="24">
        <f t="shared" ref="N530:N542" si="153">IF(M530&lt;0.2, 1, 0)</f>
        <v>0</v>
      </c>
      <c r="O530" s="5">
        <f>N530*Assumptions!$E$25*-1</f>
        <v>0</v>
      </c>
      <c r="P530" s="20">
        <f>Assumptions!$E$35*J530*-1</f>
        <v>-7491.1896177038925</v>
      </c>
      <c r="Q530" s="5">
        <f>J530*Assumptions!$E$36*-1</f>
        <v>-3016.8549804951554</v>
      </c>
      <c r="R530" s="5">
        <f>(R518+(Model_30y!R518*Assumptions!$D$51))</f>
        <v>-2647.9626142727479</v>
      </c>
      <c r="S530" s="5">
        <f>S518+(S518*Assumptions!$D$51)</f>
        <v>0</v>
      </c>
      <c r="T530" s="5">
        <f t="shared" si="148"/>
        <v>0</v>
      </c>
      <c r="U530" s="22">
        <f t="shared" si="140"/>
        <v>-13156.007212471797</v>
      </c>
      <c r="V530" s="5">
        <f>MAX(Assumptions!$E$18:$E$19)-U530</f>
        <v>15997.640224270493</v>
      </c>
      <c r="W530" s="5">
        <f t="shared" si="141"/>
        <v>0</v>
      </c>
      <c r="X530" s="5">
        <f t="shared" si="146"/>
        <v>-13156.007212471797</v>
      </c>
      <c r="Y530" s="5">
        <f>C530*Assumptions!$D$44*-1</f>
        <v>0</v>
      </c>
      <c r="Z530" s="5">
        <f t="shared" si="142"/>
        <v>2841.6330117986963</v>
      </c>
      <c r="AA530" s="5">
        <f t="shared" si="149"/>
        <v>5104411.8335068272</v>
      </c>
      <c r="AB530" s="3">
        <f>Assumptions!$E$45</f>
        <v>6.9899151946608562E-3</v>
      </c>
      <c r="AC530" s="5">
        <f t="shared" si="150"/>
        <v>5142932.8723534616</v>
      </c>
      <c r="AD530" s="5">
        <f>AC530*Assumptions!$E$43</f>
        <v>4605.8846758287018</v>
      </c>
      <c r="AE530" s="2">
        <f>AD530*Assumptions!$D$44*-1</f>
        <v>-690.88270137430527</v>
      </c>
      <c r="AF530" s="2">
        <f>AC530*Assumptions!$E$46*-1</f>
        <v>-171.39967474082627</v>
      </c>
      <c r="AG530" s="22">
        <f t="shared" si="151"/>
        <v>5142070.5899773464</v>
      </c>
      <c r="AH530" s="5">
        <f>Model_30y[[#This Row],[Mortgage Payment]]+Model_30y[[#This Row],[Total Upkeep]]+Model_30y[[#This Row],[Monthly Investment]]</f>
        <v>-10314.374200673101</v>
      </c>
      <c r="AI530" s="5">
        <f>Model_Renter!D530*-1</f>
        <v>13364.960837567281</v>
      </c>
      <c r="AJ530" s="5">
        <f t="shared" si="152"/>
        <v>3050.5866368941806</v>
      </c>
    </row>
    <row r="531" spans="1:36" x14ac:dyDescent="0.25">
      <c r="A531" s="17">
        <f t="shared" si="147"/>
        <v>529</v>
      </c>
      <c r="B531" s="17">
        <f t="shared" si="143"/>
        <v>45</v>
      </c>
      <c r="C531" s="23">
        <f>IFERROR(IPMT(Assumptions!$D$16/12,Model_30y!A531, 360,Assumptions!$D$8), 0)</f>
        <v>0</v>
      </c>
      <c r="D531" s="2">
        <f>IFERROR(PPMT(Assumptions!$D$16/12, Model_30y!A531, 360, Assumptions!$D$8), 0)</f>
        <v>0</v>
      </c>
      <c r="E531" s="2">
        <f t="shared" si="137"/>
        <v>0</v>
      </c>
      <c r="F531" s="2">
        <f>IF(I530&gt;1, Assumptions!$E$18, 0)*-1</f>
        <v>0</v>
      </c>
      <c r="G531" s="24">
        <f t="shared" si="138"/>
        <v>1</v>
      </c>
      <c r="H531" s="20">
        <f t="shared" si="144"/>
        <v>339999.99999999994</v>
      </c>
      <c r="I531" s="2">
        <f>MAX(Assumptions!$D$8-SUM(Model_30y!H531), 0)</f>
        <v>5.8207660913467407E-11</v>
      </c>
      <c r="J531" s="2">
        <f>J530*(1+(Assumptions!$E$51))</f>
        <v>3651605.59682127</v>
      </c>
      <c r="K531" s="22">
        <f t="shared" si="139"/>
        <v>3651605.59682127</v>
      </c>
      <c r="L531" s="5">
        <f t="shared" si="145"/>
        <v>424999.99999999971</v>
      </c>
      <c r="M531" s="63">
        <f>L531/Assumptions!$D$6</f>
        <v>0.99999999999999933</v>
      </c>
      <c r="N531" s="24">
        <f t="shared" si="153"/>
        <v>0</v>
      </c>
      <c r="O531" s="5">
        <f>N531*Assumptions!$E$25*-1</f>
        <v>0</v>
      </c>
      <c r="P531" s="20">
        <f>Assumptions!$E$35*J531*-1</f>
        <v>-7521.7096514932</v>
      </c>
      <c r="Q531" s="5">
        <f>J531*Assumptions!$E$36*-1</f>
        <v>-3029.1460211230087</v>
      </c>
      <c r="R531" s="5">
        <f>(R519+(Model_30y!R519*Assumptions!$D$51))</f>
        <v>-2780.3607449863853</v>
      </c>
      <c r="S531" s="5">
        <f>S519+(S519*Assumptions!$D$51)</f>
        <v>0</v>
      </c>
      <c r="T531" s="5">
        <f t="shared" si="148"/>
        <v>0</v>
      </c>
      <c r="U531" s="22">
        <f t="shared" si="140"/>
        <v>-13331.216417602594</v>
      </c>
      <c r="V531" s="5">
        <f>MAX(Assumptions!$E$18:$E$19)-U531</f>
        <v>16172.849429401291</v>
      </c>
      <c r="W531" s="5">
        <f t="shared" si="141"/>
        <v>0</v>
      </c>
      <c r="X531" s="5">
        <f t="shared" si="146"/>
        <v>-13331.216417602594</v>
      </c>
      <c r="Y531" s="5">
        <f>C531*Assumptions!$D$44*-1</f>
        <v>0</v>
      </c>
      <c r="Z531" s="5">
        <f t="shared" si="142"/>
        <v>2841.6330117986963</v>
      </c>
      <c r="AA531" s="5">
        <f t="shared" si="149"/>
        <v>5142070.5899773464</v>
      </c>
      <c r="AB531" s="3">
        <f>Assumptions!$E$45</f>
        <v>6.9899151946608562E-3</v>
      </c>
      <c r="AC531" s="5">
        <f t="shared" si="150"/>
        <v>5180854.8603380462</v>
      </c>
      <c r="AD531" s="5">
        <f>AC531*Assumptions!$E$43</f>
        <v>4639.846679158376</v>
      </c>
      <c r="AE531" s="2">
        <f>AD531*Assumptions!$D$44*-1</f>
        <v>-695.97700187375642</v>
      </c>
      <c r="AF531" s="2">
        <f>AC531*Assumptions!$E$46*-1</f>
        <v>-172.66350932070654</v>
      </c>
      <c r="AG531" s="22">
        <f t="shared" si="151"/>
        <v>5179986.219826852</v>
      </c>
      <c r="AH531" s="5">
        <f>Model_30y[[#This Row],[Mortgage Payment]]+Model_30y[[#This Row],[Total Upkeep]]+Model_30y[[#This Row],[Monthly Investment]]</f>
        <v>-10489.583405803898</v>
      </c>
      <c r="AI531" s="5">
        <f>Model_Renter!D531*-1</f>
        <v>13864.8103728923</v>
      </c>
      <c r="AJ531" s="5">
        <f t="shared" si="152"/>
        <v>3375.2269670884016</v>
      </c>
    </row>
    <row r="532" spans="1:36" x14ac:dyDescent="0.25">
      <c r="A532" s="17">
        <f t="shared" si="147"/>
        <v>530</v>
      </c>
      <c r="B532" s="17">
        <f t="shared" si="143"/>
        <v>45</v>
      </c>
      <c r="C532" s="23">
        <f>IFERROR(IPMT(Assumptions!$D$16/12,Model_30y!A532, 360,Assumptions!$D$8), 0)</f>
        <v>0</v>
      </c>
      <c r="D532" s="2">
        <f>IFERROR(PPMT(Assumptions!$D$16/12, Model_30y!A532, 360, Assumptions!$D$8), 0)</f>
        <v>0</v>
      </c>
      <c r="E532" s="2">
        <f t="shared" si="137"/>
        <v>0</v>
      </c>
      <c r="F532" s="2">
        <f>IF(I531&gt;1, Assumptions!$E$18, 0)*-1</f>
        <v>0</v>
      </c>
      <c r="G532" s="24">
        <f t="shared" si="138"/>
        <v>1</v>
      </c>
      <c r="H532" s="20">
        <f t="shared" si="144"/>
        <v>339999.99999999994</v>
      </c>
      <c r="I532" s="2">
        <f>MAX(Assumptions!$D$8-SUM(Model_30y!H532), 0)</f>
        <v>5.8207660913467407E-11</v>
      </c>
      <c r="J532" s="2">
        <f>J531*(1+(Assumptions!$E$51))</f>
        <v>3666482.6900317827</v>
      </c>
      <c r="K532" s="22">
        <f t="shared" si="139"/>
        <v>3666482.6900317827</v>
      </c>
      <c r="L532" s="5">
        <f t="shared" si="145"/>
        <v>424999.99999999971</v>
      </c>
      <c r="M532" s="63">
        <f>L532/Assumptions!$D$6</f>
        <v>0.99999999999999933</v>
      </c>
      <c r="N532" s="24">
        <f t="shared" si="153"/>
        <v>0</v>
      </c>
      <c r="O532" s="5">
        <f>N532*Assumptions!$E$25*-1</f>
        <v>0</v>
      </c>
      <c r="P532" s="20">
        <f>Assumptions!$E$35*J532*-1</f>
        <v>-7552.3540276780459</v>
      </c>
      <c r="Q532" s="5">
        <f>J532*Assumptions!$E$36*-1</f>
        <v>-3041.4871369718094</v>
      </c>
      <c r="R532" s="5">
        <f>(R520+(Model_30y!R520*Assumptions!$D$51))</f>
        <v>-2780.3607449863853</v>
      </c>
      <c r="S532" s="5">
        <f>S520+(S520*Assumptions!$D$51)</f>
        <v>0</v>
      </c>
      <c r="T532" s="5">
        <f t="shared" si="148"/>
        <v>0</v>
      </c>
      <c r="U532" s="22">
        <f t="shared" si="140"/>
        <v>-13374.20190963624</v>
      </c>
      <c r="V532" s="5">
        <f>MAX(Assumptions!$E$18:$E$19)-U532</f>
        <v>16215.834921434936</v>
      </c>
      <c r="W532" s="5">
        <f t="shared" si="141"/>
        <v>0</v>
      </c>
      <c r="X532" s="5">
        <f t="shared" si="146"/>
        <v>-13374.20190963624</v>
      </c>
      <c r="Y532" s="5">
        <f>C532*Assumptions!$D$44*-1</f>
        <v>0</v>
      </c>
      <c r="Z532" s="5">
        <f t="shared" si="142"/>
        <v>2841.6330117986963</v>
      </c>
      <c r="AA532" s="5">
        <f t="shared" si="149"/>
        <v>5179986.219826852</v>
      </c>
      <c r="AB532" s="3">
        <f>Assumptions!$E$45</f>
        <v>6.9899151946608562E-3</v>
      </c>
      <c r="AC532" s="5">
        <f t="shared" si="150"/>
        <v>5219035.5172247523</v>
      </c>
      <c r="AD532" s="5">
        <f>AC532*Assumptions!$E$43</f>
        <v>4674.0403400192617</v>
      </c>
      <c r="AE532" s="2">
        <f>AD532*Assumptions!$D$44*-1</f>
        <v>-701.10605100288922</v>
      </c>
      <c r="AF532" s="2">
        <f>AC532*Assumptions!$E$46*-1</f>
        <v>-173.93596461697368</v>
      </c>
      <c r="AG532" s="22">
        <f t="shared" si="151"/>
        <v>5218160.4752091328</v>
      </c>
      <c r="AH532" s="5">
        <f>Model_30y[[#This Row],[Mortgage Payment]]+Model_30y[[#This Row],[Total Upkeep]]+Model_30y[[#This Row],[Monthly Investment]]</f>
        <v>-10532.568897837544</v>
      </c>
      <c r="AI532" s="5">
        <f>Model_Renter!D532*-1</f>
        <v>13864.8103728923</v>
      </c>
      <c r="AJ532" s="5">
        <f t="shared" si="152"/>
        <v>3332.2414750547559</v>
      </c>
    </row>
    <row r="533" spans="1:36" x14ac:dyDescent="0.25">
      <c r="A533" s="17">
        <f t="shared" si="147"/>
        <v>531</v>
      </c>
      <c r="B533" s="17">
        <f t="shared" si="143"/>
        <v>45</v>
      </c>
      <c r="C533" s="23">
        <f>IFERROR(IPMT(Assumptions!$D$16/12,Model_30y!A533, 360,Assumptions!$D$8), 0)</f>
        <v>0</v>
      </c>
      <c r="D533" s="2">
        <f>IFERROR(PPMT(Assumptions!$D$16/12, Model_30y!A533, 360, Assumptions!$D$8), 0)</f>
        <v>0</v>
      </c>
      <c r="E533" s="2">
        <f t="shared" si="137"/>
        <v>0</v>
      </c>
      <c r="F533" s="2">
        <f>IF(I532&gt;1, Assumptions!$E$18, 0)*-1</f>
        <v>0</v>
      </c>
      <c r="G533" s="24">
        <f t="shared" si="138"/>
        <v>1</v>
      </c>
      <c r="H533" s="20">
        <f t="shared" si="144"/>
        <v>339999.99999999994</v>
      </c>
      <c r="I533" s="2">
        <f>MAX(Assumptions!$D$8-SUM(Model_30y!H533), 0)</f>
        <v>5.8207660913467407E-11</v>
      </c>
      <c r="J533" s="2">
        <f>J532*(1+(Assumptions!$E$51))</f>
        <v>3681420.3943615761</v>
      </c>
      <c r="K533" s="22">
        <f t="shared" si="139"/>
        <v>3681420.3943615761</v>
      </c>
      <c r="L533" s="5">
        <f t="shared" si="145"/>
        <v>424999.99999999971</v>
      </c>
      <c r="M533" s="63">
        <f>L533/Assumptions!$D$6</f>
        <v>0.99999999999999933</v>
      </c>
      <c r="N533" s="24">
        <f t="shared" si="153"/>
        <v>0</v>
      </c>
      <c r="O533" s="5">
        <f>N533*Assumptions!$E$25*-1</f>
        <v>0</v>
      </c>
      <c r="P533" s="20">
        <f>Assumptions!$E$35*J533*-1</f>
        <v>-7583.1232528447408</v>
      </c>
      <c r="Q533" s="5">
        <f>J533*Assumptions!$E$36*-1</f>
        <v>-3053.8785320542065</v>
      </c>
      <c r="R533" s="5">
        <f>(R521+(Model_30y!R521*Assumptions!$D$51))</f>
        <v>-2780.3607449863853</v>
      </c>
      <c r="S533" s="5">
        <f>S521+(S521*Assumptions!$D$51)</f>
        <v>0</v>
      </c>
      <c r="T533" s="5">
        <f t="shared" si="148"/>
        <v>0</v>
      </c>
      <c r="U533" s="22">
        <f t="shared" si="140"/>
        <v>-13417.362529885333</v>
      </c>
      <c r="V533" s="5">
        <f>MAX(Assumptions!$E$18:$E$19)-U533</f>
        <v>16258.995541684029</v>
      </c>
      <c r="W533" s="5">
        <f t="shared" si="141"/>
        <v>0</v>
      </c>
      <c r="X533" s="5">
        <f t="shared" si="146"/>
        <v>-13417.362529885333</v>
      </c>
      <c r="Y533" s="5">
        <f>C533*Assumptions!$D$44*-1</f>
        <v>0</v>
      </c>
      <c r="Z533" s="5">
        <f t="shared" si="142"/>
        <v>2841.6330117986963</v>
      </c>
      <c r="AA533" s="5">
        <f t="shared" si="149"/>
        <v>5218160.4752091328</v>
      </c>
      <c r="AB533" s="3">
        <f>Assumptions!$E$45</f>
        <v>6.9899151946608562E-3</v>
      </c>
      <c r="AC533" s="5">
        <f t="shared" si="150"/>
        <v>5257476.6074147746</v>
      </c>
      <c r="AD533" s="5">
        <f>AC533*Assumptions!$E$43</f>
        <v>4708.4672385658396</v>
      </c>
      <c r="AE533" s="2">
        <f>AD533*Assumptions!$D$44*-1</f>
        <v>-706.27008578487596</v>
      </c>
      <c r="AF533" s="2">
        <f>AC533*Assumptions!$E$46*-1</f>
        <v>-175.21709943222112</v>
      </c>
      <c r="AG533" s="22">
        <f t="shared" si="151"/>
        <v>5256595.1202295572</v>
      </c>
      <c r="AH533" s="5">
        <f>Model_30y[[#This Row],[Mortgage Payment]]+Model_30y[[#This Row],[Total Upkeep]]+Model_30y[[#This Row],[Monthly Investment]]</f>
        <v>-10575.729518086637</v>
      </c>
      <c r="AI533" s="5">
        <f>Model_Renter!D533*-1</f>
        <v>13864.8103728923</v>
      </c>
      <c r="AJ533" s="5">
        <f t="shared" si="152"/>
        <v>3289.080854805663</v>
      </c>
    </row>
    <row r="534" spans="1:36" x14ac:dyDescent="0.25">
      <c r="A534" s="17">
        <f t="shared" si="147"/>
        <v>532</v>
      </c>
      <c r="B534" s="17">
        <f t="shared" si="143"/>
        <v>45</v>
      </c>
      <c r="C534" s="23">
        <f>IFERROR(IPMT(Assumptions!$D$16/12,Model_30y!A534, 360,Assumptions!$D$8), 0)</f>
        <v>0</v>
      </c>
      <c r="D534" s="2">
        <f>IFERROR(PPMT(Assumptions!$D$16/12, Model_30y!A534, 360, Assumptions!$D$8), 0)</f>
        <v>0</v>
      </c>
      <c r="E534" s="2">
        <f t="shared" si="137"/>
        <v>0</v>
      </c>
      <c r="F534" s="2">
        <f>IF(I533&gt;1, Assumptions!$E$18, 0)*-1</f>
        <v>0</v>
      </c>
      <c r="G534" s="24">
        <f t="shared" si="138"/>
        <v>1</v>
      </c>
      <c r="H534" s="20">
        <f t="shared" si="144"/>
        <v>339999.99999999994</v>
      </c>
      <c r="I534" s="2">
        <f>MAX(Assumptions!$D$8-SUM(Model_30y!H534), 0)</f>
        <v>5.8207660913467407E-11</v>
      </c>
      <c r="J534" s="2">
        <f>J533*(1+(Assumptions!$E$51))</f>
        <v>3696418.9567478527</v>
      </c>
      <c r="K534" s="22">
        <f t="shared" si="139"/>
        <v>3696418.9567478527</v>
      </c>
      <c r="L534" s="5">
        <f t="shared" si="145"/>
        <v>424999.99999999971</v>
      </c>
      <c r="M534" s="63">
        <f>L534/Assumptions!$D$6</f>
        <v>0.99999999999999933</v>
      </c>
      <c r="N534" s="24">
        <f t="shared" si="153"/>
        <v>0</v>
      </c>
      <c r="O534" s="5">
        <f>N534*Assumptions!$E$25*-1</f>
        <v>0</v>
      </c>
      <c r="P534" s="20">
        <f>Assumptions!$E$35*J534*-1</f>
        <v>-7614.0178356434926</v>
      </c>
      <c r="Q534" s="5">
        <f>J534*Assumptions!$E$36*-1</f>
        <v>-3066.320411214022</v>
      </c>
      <c r="R534" s="5">
        <f>(R522+(Model_30y!R522*Assumptions!$D$51))</f>
        <v>-2780.3607449863853</v>
      </c>
      <c r="S534" s="5">
        <f>S522+(S522*Assumptions!$D$51)</f>
        <v>0</v>
      </c>
      <c r="T534" s="5">
        <f t="shared" si="148"/>
        <v>0</v>
      </c>
      <c r="U534" s="22">
        <f t="shared" si="140"/>
        <v>-13460.698991843899</v>
      </c>
      <c r="V534" s="5">
        <f>MAX(Assumptions!$E$18:$E$19)-U534</f>
        <v>16302.332003642596</v>
      </c>
      <c r="W534" s="5">
        <f t="shared" si="141"/>
        <v>0</v>
      </c>
      <c r="X534" s="5">
        <f t="shared" si="146"/>
        <v>-13460.698991843899</v>
      </c>
      <c r="Y534" s="5">
        <f>C534*Assumptions!$D$44*-1</f>
        <v>0</v>
      </c>
      <c r="Z534" s="5">
        <f t="shared" si="142"/>
        <v>2841.6330117986963</v>
      </c>
      <c r="AA534" s="5">
        <f t="shared" si="149"/>
        <v>5256595.1202295572</v>
      </c>
      <c r="AB534" s="3">
        <f>Assumptions!$E$45</f>
        <v>6.9899151946608562E-3</v>
      </c>
      <c r="AC534" s="5">
        <f t="shared" si="150"/>
        <v>5296179.9073444279</v>
      </c>
      <c r="AD534" s="5">
        <f>AC534*Assumptions!$E$43</f>
        <v>4743.1289657309489</v>
      </c>
      <c r="AE534" s="2">
        <f>AD534*Assumptions!$D$44*-1</f>
        <v>-711.46934485964232</v>
      </c>
      <c r="AF534" s="2">
        <f>AC534*Assumptions!$E$46*-1</f>
        <v>-176.50697297013949</v>
      </c>
      <c r="AG534" s="22">
        <f t="shared" si="151"/>
        <v>5295291.9310265984</v>
      </c>
      <c r="AH534" s="5">
        <f>Model_30y[[#This Row],[Mortgage Payment]]+Model_30y[[#This Row],[Total Upkeep]]+Model_30y[[#This Row],[Monthly Investment]]</f>
        <v>-10619.065980045203</v>
      </c>
      <c r="AI534" s="5">
        <f>Model_Renter!D534*-1</f>
        <v>13864.8103728923</v>
      </c>
      <c r="AJ534" s="5">
        <f t="shared" si="152"/>
        <v>3245.7443928470966</v>
      </c>
    </row>
    <row r="535" spans="1:36" x14ac:dyDescent="0.25">
      <c r="A535" s="17">
        <f t="shared" si="147"/>
        <v>533</v>
      </c>
      <c r="B535" s="17">
        <f t="shared" si="143"/>
        <v>45</v>
      </c>
      <c r="C535" s="23">
        <f>IFERROR(IPMT(Assumptions!$D$16/12,Model_30y!A535, 360,Assumptions!$D$8), 0)</f>
        <v>0</v>
      </c>
      <c r="D535" s="2">
        <f>IFERROR(PPMT(Assumptions!$D$16/12, Model_30y!A535, 360, Assumptions!$D$8), 0)</f>
        <v>0</v>
      </c>
      <c r="E535" s="2">
        <f t="shared" si="137"/>
        <v>0</v>
      </c>
      <c r="F535" s="2">
        <f>IF(I534&gt;1, Assumptions!$E$18, 0)*-1</f>
        <v>0</v>
      </c>
      <c r="G535" s="24">
        <f t="shared" si="138"/>
        <v>1</v>
      </c>
      <c r="H535" s="20">
        <f t="shared" si="144"/>
        <v>339999.99999999994</v>
      </c>
      <c r="I535" s="2">
        <f>MAX(Assumptions!$D$8-SUM(Model_30y!H535), 0)</f>
        <v>5.8207660913467407E-11</v>
      </c>
      <c r="J535" s="2">
        <f>J534*(1+(Assumptions!$E$51))</f>
        <v>3711478.6251338678</v>
      </c>
      <c r="K535" s="22">
        <f t="shared" si="139"/>
        <v>3711478.6251338678</v>
      </c>
      <c r="L535" s="5">
        <f t="shared" si="145"/>
        <v>424999.99999999971</v>
      </c>
      <c r="M535" s="63">
        <f>L535/Assumptions!$D$6</f>
        <v>0.99999999999999933</v>
      </c>
      <c r="N535" s="24">
        <f t="shared" si="153"/>
        <v>0</v>
      </c>
      <c r="O535" s="5">
        <f>N535*Assumptions!$E$25*-1</f>
        <v>0</v>
      </c>
      <c r="P535" s="20">
        <f>Assumptions!$E$35*J535*-1</f>
        <v>-7645.0382867968101</v>
      </c>
      <c r="Q535" s="5">
        <f>J535*Assumptions!$E$36*-1</f>
        <v>-3078.8129801296354</v>
      </c>
      <c r="R535" s="5">
        <f>(R523+(Model_30y!R523*Assumptions!$D$51))</f>
        <v>-2780.3607449863853</v>
      </c>
      <c r="S535" s="5">
        <f>S523+(S523*Assumptions!$D$51)</f>
        <v>0</v>
      </c>
      <c r="T535" s="5">
        <f t="shared" si="148"/>
        <v>0</v>
      </c>
      <c r="U535" s="22">
        <f t="shared" si="140"/>
        <v>-13504.21201191283</v>
      </c>
      <c r="V535" s="5">
        <f>MAX(Assumptions!$E$18:$E$19)-U535</f>
        <v>16345.845023711527</v>
      </c>
      <c r="W535" s="5">
        <f t="shared" si="141"/>
        <v>0</v>
      </c>
      <c r="X535" s="5">
        <f t="shared" si="146"/>
        <v>-13504.21201191283</v>
      </c>
      <c r="Y535" s="5">
        <f>C535*Assumptions!$D$44*-1</f>
        <v>0</v>
      </c>
      <c r="Z535" s="5">
        <f t="shared" si="142"/>
        <v>2841.6330117986963</v>
      </c>
      <c r="AA535" s="5">
        <f t="shared" si="149"/>
        <v>5295291.9310265984</v>
      </c>
      <c r="AB535" s="3">
        <f>Assumptions!$E$45</f>
        <v>6.9899151946608562E-3</v>
      </c>
      <c r="AC535" s="5">
        <f t="shared" si="150"/>
        <v>5335147.2055672444</v>
      </c>
      <c r="AD535" s="5">
        <f>AC535*Assumptions!$E$43</f>
        <v>4778.0271232993146</v>
      </c>
      <c r="AE535" s="2">
        <f>AD535*Assumptions!$D$44*-1</f>
        <v>-716.70406849489711</v>
      </c>
      <c r="AF535" s="2">
        <f>AC535*Assumptions!$E$46*-1</f>
        <v>-177.80564483825259</v>
      </c>
      <c r="AG535" s="22">
        <f t="shared" si="151"/>
        <v>5334252.6958539113</v>
      </c>
      <c r="AH535" s="5">
        <f>Model_30y[[#This Row],[Mortgage Payment]]+Model_30y[[#This Row],[Total Upkeep]]+Model_30y[[#This Row],[Monthly Investment]]</f>
        <v>-10662.579000114134</v>
      </c>
      <c r="AI535" s="5">
        <f>Model_Renter!D535*-1</f>
        <v>13864.8103728923</v>
      </c>
      <c r="AJ535" s="5">
        <f t="shared" si="152"/>
        <v>3202.2313727781657</v>
      </c>
    </row>
    <row r="536" spans="1:36" x14ac:dyDescent="0.25">
      <c r="A536" s="17">
        <f t="shared" si="147"/>
        <v>534</v>
      </c>
      <c r="B536" s="17">
        <f t="shared" si="143"/>
        <v>45</v>
      </c>
      <c r="C536" s="23">
        <f>IFERROR(IPMT(Assumptions!$D$16/12,Model_30y!A536, 360,Assumptions!$D$8), 0)</f>
        <v>0</v>
      </c>
      <c r="D536" s="2">
        <f>IFERROR(PPMT(Assumptions!$D$16/12, Model_30y!A536, 360, Assumptions!$D$8), 0)</f>
        <v>0</v>
      </c>
      <c r="E536" s="2">
        <f t="shared" si="137"/>
        <v>0</v>
      </c>
      <c r="F536" s="2">
        <f>IF(I535&gt;1, Assumptions!$E$18, 0)*-1</f>
        <v>0</v>
      </c>
      <c r="G536" s="24">
        <f t="shared" si="138"/>
        <v>1</v>
      </c>
      <c r="H536" s="20">
        <f t="shared" si="144"/>
        <v>339999.99999999994</v>
      </c>
      <c r="I536" s="2">
        <f>MAX(Assumptions!$D$8-SUM(Model_30y!H536), 0)</f>
        <v>5.8207660913467407E-11</v>
      </c>
      <c r="J536" s="2">
        <f>J535*(1+(Assumptions!$E$51))</f>
        <v>3726599.6484730281</v>
      </c>
      <c r="K536" s="22">
        <f t="shared" si="139"/>
        <v>3726599.6484730281</v>
      </c>
      <c r="L536" s="5">
        <f t="shared" si="145"/>
        <v>424999.99999999971</v>
      </c>
      <c r="M536" s="63">
        <f>L536/Assumptions!$D$6</f>
        <v>0.99999999999999933</v>
      </c>
      <c r="N536" s="24">
        <f t="shared" si="153"/>
        <v>0</v>
      </c>
      <c r="O536" s="5">
        <f>N536*Assumptions!$E$25*-1</f>
        <v>0</v>
      </c>
      <c r="P536" s="20">
        <f>Assumptions!$E$35*J536*-1</f>
        <v>-7676.1851191079513</v>
      </c>
      <c r="Q536" s="5">
        <f>J536*Assumptions!$E$36*-1</f>
        <v>-3091.3564453173867</v>
      </c>
      <c r="R536" s="5">
        <f>(R524+(Model_30y!R524*Assumptions!$D$51))</f>
        <v>-2780.3607449863853</v>
      </c>
      <c r="S536" s="5">
        <f>S524+(S524*Assumptions!$D$51)</f>
        <v>0</v>
      </c>
      <c r="T536" s="5">
        <f t="shared" si="148"/>
        <v>0</v>
      </c>
      <c r="U536" s="22">
        <f t="shared" si="140"/>
        <v>-13547.902309411722</v>
      </c>
      <c r="V536" s="5">
        <f>MAX(Assumptions!$E$18:$E$19)-U536</f>
        <v>16389.53532121042</v>
      </c>
      <c r="W536" s="5">
        <f t="shared" si="141"/>
        <v>0</v>
      </c>
      <c r="X536" s="5">
        <f t="shared" si="146"/>
        <v>-13547.902309411722</v>
      </c>
      <c r="Y536" s="5">
        <f>C536*Assumptions!$D$44*-1</f>
        <v>0</v>
      </c>
      <c r="Z536" s="5">
        <f t="shared" si="142"/>
        <v>2841.6330117986981</v>
      </c>
      <c r="AA536" s="5">
        <f t="shared" si="149"/>
        <v>5334252.6958539113</v>
      </c>
      <c r="AB536" s="3">
        <f>Assumptions!$E$45</f>
        <v>6.9899151946608562E-3</v>
      </c>
      <c r="AC536" s="5">
        <f t="shared" si="150"/>
        <v>5374380.3028366193</v>
      </c>
      <c r="AD536" s="5">
        <f>AC536*Assumptions!$E$43</f>
        <v>4813.1633239815565</v>
      </c>
      <c r="AE536" s="2">
        <f>AD536*Assumptions!$D$44*-1</f>
        <v>-721.97449859723349</v>
      </c>
      <c r="AF536" s="2">
        <f>AC536*Assumptions!$E$46*-1</f>
        <v>-179.1131750506718</v>
      </c>
      <c r="AG536" s="22">
        <f t="shared" si="151"/>
        <v>5373479.2151629711</v>
      </c>
      <c r="AH536" s="5">
        <f>Model_30y[[#This Row],[Mortgage Payment]]+Model_30y[[#This Row],[Total Upkeep]]+Model_30y[[#This Row],[Monthly Investment]]</f>
        <v>-10706.269297613024</v>
      </c>
      <c r="AI536" s="5">
        <f>Model_Renter!D536*-1</f>
        <v>13864.8103728923</v>
      </c>
      <c r="AJ536" s="5">
        <f t="shared" si="152"/>
        <v>3158.5410752792759</v>
      </c>
    </row>
    <row r="537" spans="1:36" x14ac:dyDescent="0.25">
      <c r="A537" s="17">
        <f t="shared" si="147"/>
        <v>535</v>
      </c>
      <c r="B537" s="17">
        <f t="shared" si="143"/>
        <v>45</v>
      </c>
      <c r="C537" s="23">
        <f>IFERROR(IPMT(Assumptions!$D$16/12,Model_30y!A537, 360,Assumptions!$D$8), 0)</f>
        <v>0</v>
      </c>
      <c r="D537" s="2">
        <f>IFERROR(PPMT(Assumptions!$D$16/12, Model_30y!A537, 360, Assumptions!$D$8), 0)</f>
        <v>0</v>
      </c>
      <c r="E537" s="2">
        <f t="shared" si="137"/>
        <v>0</v>
      </c>
      <c r="F537" s="2">
        <f>IF(I536&gt;1, Assumptions!$E$18, 0)*-1</f>
        <v>0</v>
      </c>
      <c r="G537" s="24">
        <f t="shared" si="138"/>
        <v>1</v>
      </c>
      <c r="H537" s="20">
        <f t="shared" si="144"/>
        <v>339999.99999999994</v>
      </c>
      <c r="I537" s="2">
        <f>MAX(Assumptions!$D$8-SUM(Model_30y!H537), 0)</f>
        <v>5.8207660913467407E-11</v>
      </c>
      <c r="J537" s="2">
        <f>J536*(1+(Assumptions!$E$51))</f>
        <v>3741782.2767330077</v>
      </c>
      <c r="K537" s="22">
        <f t="shared" si="139"/>
        <v>3741782.2767330077</v>
      </c>
      <c r="L537" s="5">
        <f t="shared" si="145"/>
        <v>424999.99999999971</v>
      </c>
      <c r="M537" s="63">
        <f>L537/Assumptions!$D$6</f>
        <v>0.99999999999999933</v>
      </c>
      <c r="N537" s="24">
        <f t="shared" si="153"/>
        <v>0</v>
      </c>
      <c r="O537" s="5">
        <f>N537*Assumptions!$E$25*-1</f>
        <v>0</v>
      </c>
      <c r="P537" s="20">
        <f>Assumptions!$E$35*J537*-1</f>
        <v>-7707.4588474693965</v>
      </c>
      <c r="Q537" s="5">
        <f>J537*Assumptions!$E$36*-1</f>
        <v>-3103.9510141349888</v>
      </c>
      <c r="R537" s="5">
        <f>(R525+(Model_30y!R525*Assumptions!$D$51))</f>
        <v>-2780.3607449863853</v>
      </c>
      <c r="S537" s="5">
        <f>S525+(S525*Assumptions!$D$51)</f>
        <v>0</v>
      </c>
      <c r="T537" s="5">
        <f t="shared" si="148"/>
        <v>0</v>
      </c>
      <c r="U537" s="22">
        <f t="shared" si="140"/>
        <v>-13591.77060659077</v>
      </c>
      <c r="V537" s="5">
        <f>MAX(Assumptions!$E$18:$E$19)-U537</f>
        <v>16433.403618389468</v>
      </c>
      <c r="W537" s="5">
        <f t="shared" si="141"/>
        <v>0</v>
      </c>
      <c r="X537" s="5">
        <f t="shared" si="146"/>
        <v>-13591.77060659077</v>
      </c>
      <c r="Y537" s="5">
        <f>C537*Assumptions!$D$44*-1</f>
        <v>0</v>
      </c>
      <c r="Z537" s="5">
        <f t="shared" si="142"/>
        <v>2841.6330117986981</v>
      </c>
      <c r="AA537" s="5">
        <f t="shared" si="149"/>
        <v>5373479.2151629711</v>
      </c>
      <c r="AB537" s="3">
        <f>Assumptions!$E$45</f>
        <v>6.9899151946608562E-3</v>
      </c>
      <c r="AC537" s="5">
        <f t="shared" si="150"/>
        <v>5413881.0121890316</v>
      </c>
      <c r="AD537" s="5">
        <f>AC537*Assumptions!$E$43</f>
        <v>4848.5391914887259</v>
      </c>
      <c r="AE537" s="2">
        <f>AD537*Assumptions!$D$44*-1</f>
        <v>-727.28087872330889</v>
      </c>
      <c r="AF537" s="2">
        <f>AC537*Assumptions!$E$46*-1</f>
        <v>-180.42962403086958</v>
      </c>
      <c r="AG537" s="22">
        <f t="shared" si="151"/>
        <v>5412973.3016862776</v>
      </c>
      <c r="AH537" s="5">
        <f>Model_30y[[#This Row],[Mortgage Payment]]+Model_30y[[#This Row],[Total Upkeep]]+Model_30y[[#This Row],[Monthly Investment]]</f>
        <v>-10750.137594792071</v>
      </c>
      <c r="AI537" s="5">
        <f>Model_Renter!D537*-1</f>
        <v>13864.8103728923</v>
      </c>
      <c r="AJ537" s="5">
        <f t="shared" si="152"/>
        <v>3114.6727781002282</v>
      </c>
    </row>
    <row r="538" spans="1:36" x14ac:dyDescent="0.25">
      <c r="A538" s="17">
        <f t="shared" si="147"/>
        <v>536</v>
      </c>
      <c r="B538" s="17">
        <f t="shared" si="143"/>
        <v>45</v>
      </c>
      <c r="C538" s="23">
        <f>IFERROR(IPMT(Assumptions!$D$16/12,Model_30y!A538, 360,Assumptions!$D$8), 0)</f>
        <v>0</v>
      </c>
      <c r="D538" s="2">
        <f>IFERROR(PPMT(Assumptions!$D$16/12, Model_30y!A538, 360, Assumptions!$D$8), 0)</f>
        <v>0</v>
      </c>
      <c r="E538" s="2">
        <f t="shared" si="137"/>
        <v>0</v>
      </c>
      <c r="F538" s="2">
        <f>IF(I537&gt;1, Assumptions!$E$18, 0)*-1</f>
        <v>0</v>
      </c>
      <c r="G538" s="24">
        <f t="shared" si="138"/>
        <v>1</v>
      </c>
      <c r="H538" s="20">
        <f t="shared" si="144"/>
        <v>339999.99999999994</v>
      </c>
      <c r="I538" s="2">
        <f>MAX(Assumptions!$D$8-SUM(Model_30y!H538), 0)</f>
        <v>5.8207660913467407E-11</v>
      </c>
      <c r="J538" s="2">
        <f>J537*(1+(Assumptions!$E$51))</f>
        <v>3757026.7608998795</v>
      </c>
      <c r="K538" s="22">
        <f t="shared" si="139"/>
        <v>3757026.7608998795</v>
      </c>
      <c r="L538" s="5">
        <f t="shared" si="145"/>
        <v>424999.99999999971</v>
      </c>
      <c r="M538" s="63">
        <f>L538/Assumptions!$D$6</f>
        <v>0.99999999999999933</v>
      </c>
      <c r="N538" s="24">
        <f t="shared" si="153"/>
        <v>0</v>
      </c>
      <c r="O538" s="5">
        <f>N538*Assumptions!$E$25*-1</f>
        <v>0</v>
      </c>
      <c r="P538" s="20">
        <f>Assumptions!$E$35*J538*-1</f>
        <v>-7738.8599888713625</v>
      </c>
      <c r="Q538" s="5">
        <f>J538*Assumptions!$E$36*-1</f>
        <v>-3116.5968947849556</v>
      </c>
      <c r="R538" s="5">
        <f>(R526+(Model_30y!R526*Assumptions!$D$51))</f>
        <v>-2780.3607449863853</v>
      </c>
      <c r="S538" s="5">
        <f>S526+(S526*Assumptions!$D$51)</f>
        <v>0</v>
      </c>
      <c r="T538" s="5">
        <f t="shared" si="148"/>
        <v>0</v>
      </c>
      <c r="U538" s="22">
        <f t="shared" si="140"/>
        <v>-13635.817628642702</v>
      </c>
      <c r="V538" s="5">
        <f>MAX(Assumptions!$E$18:$E$19)-U538</f>
        <v>16477.450640441399</v>
      </c>
      <c r="W538" s="5">
        <f t="shared" si="141"/>
        <v>0</v>
      </c>
      <c r="X538" s="5">
        <f t="shared" si="146"/>
        <v>-13635.817628642702</v>
      </c>
      <c r="Y538" s="5">
        <f>C538*Assumptions!$D$44*-1</f>
        <v>0</v>
      </c>
      <c r="Z538" s="5">
        <f t="shared" si="142"/>
        <v>2841.6330117986963</v>
      </c>
      <c r="AA538" s="5">
        <f t="shared" si="149"/>
        <v>5412973.3016862776</v>
      </c>
      <c r="AB538" s="3">
        <f>Assumptions!$E$45</f>
        <v>6.9899151946608562E-3</v>
      </c>
      <c r="AC538" s="5">
        <f t="shared" si="150"/>
        <v>5453651.159027826</v>
      </c>
      <c r="AD538" s="5">
        <f>AC538*Assumptions!$E$43</f>
        <v>4884.1563606073332</v>
      </c>
      <c r="AE538" s="2">
        <f>AD538*Assumptions!$D$44*-1</f>
        <v>-732.62345409109992</v>
      </c>
      <c r="AF538" s="2">
        <f>AC538*Assumptions!$E$46*-1</f>
        <v>-181.75505261447171</v>
      </c>
      <c r="AG538" s="22">
        <f t="shared" si="151"/>
        <v>5452736.7805211209</v>
      </c>
      <c r="AH538" s="5">
        <f>Model_30y[[#This Row],[Mortgage Payment]]+Model_30y[[#This Row],[Total Upkeep]]+Model_30y[[#This Row],[Monthly Investment]]</f>
        <v>-10794.184616844006</v>
      </c>
      <c r="AI538" s="5">
        <f>Model_Renter!D538*-1</f>
        <v>13864.8103728923</v>
      </c>
      <c r="AJ538" s="5">
        <f t="shared" si="152"/>
        <v>3070.6257560482936</v>
      </c>
    </row>
    <row r="539" spans="1:36" x14ac:dyDescent="0.25">
      <c r="A539" s="17">
        <f t="shared" si="147"/>
        <v>537</v>
      </c>
      <c r="B539" s="17">
        <f t="shared" si="143"/>
        <v>45</v>
      </c>
      <c r="C539" s="23">
        <f>IFERROR(IPMT(Assumptions!$D$16/12,Model_30y!A539, 360,Assumptions!$D$8), 0)</f>
        <v>0</v>
      </c>
      <c r="D539" s="2">
        <f>IFERROR(PPMT(Assumptions!$D$16/12, Model_30y!A539, 360, Assumptions!$D$8), 0)</f>
        <v>0</v>
      </c>
      <c r="E539" s="2">
        <f t="shared" si="137"/>
        <v>0</v>
      </c>
      <c r="F539" s="2">
        <f>IF(I538&gt;1, Assumptions!$E$18, 0)*-1</f>
        <v>0</v>
      </c>
      <c r="G539" s="24">
        <f t="shared" si="138"/>
        <v>1</v>
      </c>
      <c r="H539" s="20">
        <f t="shared" si="144"/>
        <v>339999.99999999994</v>
      </c>
      <c r="I539" s="2">
        <f>MAX(Assumptions!$D$8-SUM(Model_30y!H539), 0)</f>
        <v>5.8207660913467407E-11</v>
      </c>
      <c r="J539" s="2">
        <f>J538*(1+(Assumptions!$E$51))</f>
        <v>3772333.3529822649</v>
      </c>
      <c r="K539" s="22">
        <f t="shared" si="139"/>
        <v>3772333.3529822649</v>
      </c>
      <c r="L539" s="5">
        <f t="shared" si="145"/>
        <v>424999.99999999971</v>
      </c>
      <c r="M539" s="63">
        <f>L539/Assumptions!$D$6</f>
        <v>0.99999999999999933</v>
      </c>
      <c r="N539" s="24">
        <f t="shared" si="153"/>
        <v>0</v>
      </c>
      <c r="O539" s="5">
        <f>N539*Assumptions!$E$25*-1</f>
        <v>0</v>
      </c>
      <c r="P539" s="20">
        <f>Assumptions!$E$35*J539*-1</f>
        <v>-7770.3890624103478</v>
      </c>
      <c r="Q539" s="5">
        <f>J539*Assumptions!$E$36*-1</f>
        <v>-3129.2942963180435</v>
      </c>
      <c r="R539" s="5">
        <f>(R527+(Model_30y!R527*Assumptions!$D$51))</f>
        <v>-2780.3607449863853</v>
      </c>
      <c r="S539" s="5">
        <f>S527+(S527*Assumptions!$D$51)</f>
        <v>0</v>
      </c>
      <c r="T539" s="5">
        <f t="shared" si="148"/>
        <v>0</v>
      </c>
      <c r="U539" s="22">
        <f t="shared" si="140"/>
        <v>-13680.044103714776</v>
      </c>
      <c r="V539" s="5">
        <f>MAX(Assumptions!$E$18:$E$19)-U539</f>
        <v>16521.677115513474</v>
      </c>
      <c r="W539" s="5">
        <f t="shared" si="141"/>
        <v>0</v>
      </c>
      <c r="X539" s="5">
        <f t="shared" si="146"/>
        <v>-13680.044103714776</v>
      </c>
      <c r="Y539" s="5">
        <f>C539*Assumptions!$D$44*-1</f>
        <v>0</v>
      </c>
      <c r="Z539" s="5">
        <f t="shared" si="142"/>
        <v>2841.6330117986981</v>
      </c>
      <c r="AA539" s="5">
        <f t="shared" si="149"/>
        <v>5452736.7805211209</v>
      </c>
      <c r="AB539" s="3">
        <f>Assumptions!$E$45</f>
        <v>6.9899151946608562E-3</v>
      </c>
      <c r="AC539" s="5">
        <f t="shared" si="150"/>
        <v>5493692.5812075697</v>
      </c>
      <c r="AD539" s="5">
        <f>AC539*Assumptions!$E$43</f>
        <v>4920.0164772749022</v>
      </c>
      <c r="AE539" s="2">
        <f>AD539*Assumptions!$D$44*-1</f>
        <v>-738.00247159123535</v>
      </c>
      <c r="AF539" s="2">
        <f>AC539*Assumptions!$E$46*-1</f>
        <v>-183.08952205206862</v>
      </c>
      <c r="AG539" s="22">
        <f t="shared" si="151"/>
        <v>5492771.4892139267</v>
      </c>
      <c r="AH539" s="5">
        <f>Model_30y[[#This Row],[Mortgage Payment]]+Model_30y[[#This Row],[Total Upkeep]]+Model_30y[[#This Row],[Monthly Investment]]</f>
        <v>-10838.411091916078</v>
      </c>
      <c r="AI539" s="5">
        <f>Model_Renter!D539*-1</f>
        <v>13864.8103728923</v>
      </c>
      <c r="AJ539" s="5">
        <f t="shared" si="152"/>
        <v>3026.3992809762221</v>
      </c>
    </row>
    <row r="540" spans="1:36" x14ac:dyDescent="0.25">
      <c r="A540" s="17">
        <f t="shared" si="147"/>
        <v>538</v>
      </c>
      <c r="B540" s="17">
        <f t="shared" si="143"/>
        <v>45</v>
      </c>
      <c r="C540" s="23">
        <f>IFERROR(IPMT(Assumptions!$D$16/12,Model_30y!A540, 360,Assumptions!$D$8), 0)</f>
        <v>0</v>
      </c>
      <c r="D540" s="2">
        <f>IFERROR(PPMT(Assumptions!$D$16/12, Model_30y!A540, 360, Assumptions!$D$8), 0)</f>
        <v>0</v>
      </c>
      <c r="E540" s="2">
        <f t="shared" si="137"/>
        <v>0</v>
      </c>
      <c r="F540" s="2">
        <f>IF(I539&gt;1, Assumptions!$E$18, 0)*-1</f>
        <v>0</v>
      </c>
      <c r="G540" s="24">
        <f t="shared" si="138"/>
        <v>1</v>
      </c>
      <c r="H540" s="20">
        <f t="shared" si="144"/>
        <v>339999.99999999994</v>
      </c>
      <c r="I540" s="2">
        <f>MAX(Assumptions!$D$8-SUM(Model_30y!H540), 0)</f>
        <v>5.8207660913467407E-11</v>
      </c>
      <c r="J540" s="2">
        <f>J539*(1+(Assumptions!$E$51))</f>
        <v>3787702.3060154999</v>
      </c>
      <c r="K540" s="22">
        <f t="shared" si="139"/>
        <v>3787702.3060154999</v>
      </c>
      <c r="L540" s="5">
        <f t="shared" si="145"/>
        <v>424999.99999999971</v>
      </c>
      <c r="M540" s="63">
        <f>L540/Assumptions!$D$6</f>
        <v>0.99999999999999933</v>
      </c>
      <c r="N540" s="24">
        <f t="shared" si="153"/>
        <v>0</v>
      </c>
      <c r="O540" s="5">
        <f>N540*Assumptions!$E$25*-1</f>
        <v>0</v>
      </c>
      <c r="P540" s="20">
        <f>Assumptions!$E$35*J540*-1</f>
        <v>-7802.0465892977145</v>
      </c>
      <c r="Q540" s="5">
        <f>J540*Assumptions!$E$36*-1</f>
        <v>-3142.0434286367081</v>
      </c>
      <c r="R540" s="5">
        <f>(R528+(Model_30y!R528*Assumptions!$D$51))</f>
        <v>-2780.3607449863853</v>
      </c>
      <c r="S540" s="5">
        <f>S528+(S528*Assumptions!$D$51)</f>
        <v>0</v>
      </c>
      <c r="T540" s="5">
        <f t="shared" si="148"/>
        <v>0</v>
      </c>
      <c r="U540" s="22">
        <f t="shared" si="140"/>
        <v>-13724.450762920807</v>
      </c>
      <c r="V540" s="5">
        <f>MAX(Assumptions!$E$18:$E$19)-U540</f>
        <v>16566.083774719504</v>
      </c>
      <c r="W540" s="5">
        <f t="shared" si="141"/>
        <v>0</v>
      </c>
      <c r="X540" s="5">
        <f t="shared" si="146"/>
        <v>-13724.450762920807</v>
      </c>
      <c r="Y540" s="5">
        <f>C540*Assumptions!$D$44*-1</f>
        <v>0</v>
      </c>
      <c r="Z540" s="5">
        <f t="shared" si="142"/>
        <v>2841.6330117986963</v>
      </c>
      <c r="AA540" s="5">
        <f t="shared" si="149"/>
        <v>5492771.4892139267</v>
      </c>
      <c r="AB540" s="3">
        <f>Assumptions!$E$45</f>
        <v>6.9899151946608562E-3</v>
      </c>
      <c r="AC540" s="5">
        <f t="shared" si="150"/>
        <v>5534007.1291189818</v>
      </c>
      <c r="AD540" s="5">
        <f>AC540*Assumptions!$E$43</f>
        <v>4956.1211986560238</v>
      </c>
      <c r="AE540" s="2">
        <f>AD540*Assumptions!$D$44*-1</f>
        <v>-743.41817979840357</v>
      </c>
      <c r="AF540" s="2">
        <f>AC540*Assumptions!$E$46*-1</f>
        <v>-184.4330940120459</v>
      </c>
      <c r="AG540" s="22">
        <f t="shared" si="151"/>
        <v>5533079.2778451713</v>
      </c>
      <c r="AH540" s="5">
        <f>Model_30y[[#This Row],[Mortgage Payment]]+Model_30y[[#This Row],[Total Upkeep]]+Model_30y[[#This Row],[Monthly Investment]]</f>
        <v>-10882.817751122111</v>
      </c>
      <c r="AI540" s="5">
        <f>Model_Renter!D540*-1</f>
        <v>13864.8103728923</v>
      </c>
      <c r="AJ540" s="5">
        <f t="shared" si="152"/>
        <v>2981.9926217701886</v>
      </c>
    </row>
    <row r="541" spans="1:36" x14ac:dyDescent="0.25">
      <c r="A541" s="17">
        <f t="shared" si="147"/>
        <v>539</v>
      </c>
      <c r="B541" s="17">
        <f t="shared" si="143"/>
        <v>45</v>
      </c>
      <c r="C541" s="23">
        <f>IFERROR(IPMT(Assumptions!$D$16/12,Model_30y!A541, 360,Assumptions!$D$8), 0)</f>
        <v>0</v>
      </c>
      <c r="D541" s="2">
        <f>IFERROR(PPMT(Assumptions!$D$16/12, Model_30y!A541, 360, Assumptions!$D$8), 0)</f>
        <v>0</v>
      </c>
      <c r="E541" s="2">
        <f t="shared" si="137"/>
        <v>0</v>
      </c>
      <c r="F541" s="2">
        <f>IF(I540&gt;1, Assumptions!$E$18, 0)*-1</f>
        <v>0</v>
      </c>
      <c r="G541" s="24">
        <f t="shared" si="138"/>
        <v>1</v>
      </c>
      <c r="H541" s="20">
        <f t="shared" si="144"/>
        <v>339999.99999999994</v>
      </c>
      <c r="I541" s="2">
        <f>MAX(Assumptions!$D$8-SUM(Model_30y!H541), 0)</f>
        <v>5.8207660913467407E-11</v>
      </c>
      <c r="J541" s="2">
        <f>J540*(1+(Assumptions!$E$51))</f>
        <v>3803133.8740658173</v>
      </c>
      <c r="K541" s="22">
        <f t="shared" si="139"/>
        <v>3803133.8740658173</v>
      </c>
      <c r="L541" s="5">
        <f t="shared" si="145"/>
        <v>424999.99999999971</v>
      </c>
      <c r="M541" s="63">
        <f>L541/Assumptions!$D$6</f>
        <v>0.99999999999999933</v>
      </c>
      <c r="N541" s="24">
        <f t="shared" si="153"/>
        <v>0</v>
      </c>
      <c r="O541" s="5">
        <f>N541*Assumptions!$E$25*-1</f>
        <v>0</v>
      </c>
      <c r="P541" s="20">
        <f>Assumptions!$E$35*J541*-1</f>
        <v>-7833.8330928683054</v>
      </c>
      <c r="Q541" s="5">
        <f>J541*Assumptions!$E$36*-1</f>
        <v>-3154.8445024985726</v>
      </c>
      <c r="R541" s="5">
        <f>(R529+(Model_30y!R529*Assumptions!$D$51))</f>
        <v>-2780.3607449863853</v>
      </c>
      <c r="S541" s="5">
        <f>S529+(S529*Assumptions!$D$51)</f>
        <v>0</v>
      </c>
      <c r="T541" s="5">
        <f t="shared" si="148"/>
        <v>0</v>
      </c>
      <c r="U541" s="22">
        <f t="shared" si="140"/>
        <v>-13769.038340353263</v>
      </c>
      <c r="V541" s="5">
        <f>MAX(Assumptions!$E$18:$E$19)-U541</f>
        <v>16610.67135215196</v>
      </c>
      <c r="W541" s="5">
        <f t="shared" si="141"/>
        <v>0</v>
      </c>
      <c r="X541" s="5">
        <f t="shared" si="146"/>
        <v>-13769.038340353263</v>
      </c>
      <c r="Y541" s="5">
        <f>C541*Assumptions!$D$44*-1</f>
        <v>0</v>
      </c>
      <c r="Z541" s="5">
        <f t="shared" si="142"/>
        <v>2841.6330117986963</v>
      </c>
      <c r="AA541" s="5">
        <f t="shared" si="149"/>
        <v>5533079.2778451713</v>
      </c>
      <c r="AB541" s="3">
        <f>Assumptions!$E$45</f>
        <v>6.9899151946608562E-3</v>
      </c>
      <c r="AC541" s="5">
        <f t="shared" si="150"/>
        <v>5574596.6657744432</v>
      </c>
      <c r="AD541" s="5">
        <f>AC541*Assumptions!$E$43</f>
        <v>4992.4721932189432</v>
      </c>
      <c r="AE541" s="2">
        <f>AD541*Assumptions!$D$44*-1</f>
        <v>-748.87082898284143</v>
      </c>
      <c r="AF541" s="2">
        <f>AC541*Assumptions!$E$46*-1</f>
        <v>-185.78583058343406</v>
      </c>
      <c r="AG541" s="22">
        <f t="shared" si="151"/>
        <v>5573662.0091148773</v>
      </c>
      <c r="AH541" s="5">
        <f>Model_30y[[#This Row],[Mortgage Payment]]+Model_30y[[#This Row],[Total Upkeep]]+Model_30y[[#This Row],[Monthly Investment]]</f>
        <v>-10927.405328554567</v>
      </c>
      <c r="AI541" s="5">
        <f>Model_Renter!D541*-1</f>
        <v>13864.8103728923</v>
      </c>
      <c r="AJ541" s="5">
        <f t="shared" si="152"/>
        <v>2937.4050443377328</v>
      </c>
    </row>
    <row r="542" spans="1:36" x14ac:dyDescent="0.25">
      <c r="A542" s="17">
        <f t="shared" si="147"/>
        <v>540</v>
      </c>
      <c r="B542" s="17">
        <f t="shared" si="143"/>
        <v>45</v>
      </c>
      <c r="C542" s="23">
        <f>IFERROR(IPMT(Assumptions!$D$16/12,Model_30y!A542, 360,Assumptions!$D$8), 0)</f>
        <v>0</v>
      </c>
      <c r="D542" s="2">
        <f>IFERROR(PPMT(Assumptions!$D$16/12, Model_30y!A542, 360, Assumptions!$D$8), 0)</f>
        <v>0</v>
      </c>
      <c r="E542" s="2">
        <f t="shared" si="137"/>
        <v>0</v>
      </c>
      <c r="F542" s="2">
        <f>IF(I541&gt;1, Assumptions!$E$18, 0)*-1</f>
        <v>0</v>
      </c>
      <c r="G542" s="24">
        <f t="shared" si="138"/>
        <v>1</v>
      </c>
      <c r="H542" s="20">
        <f t="shared" si="144"/>
        <v>339999.99999999994</v>
      </c>
      <c r="I542" s="2">
        <f>MAX(Assumptions!$D$8-SUM(Model_30y!H542), 0)</f>
        <v>5.8207660913467407E-11</v>
      </c>
      <c r="J542" s="2">
        <f>J541*(1+(Assumptions!$E$51))</f>
        <v>3818628.3122345475</v>
      </c>
      <c r="K542" s="22">
        <f t="shared" si="139"/>
        <v>3818628.3122345475</v>
      </c>
      <c r="L542" s="5">
        <f t="shared" si="145"/>
        <v>424999.99999999971</v>
      </c>
      <c r="M542" s="63">
        <f>L542/Assumptions!$D$6</f>
        <v>0.99999999999999933</v>
      </c>
      <c r="N542" s="24">
        <f t="shared" si="153"/>
        <v>0</v>
      </c>
      <c r="O542" s="5">
        <f>N542*Assumptions!$E$25*-1</f>
        <v>0</v>
      </c>
      <c r="P542" s="20">
        <f>Assumptions!$E$35*J542*-1</f>
        <v>-7865.7490985890909</v>
      </c>
      <c r="Q542" s="5">
        <f>J542*Assumptions!$E$36*-1</f>
        <v>-3167.6977295199144</v>
      </c>
      <c r="R542" s="5">
        <f>(R530+(Model_30y!R530*Assumptions!$D$51))</f>
        <v>-2780.3607449863853</v>
      </c>
      <c r="S542" s="5">
        <f>S530+(S530*Assumptions!$D$51)</f>
        <v>0</v>
      </c>
      <c r="T542" s="5">
        <f t="shared" si="148"/>
        <v>0</v>
      </c>
      <c r="U542" s="22">
        <f t="shared" si="140"/>
        <v>-13813.80757309539</v>
      </c>
      <c r="V542" s="5">
        <f>MAX(Assumptions!$E$18:$E$19)-U542</f>
        <v>16655.440584894088</v>
      </c>
      <c r="W542" s="5">
        <f t="shared" si="141"/>
        <v>0</v>
      </c>
      <c r="X542" s="5">
        <f t="shared" si="146"/>
        <v>-13813.80757309539</v>
      </c>
      <c r="Y542" s="5">
        <f>C542*Assumptions!$D$44*-1</f>
        <v>0</v>
      </c>
      <c r="Z542" s="5">
        <f t="shared" si="142"/>
        <v>2841.6330117986981</v>
      </c>
      <c r="AA542" s="5">
        <f t="shared" si="149"/>
        <v>5573662.0091148773</v>
      </c>
      <c r="AB542" s="3">
        <f>Assumptions!$E$45</f>
        <v>6.9899151946608562E-3</v>
      </c>
      <c r="AC542" s="5">
        <f t="shared" si="150"/>
        <v>5615463.0668940917</v>
      </c>
      <c r="AD542" s="5">
        <f>AC542*Assumptions!$E$43</f>
        <v>5029.0711408126581</v>
      </c>
      <c r="AE542" s="2">
        <f>AD542*Assumptions!$D$44*-1</f>
        <v>-754.36067112189869</v>
      </c>
      <c r="AF542" s="2">
        <f>AC542*Assumptions!$E$46*-1</f>
        <v>-187.14779427877792</v>
      </c>
      <c r="AG542" s="22">
        <f t="shared" si="151"/>
        <v>5614521.5584286908</v>
      </c>
      <c r="AH542" s="5">
        <f>Model_30y[[#This Row],[Mortgage Payment]]+Model_30y[[#This Row],[Total Upkeep]]+Model_30y[[#This Row],[Monthly Investment]]</f>
        <v>-10972.174561296692</v>
      </c>
      <c r="AI542" s="5">
        <f>Model_Renter!D542*-1</f>
        <v>13864.8103728923</v>
      </c>
      <c r="AJ542" s="5">
        <f>SUM(AH542:AI542)</f>
        <v>2892.6358115956082</v>
      </c>
    </row>
    <row r="544" spans="1:36" x14ac:dyDescent="0.25">
      <c r="K544" s="5"/>
      <c r="L544" s="5"/>
      <c r="M544" s="5"/>
      <c r="N544" s="5"/>
      <c r="O544" s="5"/>
      <c r="P544" s="2"/>
    </row>
    <row r="545" spans="16:27" x14ac:dyDescent="0.25">
      <c r="Z545" s="4"/>
      <c r="AA545" s="4"/>
    </row>
    <row r="546" spans="16:27" x14ac:dyDescent="0.25">
      <c r="P546" s="1"/>
    </row>
  </sheetData>
  <sheetProtection algorithmName="SHA-512" hashValue="twJHddJFxvTojH/HLqHmTE+oYtzLMOFdo6IOJnBZWvFGUMdbCveK2CVHiFRU5ULnqIvjFV8HqqzonUjTnv9edw==" saltValue="NOnPu1phXUCcvThphS7+iQ==" spinCount="100000" sheet="1" objects="1" scenarios="1"/>
  <pageMargins left="0.7" right="0.7" top="0.75" bottom="0.75" header="0.3" footer="0.3"/>
  <pageSetup orientation="portrait" r:id="rId1"/>
  <ignoredErrors>
    <ignoredError sqref="AH3:AH542 F2 H2 J2 L2:N2 O2:Q2 A2"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36418-91D0-40A9-9E41-B3F388AF088D}">
  <sheetPr>
    <tabColor theme="7" tint="0.59999389629810485"/>
  </sheetPr>
  <dimension ref="A1:AJ546"/>
  <sheetViews>
    <sheetView showGridLines="0" showRowColHeaders="0" workbookViewId="0">
      <pane ySplit="1" topLeftCell="A2" activePane="bottomLeft" state="frozen"/>
      <selection activeCell="C1" sqref="C1"/>
      <selection pane="bottomLeft"/>
    </sheetView>
  </sheetViews>
  <sheetFormatPr defaultRowHeight="15" x14ac:dyDescent="0.25"/>
  <cols>
    <col min="1" max="2" width="14.42578125" style="17" customWidth="1"/>
    <col min="3" max="3" width="18.42578125" customWidth="1"/>
    <col min="4" max="4" width="19.140625" customWidth="1"/>
    <col min="5" max="5" width="19.85546875" hidden="1" customWidth="1"/>
    <col min="6" max="6" width="20" customWidth="1"/>
    <col min="7" max="7" width="16.7109375" style="17" hidden="1" customWidth="1"/>
    <col min="8" max="8" width="15.28515625" customWidth="1"/>
    <col min="9" max="9" width="22.28515625" customWidth="1"/>
    <col min="10" max="10" width="14.42578125" customWidth="1"/>
    <col min="11" max="11" width="18.140625" customWidth="1"/>
    <col min="12" max="12" width="14.42578125" hidden="1" customWidth="1"/>
    <col min="13" max="13" width="19.42578125" hidden="1" customWidth="1"/>
    <col min="14" max="14" width="17.5703125" hidden="1" customWidth="1"/>
    <col min="15" max="15" width="15" hidden="1" customWidth="1"/>
    <col min="16" max="16" width="23.85546875" customWidth="1"/>
    <col min="17" max="17" width="14.42578125" customWidth="1"/>
    <col min="18" max="18" width="24" customWidth="1"/>
    <col min="19" max="20" width="14.42578125" customWidth="1"/>
    <col min="21" max="21" width="15" customWidth="1"/>
    <col min="22" max="22" width="18.140625" customWidth="1"/>
    <col min="23" max="23" width="24.140625" customWidth="1"/>
    <col min="24" max="24" width="14.42578125" customWidth="1"/>
    <col min="25" max="25" width="34.42578125" customWidth="1"/>
    <col min="26" max="26" width="21.28515625" customWidth="1"/>
    <col min="27" max="27" width="31" customWidth="1"/>
    <col min="28" max="28" width="17.42578125" customWidth="1"/>
    <col min="29" max="29" width="31.42578125" customWidth="1"/>
    <col min="30" max="31" width="14.42578125" customWidth="1"/>
    <col min="32" max="32" width="17.85546875" customWidth="1"/>
    <col min="33" max="33" width="33" customWidth="1"/>
    <col min="34" max="34" width="11.28515625" hidden="1" customWidth="1"/>
    <col min="35" max="35" width="22.28515625" hidden="1" customWidth="1"/>
    <col min="36" max="36" width="12.28515625" hidden="1" customWidth="1"/>
  </cols>
  <sheetData>
    <row r="1" spans="1:36" x14ac:dyDescent="0.25">
      <c r="A1" s="18" t="s">
        <v>15</v>
      </c>
      <c r="B1" s="18" t="s">
        <v>0</v>
      </c>
      <c r="C1" s="19" t="s">
        <v>2</v>
      </c>
      <c r="D1" s="18" t="s">
        <v>3</v>
      </c>
      <c r="E1" s="18" t="s">
        <v>22</v>
      </c>
      <c r="F1" s="18" t="s">
        <v>115</v>
      </c>
      <c r="G1" s="18" t="s">
        <v>10</v>
      </c>
      <c r="H1" s="19" t="s">
        <v>4</v>
      </c>
      <c r="I1" s="18" t="s">
        <v>7</v>
      </c>
      <c r="J1" s="18" t="s">
        <v>5</v>
      </c>
      <c r="K1" s="21" t="s">
        <v>60</v>
      </c>
      <c r="L1" s="18" t="s">
        <v>59</v>
      </c>
      <c r="M1" s="18" t="s">
        <v>56</v>
      </c>
      <c r="N1" s="18" t="s">
        <v>57</v>
      </c>
      <c r="O1" s="18" t="s">
        <v>58</v>
      </c>
      <c r="P1" s="19" t="s">
        <v>51</v>
      </c>
      <c r="Q1" s="18" t="s">
        <v>48</v>
      </c>
      <c r="R1" s="18" t="s">
        <v>52</v>
      </c>
      <c r="S1" s="18" t="s">
        <v>70</v>
      </c>
      <c r="T1" s="18" t="s">
        <v>55</v>
      </c>
      <c r="U1" s="21" t="s">
        <v>110</v>
      </c>
      <c r="V1" s="18" t="s">
        <v>112</v>
      </c>
      <c r="W1" s="18" t="s">
        <v>33</v>
      </c>
      <c r="X1" s="18" t="s">
        <v>111</v>
      </c>
      <c r="Y1" s="18" t="s">
        <v>34</v>
      </c>
      <c r="Z1" s="18" t="s">
        <v>11</v>
      </c>
      <c r="AA1" s="18" t="s">
        <v>74</v>
      </c>
      <c r="AB1" s="18" t="s">
        <v>158</v>
      </c>
      <c r="AC1" s="18" t="s">
        <v>36</v>
      </c>
      <c r="AD1" s="18" t="s">
        <v>73</v>
      </c>
      <c r="AE1" s="18" t="s">
        <v>50</v>
      </c>
      <c r="AF1" s="18" t="s">
        <v>29</v>
      </c>
      <c r="AG1" s="18" t="s">
        <v>35</v>
      </c>
      <c r="AH1" s="19" t="s">
        <v>25</v>
      </c>
      <c r="AI1" s="18" t="s">
        <v>26</v>
      </c>
      <c r="AJ1" s="18" t="s">
        <v>24</v>
      </c>
    </row>
    <row r="2" spans="1:36" x14ac:dyDescent="0.25">
      <c r="A2" s="17">
        <v>0</v>
      </c>
      <c r="B2" s="17">
        <f>ROUNDUP(A2/12,0)</f>
        <v>0</v>
      </c>
      <c r="C2" s="23">
        <f>IFERROR(PPMT(Assumptions!$D$16/12, Model_30y!A2, 360, Assumptions!$D$8)*-1, 0)</f>
        <v>0</v>
      </c>
      <c r="D2" s="38">
        <v>0</v>
      </c>
      <c r="E2" s="2">
        <f>SUM(C2:C2)</f>
        <v>0</v>
      </c>
      <c r="F2" s="2">
        <v>0</v>
      </c>
      <c r="G2" s="24">
        <f>IF(E2-F2&lt;1, 1, 0)</f>
        <v>1</v>
      </c>
      <c r="H2" s="20">
        <f>C2</f>
        <v>0</v>
      </c>
      <c r="I2" s="2">
        <f>MAX(Assumptions!$D$8-SUM(Model_15y!H2), 0)</f>
        <v>340000</v>
      </c>
      <c r="J2" s="2">
        <f>Assumptions!D6</f>
        <v>425000</v>
      </c>
      <c r="K2" s="22">
        <f t="shared" ref="K2:K65" si="0">J2-I2</f>
        <v>85000</v>
      </c>
      <c r="L2" s="5">
        <f>Assumptions!$D$7</f>
        <v>85000</v>
      </c>
      <c r="M2" s="63">
        <v>0</v>
      </c>
      <c r="N2" s="24">
        <v>0</v>
      </c>
      <c r="O2" s="22">
        <v>0</v>
      </c>
      <c r="P2" s="5">
        <v>0</v>
      </c>
      <c r="Q2" s="5">
        <v>0</v>
      </c>
      <c r="R2" s="5">
        <v>0</v>
      </c>
      <c r="S2" s="5">
        <v>0</v>
      </c>
      <c r="T2" s="5">
        <f>O2</f>
        <v>0</v>
      </c>
      <c r="U2" s="22">
        <f t="shared" ref="U2:U65" si="1">SUM(P2:T2)</f>
        <v>0</v>
      </c>
      <c r="V2" s="5">
        <v>0</v>
      </c>
      <c r="W2" s="5">
        <f t="shared" ref="W2:W65" si="2">F2</f>
        <v>0</v>
      </c>
      <c r="X2" s="5">
        <f>U2</f>
        <v>0</v>
      </c>
      <c r="Y2" s="5">
        <f>D2*Assumptions!$D$44</f>
        <v>0</v>
      </c>
      <c r="Z2" s="5">
        <f t="shared" ref="Z2:Z65" si="3">SUM(V2:Y2)</f>
        <v>0</v>
      </c>
      <c r="AA2" s="5">
        <v>0</v>
      </c>
      <c r="AB2" s="3">
        <v>0</v>
      </c>
      <c r="AC2" s="4">
        <f>Z2*AB2</f>
        <v>0</v>
      </c>
      <c r="AD2" s="4">
        <f>AC2*Assumptions!$E$43</f>
        <v>0</v>
      </c>
      <c r="AE2" s="2">
        <f>AD2*Assumptions!$D$44*-1</f>
        <v>0</v>
      </c>
      <c r="AF2" s="2">
        <f>AC2*Assumptions!$E$46*-1</f>
        <v>0</v>
      </c>
      <c r="AG2" s="5">
        <f>SUM(AC2:AF2)</f>
        <v>0</v>
      </c>
      <c r="AH2" s="20">
        <f>(Assumptions!$D$7+Assumptions!$D$10)*-1</f>
        <v>-99884</v>
      </c>
      <c r="AI2" s="5">
        <f>Model_Renter!D2</f>
        <v>0</v>
      </c>
      <c r="AJ2" s="5">
        <f>SUM(AH2:AI2)</f>
        <v>-99884</v>
      </c>
    </row>
    <row r="3" spans="1:36" x14ac:dyDescent="0.25">
      <c r="A3" s="17">
        <f>A2+1</f>
        <v>1</v>
      </c>
      <c r="B3" s="17">
        <f t="shared" ref="B3:B66" si="4">ROUNDUP(A3/12,0)</f>
        <v>1</v>
      </c>
      <c r="C3" s="23">
        <f>IFERROR(PPMT(Assumptions!$E$17, A3, 180, Assumptions!$D$8), 0)</f>
        <v>-1184.1330117986968</v>
      </c>
      <c r="D3" s="38">
        <f>IFERROR(IPMT(Assumptions!$E$17,A3,180,Assumptions!$D$8), 0)</f>
        <v>-1657.5</v>
      </c>
      <c r="E3" s="2">
        <f>SUM(C3:D3)</f>
        <v>-2841.6330117986968</v>
      </c>
      <c r="F3" s="2">
        <f>IF(I2&gt;1, Assumptions!$E$19, 0)*-1</f>
        <v>-2841.6330117986968</v>
      </c>
      <c r="G3" s="24">
        <f>IF(E3-F3&lt;1, 1, 0)</f>
        <v>1</v>
      </c>
      <c r="H3" s="20">
        <f>H2+(C3*-1)</f>
        <v>1184.1330117986968</v>
      </c>
      <c r="I3" s="2">
        <f>MAX(Assumptions!$D$8-SUM(Model_15y!H3), 0)</f>
        <v>338815.86698820128</v>
      </c>
      <c r="J3" s="2">
        <f>J2*(1+(Assumptions!$E$51))</f>
        <v>426731.50260805053</v>
      </c>
      <c r="K3" s="22">
        <f t="shared" si="0"/>
        <v>87915.635619849258</v>
      </c>
      <c r="L3" s="5">
        <f>L2+C3*-1</f>
        <v>86184.133011798694</v>
      </c>
      <c r="M3" s="63">
        <f>L3/Assumptions!$D$6</f>
        <v>0.20278619532187928</v>
      </c>
      <c r="N3" s="24">
        <f>IF(M3&lt;0.2, 1, 0)</f>
        <v>0</v>
      </c>
      <c r="O3" s="22">
        <f>N3*Assumptions!$E$25*-1</f>
        <v>0</v>
      </c>
      <c r="P3" s="5">
        <f>Assumptions!$E$35*J3*-1</f>
        <v>-878.9970265565546</v>
      </c>
      <c r="Q3" s="5">
        <f>J3*Assumptions!$E$36*-1</f>
        <v>-353.99004600558663</v>
      </c>
      <c r="R3" s="5">
        <f>Assumptions!$E$37*-1</f>
        <v>-324.91666666666669</v>
      </c>
      <c r="S3" s="5">
        <f>Assumptions!$E$38*-1</f>
        <v>0</v>
      </c>
      <c r="T3" s="5">
        <f t="shared" ref="T3:T66" si="5">O3</f>
        <v>0</v>
      </c>
      <c r="U3" s="22">
        <f t="shared" si="1"/>
        <v>-1557.903739228808</v>
      </c>
      <c r="V3" s="5">
        <f>MAX(Assumptions!$E$18:$E$19)-U3</f>
        <v>4399.5367510275046</v>
      </c>
      <c r="W3" s="5">
        <f t="shared" si="2"/>
        <v>-2841.6330117986968</v>
      </c>
      <c r="X3" s="5">
        <f t="shared" ref="X3:X66" si="6">U3</f>
        <v>-1557.903739228808</v>
      </c>
      <c r="Y3" s="5">
        <f>D3*Assumptions!$D$44*-1</f>
        <v>248.625</v>
      </c>
      <c r="Z3" s="5">
        <f t="shared" si="3"/>
        <v>248.62499999999977</v>
      </c>
      <c r="AA3" s="5">
        <f>AG2</f>
        <v>0</v>
      </c>
      <c r="AB3" s="3">
        <f>Assumptions!$E$45</f>
        <v>6.9899151946608562E-3</v>
      </c>
      <c r="AC3" s="5">
        <f>(AA3+Z3)+(AA3*AB3)</f>
        <v>248.62499999999977</v>
      </c>
      <c r="AD3" s="4">
        <f>AC3*Assumptions!$E$43</f>
        <v>0.22266245855234787</v>
      </c>
      <c r="AE3" s="2">
        <f>AD3*Assumptions!$D$44*-1</f>
        <v>-3.3399368782852178E-2</v>
      </c>
      <c r="AF3" s="2">
        <f>AC3*Assumptions!$E$46*-1</f>
        <v>-8.2859810131912445E-3</v>
      </c>
      <c r="AG3" s="5">
        <f>AC3+SUM(AE3:AF3)</f>
        <v>248.58331465020373</v>
      </c>
      <c r="AH3" s="20">
        <f>Model_30y[[#This Row],[Mortgage Payment]]+Model_30y[[#This Row],[Total Upkeep]]+Model_30y[[#This Row],[Monthly Investment]]</f>
        <v>-2827.5859932959875</v>
      </c>
      <c r="AI3" s="5">
        <f>Model_Renter!D3*-1</f>
        <v>2756</v>
      </c>
      <c r="AJ3" s="5">
        <f>SUM(AH3:AI3)</f>
        <v>-71.585993295987464</v>
      </c>
    </row>
    <row r="4" spans="1:36" x14ac:dyDescent="0.25">
      <c r="A4" s="17">
        <f t="shared" ref="A4:A67" si="7">A3+1</f>
        <v>2</v>
      </c>
      <c r="B4" s="17">
        <f t="shared" si="4"/>
        <v>1</v>
      </c>
      <c r="C4" s="23">
        <f>IFERROR(PPMT(Assumptions!$E$17, A4, 180, Assumptions!$D$8), 0)</f>
        <v>-1189.9056602312153</v>
      </c>
      <c r="D4" s="38">
        <f>IFERROR(IPMT(Assumptions!$E$17,A4,180,Assumptions!$D$8), 0)</f>
        <v>-1651.7273515674817</v>
      </c>
      <c r="E4" s="2">
        <f t="shared" ref="E4:E67" si="8">SUM(C4:D4)</f>
        <v>-2841.6330117986972</v>
      </c>
      <c r="F4" s="2">
        <f>IF(I3&gt;1, Assumptions!$E$19, 0)*-1</f>
        <v>-2841.6330117986968</v>
      </c>
      <c r="G4" s="24">
        <f t="shared" ref="G4:G66" si="9">IF(E4-F4&lt;1, 1, 0)</f>
        <v>1</v>
      </c>
      <c r="H4" s="20">
        <f>H3+C4*-1</f>
        <v>2374.038672029912</v>
      </c>
      <c r="I4" s="2">
        <f>MAX(Assumptions!$D$8-SUM(Model_15y!H4), 0)</f>
        <v>337625.96132797009</v>
      </c>
      <c r="J4" s="2">
        <f>J3*(1+(Assumptions!$E$51))</f>
        <v>428470.05957205797</v>
      </c>
      <c r="K4" s="22">
        <f t="shared" si="0"/>
        <v>90844.098244087887</v>
      </c>
      <c r="L4" s="5">
        <f t="shared" ref="L4:L67" si="10">L3+C4*-1</f>
        <v>87374.038672029914</v>
      </c>
      <c r="M4" s="63">
        <f>L4/Assumptions!$D$6</f>
        <v>0.20558597334595274</v>
      </c>
      <c r="N4" s="24">
        <f t="shared" ref="N4:N15" si="11">IF(M4&lt;0.2, 1, 0)</f>
        <v>0</v>
      </c>
      <c r="O4" s="22">
        <f>N4*Assumptions!$E$25*-1</f>
        <v>0</v>
      </c>
      <c r="P4" s="5">
        <f>Assumptions!$E$35*J4*-1</f>
        <v>-882.57816924820486</v>
      </c>
      <c r="Q4" s="5">
        <f>J4*Assumptions!$E$36*-1</f>
        <v>-355.43224527119276</v>
      </c>
      <c r="R4" s="5">
        <f>Assumptions!$E$37*-1</f>
        <v>-324.91666666666669</v>
      </c>
      <c r="S4" s="5">
        <f>Assumptions!$E$38*-1</f>
        <v>0</v>
      </c>
      <c r="T4" s="5">
        <f t="shared" si="5"/>
        <v>0</v>
      </c>
      <c r="U4" s="22">
        <f t="shared" si="1"/>
        <v>-1562.9270811860645</v>
      </c>
      <c r="V4" s="5">
        <f>MAX(Assumptions!$E$18:$E$19)-U4</f>
        <v>4404.5600929847615</v>
      </c>
      <c r="W4" s="5">
        <f t="shared" si="2"/>
        <v>-2841.6330117986968</v>
      </c>
      <c r="X4" s="5">
        <f t="shared" si="6"/>
        <v>-1562.9270811860645</v>
      </c>
      <c r="Y4" s="5">
        <f>D4*Assumptions!$D$44*-1</f>
        <v>247.75910273512224</v>
      </c>
      <c r="Z4" s="5">
        <f t="shared" si="3"/>
        <v>247.75910273512247</v>
      </c>
      <c r="AA4" s="5">
        <f t="shared" ref="AA4:AA67" si="12">AG3</f>
        <v>248.58331465020373</v>
      </c>
      <c r="AB4" s="3">
        <f>Assumptions!$E$45</f>
        <v>6.9899151946608562E-3</v>
      </c>
      <c r="AC4" s="5">
        <f t="shared" ref="AC4:AC67" si="13">(AA4+Z4)+(AA4*AB4)</f>
        <v>498.07999367353881</v>
      </c>
      <c r="AD4" s="4">
        <f>AC4*Assumptions!$E$43</f>
        <v>0.4460682391034213</v>
      </c>
      <c r="AE4" s="2">
        <f>AD4*Assumptions!$D$44*-1</f>
        <v>-6.6910235865513187E-2</v>
      </c>
      <c r="AF4" s="2">
        <f>AC4*Assumptions!$E$46*-1</f>
        <v>-1.6599623411279484E-2</v>
      </c>
      <c r="AG4" s="5">
        <f>AC4+SUM(AE4:AF4)</f>
        <v>497.99648381426204</v>
      </c>
      <c r="AH4" s="20">
        <f>Model_30y[[#This Row],[Mortgage Payment]]+Model_30y[[#This Row],[Total Upkeep]]+Model_30y[[#This Row],[Monthly Investment]]</f>
        <v>-2832.8566796649075</v>
      </c>
      <c r="AI4" s="5">
        <f>Model_Renter!D4*-1</f>
        <v>2756</v>
      </c>
      <c r="AJ4" s="5">
        <f t="shared" ref="AJ4:AJ66" si="14">SUM(AH4:AI4)</f>
        <v>-76.85667966490746</v>
      </c>
    </row>
    <row r="5" spans="1:36" x14ac:dyDescent="0.25">
      <c r="A5" s="17">
        <f t="shared" si="7"/>
        <v>3</v>
      </c>
      <c r="B5" s="17">
        <f t="shared" si="4"/>
        <v>1</v>
      </c>
      <c r="C5" s="23">
        <f>IFERROR(PPMT(Assumptions!$E$17, A5, 180, Assumptions!$D$8), 0)</f>
        <v>-1195.7064503248425</v>
      </c>
      <c r="D5" s="38">
        <f>IFERROR(IPMT(Assumptions!$E$17,A5,180,Assumptions!$D$8), 0)</f>
        <v>-1645.9265614738545</v>
      </c>
      <c r="E5" s="2">
        <f t="shared" si="8"/>
        <v>-2841.6330117986972</v>
      </c>
      <c r="F5" s="2">
        <f>IF(I4&gt;1, Assumptions!$E$19, 0)*-1</f>
        <v>-2841.6330117986968</v>
      </c>
      <c r="G5" s="24">
        <f t="shared" si="9"/>
        <v>1</v>
      </c>
      <c r="H5" s="20">
        <f t="shared" ref="H5:H67" si="15">H4+C5*-1</f>
        <v>3569.7451223547546</v>
      </c>
      <c r="I5" s="2">
        <f>MAX(Assumptions!$D$8-SUM(Model_15y!H5), 0)</f>
        <v>336430.25487764523</v>
      </c>
      <c r="J5" s="2">
        <f>J4*(1+(Assumptions!$E$51))</f>
        <v>430215.69963234174</v>
      </c>
      <c r="K5" s="22">
        <f t="shared" si="0"/>
        <v>93785.444754696509</v>
      </c>
      <c r="L5" s="5">
        <f t="shared" si="10"/>
        <v>88569.745122354754</v>
      </c>
      <c r="M5" s="63">
        <f>L5/Assumptions!$D$6</f>
        <v>0.20839940028789353</v>
      </c>
      <c r="N5" s="24">
        <f t="shared" si="11"/>
        <v>0</v>
      </c>
      <c r="O5" s="22">
        <f>N5*Assumptions!$E$25*-1</f>
        <v>0</v>
      </c>
      <c r="P5" s="5">
        <f>Assumptions!$E$35*J5*-1</f>
        <v>-886.17390195846781</v>
      </c>
      <c r="Q5" s="5">
        <f>J5*Assumptions!$E$36*-1</f>
        <v>-356.88032023512767</v>
      </c>
      <c r="R5" s="5">
        <f>Assumptions!$E$37*-1</f>
        <v>-324.91666666666669</v>
      </c>
      <c r="S5" s="5">
        <f>Assumptions!$E$38*-1</f>
        <v>0</v>
      </c>
      <c r="T5" s="5">
        <f t="shared" si="5"/>
        <v>0</v>
      </c>
      <c r="U5" s="22">
        <f t="shared" si="1"/>
        <v>-1567.9708888602622</v>
      </c>
      <c r="V5" s="5">
        <f>MAX(Assumptions!$E$18:$E$19)-U5</f>
        <v>4409.603900658959</v>
      </c>
      <c r="W5" s="5">
        <f t="shared" si="2"/>
        <v>-2841.6330117986968</v>
      </c>
      <c r="X5" s="5">
        <f t="shared" si="6"/>
        <v>-1567.9708888602622</v>
      </c>
      <c r="Y5" s="5">
        <f>D5*Assumptions!$D$44*-1</f>
        <v>246.88898422107815</v>
      </c>
      <c r="Z5" s="5">
        <f t="shared" si="3"/>
        <v>246.88898422107815</v>
      </c>
      <c r="AA5" s="5">
        <f>AG4</f>
        <v>497.99648381426204</v>
      </c>
      <c r="AB5" s="3">
        <f>Assumptions!$E$45</f>
        <v>6.9899151946608562E-3</v>
      </c>
      <c r="AC5" s="5">
        <f t="shared" si="13"/>
        <v>748.36642122444118</v>
      </c>
      <c r="AD5" s="4">
        <f>AC5*Assumptions!$E$43</f>
        <v>0.67021863146447935</v>
      </c>
      <c r="AE5" s="2">
        <f>AD5*Assumptions!$D$44*-1</f>
        <v>-0.1005327947196719</v>
      </c>
      <c r="AF5" s="2">
        <f>AC5*Assumptions!$E$46*-1</f>
        <v>-2.4940975192259855E-2</v>
      </c>
      <c r="AG5" s="5">
        <f t="shared" ref="AG5:AG67" si="16">AC5+SUM(AE5:AF5)</f>
        <v>748.24094745452931</v>
      </c>
      <c r="AH5" s="20">
        <f>Model_30y[[#This Row],[Mortgage Payment]]+Model_30y[[#This Row],[Total Upkeep]]+Model_30y[[#This Row],[Monthly Investment]]</f>
        <v>-2838.1492168794739</v>
      </c>
      <c r="AI5" s="5">
        <f>Model_Renter!D5*-1</f>
        <v>2756</v>
      </c>
      <c r="AJ5" s="5">
        <f t="shared" si="14"/>
        <v>-82.149216879473897</v>
      </c>
    </row>
    <row r="6" spans="1:36" x14ac:dyDescent="0.25">
      <c r="A6" s="17">
        <f t="shared" si="7"/>
        <v>4</v>
      </c>
      <c r="B6" s="17">
        <f t="shared" si="4"/>
        <v>1</v>
      </c>
      <c r="C6" s="23">
        <f>IFERROR(PPMT(Assumptions!$E$17, A6, 180, Assumptions!$D$8), 0)</f>
        <v>-1201.5355192701761</v>
      </c>
      <c r="D6" s="38">
        <f>IFERROR(IPMT(Assumptions!$E$17,A6,180,Assumptions!$D$8), 0)</f>
        <v>-1640.0974925285209</v>
      </c>
      <c r="E6" s="2">
        <f t="shared" si="8"/>
        <v>-2841.6330117986972</v>
      </c>
      <c r="F6" s="2">
        <f>IF(I5&gt;1, Assumptions!$E$19, 0)*-1</f>
        <v>-2841.6330117986968</v>
      </c>
      <c r="G6" s="24">
        <f t="shared" si="9"/>
        <v>1</v>
      </c>
      <c r="H6" s="20">
        <f t="shared" si="15"/>
        <v>4771.2806416249305</v>
      </c>
      <c r="I6" s="2">
        <f>MAX(Assumptions!$D$8-SUM(Model_15y!H6), 0)</f>
        <v>335228.71935837506</v>
      </c>
      <c r="J6" s="2">
        <f>J5*(1+(Assumptions!$E$51))</f>
        <v>431968.45164631278</v>
      </c>
      <c r="K6" s="22">
        <f t="shared" si="0"/>
        <v>96739.732287937717</v>
      </c>
      <c r="L6" s="5">
        <f t="shared" si="10"/>
        <v>89771.280641624937</v>
      </c>
      <c r="M6" s="63">
        <f>L6/Assumptions!$D$6</f>
        <v>0.21122654268617633</v>
      </c>
      <c r="N6" s="24">
        <f t="shared" si="11"/>
        <v>0</v>
      </c>
      <c r="O6" s="22">
        <f>N6*Assumptions!$E$25*-1</f>
        <v>0</v>
      </c>
      <c r="P6" s="5">
        <f>Assumptions!$E$35*J6*-1</f>
        <v>-889.78428412888525</v>
      </c>
      <c r="Q6" s="5">
        <f>J6*Assumptions!$E$36*-1</f>
        <v>-358.33429483571365</v>
      </c>
      <c r="R6" s="5">
        <f>Assumptions!$E$37*-1</f>
        <v>-324.91666666666669</v>
      </c>
      <c r="S6" s="5">
        <f>Assumptions!$E$38*-1</f>
        <v>0</v>
      </c>
      <c r="T6" s="5">
        <f t="shared" si="5"/>
        <v>0</v>
      </c>
      <c r="U6" s="22">
        <f t="shared" si="1"/>
        <v>-1573.0352456312655</v>
      </c>
      <c r="V6" s="5">
        <f>MAX(Assumptions!$E$18:$E$19)-U6</f>
        <v>4414.6682574299621</v>
      </c>
      <c r="W6" s="5">
        <f t="shared" si="2"/>
        <v>-2841.6330117986968</v>
      </c>
      <c r="X6" s="5">
        <f t="shared" si="6"/>
        <v>-1573.0352456312655</v>
      </c>
      <c r="Y6" s="5">
        <f>D6*Assumptions!$D$44*-1</f>
        <v>246.01462387927813</v>
      </c>
      <c r="Z6" s="5">
        <f t="shared" si="3"/>
        <v>246.01462387927791</v>
      </c>
      <c r="AA6" s="5">
        <f t="shared" si="12"/>
        <v>748.24094745452931</v>
      </c>
      <c r="AB6" s="3">
        <f>Assumptions!$E$45</f>
        <v>6.9899151946608562E-3</v>
      </c>
      <c r="AC6" s="5">
        <f t="shared" si="13"/>
        <v>999.48571210168711</v>
      </c>
      <c r="AD6" s="4">
        <f>AC6*Assumptions!$E$43</f>
        <v>0.89511491581500657</v>
      </c>
      <c r="AE6" s="2">
        <f>AD6*Assumptions!$D$44*-1</f>
        <v>-0.13426723737225099</v>
      </c>
      <c r="AF6" s="2">
        <f>AC6*Assumptions!$E$46*-1</f>
        <v>-3.331008399569841E-2</v>
      </c>
      <c r="AG6" s="5">
        <f t="shared" si="16"/>
        <v>999.31813478031916</v>
      </c>
      <c r="AH6" s="20">
        <f>Model_30y[[#This Row],[Mortgage Payment]]+Model_30y[[#This Row],[Total Upkeep]]+Model_30y[[#This Row],[Monthly Investment]]</f>
        <v>-2843.4636960762723</v>
      </c>
      <c r="AI6" s="5">
        <f>Model_Renter!D6*-1</f>
        <v>2756</v>
      </c>
      <c r="AJ6" s="5">
        <f t="shared" si="14"/>
        <v>-87.463696076272299</v>
      </c>
    </row>
    <row r="7" spans="1:36" x14ac:dyDescent="0.25">
      <c r="A7" s="17">
        <f t="shared" si="7"/>
        <v>5</v>
      </c>
      <c r="B7" s="17">
        <f t="shared" si="4"/>
        <v>1</v>
      </c>
      <c r="C7" s="23">
        <f>IFERROR(PPMT(Assumptions!$E$17, A7, 180, Assumptions!$D$8), 0)</f>
        <v>-1207.3930049266182</v>
      </c>
      <c r="D7" s="38">
        <f>IFERROR(IPMT(Assumptions!$E$17,A7,180,Assumptions!$D$8), 0)</f>
        <v>-1634.2400068720788</v>
      </c>
      <c r="E7" s="2">
        <f t="shared" si="8"/>
        <v>-2841.6330117986972</v>
      </c>
      <c r="F7" s="2">
        <f>IF(I6&gt;1, Assumptions!$E$19, 0)*-1</f>
        <v>-2841.6330117986968</v>
      </c>
      <c r="G7" s="24">
        <f t="shared" si="9"/>
        <v>1</v>
      </c>
      <c r="H7" s="20">
        <f t="shared" si="15"/>
        <v>5978.6736465515487</v>
      </c>
      <c r="I7" s="2">
        <f>MAX(Assumptions!$D$8-SUM(Model_15y!H7), 0)</f>
        <v>334021.32635344844</v>
      </c>
      <c r="J7" s="2">
        <f>J6*(1+(Assumptions!$E$51))</f>
        <v>433728.3445889508</v>
      </c>
      <c r="K7" s="22">
        <f t="shared" si="0"/>
        <v>99707.018235502357</v>
      </c>
      <c r="L7" s="5">
        <f t="shared" si="10"/>
        <v>90978.673646551557</v>
      </c>
      <c r="M7" s="63">
        <f>L7/Assumptions!$D$6</f>
        <v>0.21406746740365074</v>
      </c>
      <c r="N7" s="24">
        <f t="shared" si="11"/>
        <v>0</v>
      </c>
      <c r="O7" s="22">
        <f>N7*Assumptions!$E$25*-1</f>
        <v>0</v>
      </c>
      <c r="P7" s="5">
        <f>Assumptions!$E$35*J7*-1</f>
        <v>-893.40937544317137</v>
      </c>
      <c r="Q7" s="5">
        <f>J7*Assumptions!$E$36*-1</f>
        <v>-359.7941931088007</v>
      </c>
      <c r="R7" s="5">
        <f>Assumptions!$E$37*-1</f>
        <v>-324.91666666666669</v>
      </c>
      <c r="S7" s="5">
        <f>Assumptions!$E$38*-1</f>
        <v>0</v>
      </c>
      <c r="T7" s="5">
        <f t="shared" si="5"/>
        <v>0</v>
      </c>
      <c r="U7" s="22">
        <f t="shared" si="1"/>
        <v>-1578.1202352186388</v>
      </c>
      <c r="V7" s="5">
        <f>MAX(Assumptions!$E$18:$E$19)-U7</f>
        <v>4419.7532470173355</v>
      </c>
      <c r="W7" s="5">
        <f t="shared" si="2"/>
        <v>-2841.6330117986968</v>
      </c>
      <c r="X7" s="5">
        <f t="shared" si="6"/>
        <v>-1578.1202352186388</v>
      </c>
      <c r="Y7" s="5">
        <f>D7*Assumptions!$D$44*-1</f>
        <v>245.1360010308118</v>
      </c>
      <c r="Z7" s="5">
        <f t="shared" si="3"/>
        <v>245.1360010308118</v>
      </c>
      <c r="AA7" s="5">
        <f t="shared" si="12"/>
        <v>999.31813478031916</v>
      </c>
      <c r="AB7" s="3">
        <f>Assumptions!$E$45</f>
        <v>6.9899151946608562E-3</v>
      </c>
      <c r="AC7" s="5">
        <f t="shared" si="13"/>
        <v>1251.4392848257321</v>
      </c>
      <c r="AD7" s="4">
        <f>AC7*Assumptions!$E$43</f>
        <v>1.1207583625471682</v>
      </c>
      <c r="AE7" s="2">
        <f>AD7*Assumptions!$D$44*-1</f>
        <v>-0.16811375438207524</v>
      </c>
      <c r="AF7" s="2">
        <f>AC7*Assumptions!$E$46*-1</f>
        <v>-4.170699709694381E-2</v>
      </c>
      <c r="AG7" s="5">
        <f t="shared" si="16"/>
        <v>1251.229464074253</v>
      </c>
      <c r="AH7" s="20">
        <f>Model_30y[[#This Row],[Mortgage Payment]]+Model_30y[[#This Row],[Total Upkeep]]+Model_30y[[#This Row],[Monthly Investment]]</f>
        <v>-2848.8002087750251</v>
      </c>
      <c r="AI7" s="5">
        <f>Model_Renter!D7*-1</f>
        <v>2756</v>
      </c>
      <c r="AJ7" s="5">
        <f t="shared" si="14"/>
        <v>-92.800208775025112</v>
      </c>
    </row>
    <row r="8" spans="1:36" x14ac:dyDescent="0.25">
      <c r="A8" s="17">
        <f t="shared" si="7"/>
        <v>6</v>
      </c>
      <c r="B8" s="17">
        <f t="shared" si="4"/>
        <v>1</v>
      </c>
      <c r="C8" s="23">
        <f>IFERROR(PPMT(Assumptions!$E$17, A8, 180, Assumptions!$D$8), 0)</f>
        <v>-1213.2790458256356</v>
      </c>
      <c r="D8" s="38">
        <f>IFERROR(IPMT(Assumptions!$E$17,A8,180,Assumptions!$D$8), 0)</f>
        <v>-1628.3539659730611</v>
      </c>
      <c r="E8" s="2">
        <f t="shared" si="8"/>
        <v>-2841.6330117986968</v>
      </c>
      <c r="F8" s="2">
        <f>IF(I7&gt;1, Assumptions!$E$19, 0)*-1</f>
        <v>-2841.6330117986968</v>
      </c>
      <c r="G8" s="24">
        <f t="shared" si="9"/>
        <v>1</v>
      </c>
      <c r="H8" s="20">
        <f t="shared" si="15"/>
        <v>7191.9526923771846</v>
      </c>
      <c r="I8" s="2">
        <f>MAX(Assumptions!$D$8-SUM(Model_15y!H8), 0)</f>
        <v>332808.04730762279</v>
      </c>
      <c r="J8" s="2">
        <f>J7*(1+(Assumptions!$E$51))</f>
        <v>435495.40755328309</v>
      </c>
      <c r="K8" s="22">
        <f t="shared" si="0"/>
        <v>102687.3602456603</v>
      </c>
      <c r="L8" s="5">
        <f t="shared" si="10"/>
        <v>92191.952692377192</v>
      </c>
      <c r="M8" s="63">
        <f>L8/Assumptions!$D$6</f>
        <v>0.2169222416291228</v>
      </c>
      <c r="N8" s="24">
        <f t="shared" si="11"/>
        <v>0</v>
      </c>
      <c r="O8" s="22">
        <f>N8*Assumptions!$E$25*-1</f>
        <v>0</v>
      </c>
      <c r="P8" s="5">
        <f>Assumptions!$E$35*J8*-1</f>
        <v>-897.04923582819879</v>
      </c>
      <c r="Q8" s="5">
        <f>J8*Assumptions!$E$36*-1</f>
        <v>-361.26003918816389</v>
      </c>
      <c r="R8" s="5">
        <f>Assumptions!$E$37*-1</f>
        <v>-324.91666666666669</v>
      </c>
      <c r="S8" s="5">
        <f>Assumptions!$E$38*-1</f>
        <v>0</v>
      </c>
      <c r="T8" s="5">
        <f t="shared" si="5"/>
        <v>0</v>
      </c>
      <c r="U8" s="22">
        <f t="shared" si="1"/>
        <v>-1583.2259416830295</v>
      </c>
      <c r="V8" s="5">
        <f>MAX(Assumptions!$E$18:$E$19)-U8</f>
        <v>4424.8589534817265</v>
      </c>
      <c r="W8" s="5">
        <f t="shared" si="2"/>
        <v>-2841.6330117986968</v>
      </c>
      <c r="X8" s="5">
        <f t="shared" si="6"/>
        <v>-1583.2259416830295</v>
      </c>
      <c r="Y8" s="5">
        <f>D8*Assumptions!$D$44*-1</f>
        <v>244.25309489595915</v>
      </c>
      <c r="Z8" s="5">
        <f t="shared" si="3"/>
        <v>244.25309489595938</v>
      </c>
      <c r="AA8" s="5">
        <f t="shared" si="12"/>
        <v>1251.229464074253</v>
      </c>
      <c r="AB8" s="3">
        <f>Assumptions!$E$45</f>
        <v>6.9899151946608562E-3</v>
      </c>
      <c r="AC8" s="5">
        <f t="shared" si="13"/>
        <v>1504.2285468131522</v>
      </c>
      <c r="AD8" s="4">
        <f>AC8*Assumptions!$E$43</f>
        <v>1.3471502321087672</v>
      </c>
      <c r="AE8" s="2">
        <f>AD8*Assumptions!$D$44*-1</f>
        <v>-0.20207253481631507</v>
      </c>
      <c r="AF8" s="2">
        <f>AC8*Assumptions!$E$46*-1</f>
        <v>-5.0131761401283247E-2</v>
      </c>
      <c r="AG8" s="5">
        <f t="shared" si="16"/>
        <v>1503.9763425169347</v>
      </c>
      <c r="AH8" s="20">
        <f>Model_30y[[#This Row],[Mortgage Payment]]+Model_30y[[#This Row],[Total Upkeep]]+Model_30y[[#This Row],[Monthly Investment]]</f>
        <v>-2854.1588468802192</v>
      </c>
      <c r="AI8" s="5">
        <f>Model_Renter!D8*-1</f>
        <v>2756</v>
      </c>
      <c r="AJ8" s="5">
        <f t="shared" si="14"/>
        <v>-98.158846880219244</v>
      </c>
    </row>
    <row r="9" spans="1:36" x14ac:dyDescent="0.25">
      <c r="A9" s="17">
        <f t="shared" si="7"/>
        <v>7</v>
      </c>
      <c r="B9" s="17">
        <f t="shared" si="4"/>
        <v>1</v>
      </c>
      <c r="C9" s="23">
        <f>IFERROR(PPMT(Assumptions!$E$17, A9, 180, Assumptions!$D$8), 0)</f>
        <v>-1219.1937811740354</v>
      </c>
      <c r="D9" s="38">
        <f>IFERROR(IPMT(Assumptions!$E$17,A9,180,Assumptions!$D$8), 0)</f>
        <v>-1622.4392306246614</v>
      </c>
      <c r="E9" s="2">
        <f t="shared" si="8"/>
        <v>-2841.6330117986968</v>
      </c>
      <c r="F9" s="2">
        <f>IF(I8&gt;1, Assumptions!$E$19, 0)*-1</f>
        <v>-2841.6330117986968</v>
      </c>
      <c r="G9" s="24">
        <f t="shared" si="9"/>
        <v>1</v>
      </c>
      <c r="H9" s="20">
        <f t="shared" si="15"/>
        <v>8411.14647355122</v>
      </c>
      <c r="I9" s="2">
        <f>MAX(Assumptions!$D$8-SUM(Model_15y!H9), 0)</f>
        <v>331588.85352644877</v>
      </c>
      <c r="J9" s="2">
        <f>J8*(1+(Assumptions!$E$51))</f>
        <v>437269.66975086555</v>
      </c>
      <c r="K9" s="22">
        <f t="shared" si="0"/>
        <v>105680.81622441678</v>
      </c>
      <c r="L9" s="5">
        <f t="shared" si="10"/>
        <v>93411.146473551227</v>
      </c>
      <c r="M9" s="63">
        <f>L9/Assumptions!$D$6</f>
        <v>0.21979093287894405</v>
      </c>
      <c r="N9" s="24">
        <f t="shared" si="11"/>
        <v>0</v>
      </c>
      <c r="O9" s="22">
        <f>N9*Assumptions!$E$25*-1</f>
        <v>0</v>
      </c>
      <c r="P9" s="5">
        <f>Assumptions!$E$35*J9*-1</f>
        <v>-900.7039254549901</v>
      </c>
      <c r="Q9" s="5">
        <f>J9*Assumptions!$E$36*-1</f>
        <v>-362.73185730590211</v>
      </c>
      <c r="R9" s="5">
        <f>Assumptions!$E$37*-1</f>
        <v>-324.91666666666669</v>
      </c>
      <c r="S9" s="5">
        <f>Assumptions!$E$38*-1</f>
        <v>0</v>
      </c>
      <c r="T9" s="5">
        <f t="shared" si="5"/>
        <v>0</v>
      </c>
      <c r="U9" s="22">
        <f t="shared" si="1"/>
        <v>-1588.3524494275589</v>
      </c>
      <c r="V9" s="5">
        <f>MAX(Assumptions!$E$18:$E$19)-U9</f>
        <v>4429.9854612262552</v>
      </c>
      <c r="W9" s="5">
        <f t="shared" si="2"/>
        <v>-2841.6330117986968</v>
      </c>
      <c r="X9" s="5">
        <f t="shared" si="6"/>
        <v>-1588.3524494275589</v>
      </c>
      <c r="Y9" s="5">
        <f>D9*Assumptions!$D$44*-1</f>
        <v>243.36588459369921</v>
      </c>
      <c r="Z9" s="5">
        <f t="shared" si="3"/>
        <v>243.36588459369875</v>
      </c>
      <c r="AA9" s="5">
        <f t="shared" si="12"/>
        <v>1503.9763425169347</v>
      </c>
      <c r="AB9" s="3">
        <f>Assumptions!$E$45</f>
        <v>6.9899151946608562E-3</v>
      </c>
      <c r="AC9" s="5">
        <f t="shared" si="13"/>
        <v>1757.854894199603</v>
      </c>
      <c r="AD9" s="4">
        <f>AC9*Assumptions!$E$43</f>
        <v>1.574291774844691</v>
      </c>
      <c r="AE9" s="2">
        <f>AD9*Assumptions!$D$44*-1</f>
        <v>-0.23614376622670363</v>
      </c>
      <c r="AF9" s="2">
        <f>AC9*Assumptions!$E$46*-1</f>
        <v>-5.8584423438042141E-2</v>
      </c>
      <c r="AG9" s="5">
        <f t="shared" si="16"/>
        <v>1757.5601660099383</v>
      </c>
      <c r="AH9" s="20">
        <f>Model_30y[[#This Row],[Mortgage Payment]]+Model_30y[[#This Row],[Total Upkeep]]+Model_30y[[#This Row],[Monthly Investment]]</f>
        <v>-2859.5397026827404</v>
      </c>
      <c r="AI9" s="5">
        <f>Model_Renter!D9*-1</f>
        <v>2756</v>
      </c>
      <c r="AJ9" s="5">
        <f t="shared" si="14"/>
        <v>-103.53970268274043</v>
      </c>
    </row>
    <row r="10" spans="1:36" x14ac:dyDescent="0.25">
      <c r="A10" s="17">
        <f t="shared" si="7"/>
        <v>8</v>
      </c>
      <c r="B10" s="17">
        <f t="shared" si="4"/>
        <v>1</v>
      </c>
      <c r="C10" s="23">
        <f>IFERROR(PPMT(Assumptions!$E$17, A10, 180, Assumptions!$D$8), 0)</f>
        <v>-1225.137350857259</v>
      </c>
      <c r="D10" s="38">
        <f>IFERROR(IPMT(Assumptions!$E$17,A10,180,Assumptions!$D$8), 0)</f>
        <v>-1616.495660941438</v>
      </c>
      <c r="E10" s="2">
        <f t="shared" si="8"/>
        <v>-2841.6330117986972</v>
      </c>
      <c r="F10" s="2">
        <f>IF(I9&gt;1, Assumptions!$E$19, 0)*-1</f>
        <v>-2841.6330117986968</v>
      </c>
      <c r="G10" s="24">
        <f t="shared" si="9"/>
        <v>1</v>
      </c>
      <c r="H10" s="20">
        <f t="shared" si="15"/>
        <v>9636.2838244084796</v>
      </c>
      <c r="I10" s="2">
        <f>MAX(Assumptions!$D$8-SUM(Model_15y!H10), 0)</f>
        <v>330363.71617559151</v>
      </c>
      <c r="J10" s="2">
        <f>J9*(1+(Assumptions!$E$51))</f>
        <v>439051.16051226563</v>
      </c>
      <c r="K10" s="22">
        <f t="shared" si="0"/>
        <v>108687.44433667412</v>
      </c>
      <c r="L10" s="5">
        <f t="shared" si="10"/>
        <v>94636.283824408485</v>
      </c>
      <c r="M10" s="63">
        <f>L10/Assumptions!$D$6</f>
        <v>0.22267360899860819</v>
      </c>
      <c r="N10" s="24">
        <f t="shared" si="11"/>
        <v>0</v>
      </c>
      <c r="O10" s="22">
        <f>N10*Assumptions!$E$25*-1</f>
        <v>0</v>
      </c>
      <c r="P10" s="5">
        <f>Assumptions!$E$35*J10*-1</f>
        <v>-904.37350473971173</v>
      </c>
      <c r="Q10" s="5">
        <f>J10*Assumptions!$E$36*-1</f>
        <v>-364.209671792839</v>
      </c>
      <c r="R10" s="5">
        <f>Assumptions!$E$37*-1</f>
        <v>-324.91666666666669</v>
      </c>
      <c r="S10" s="5">
        <f>Assumptions!$E$38*-1</f>
        <v>0</v>
      </c>
      <c r="T10" s="5">
        <f t="shared" si="5"/>
        <v>0</v>
      </c>
      <c r="U10" s="22">
        <f t="shared" si="1"/>
        <v>-1593.4998431992174</v>
      </c>
      <c r="V10" s="5">
        <f>MAX(Assumptions!$E$18:$E$19)-U10</f>
        <v>4435.1328549979144</v>
      </c>
      <c r="W10" s="5">
        <f t="shared" si="2"/>
        <v>-2841.6330117986968</v>
      </c>
      <c r="X10" s="5">
        <f t="shared" si="6"/>
        <v>-1593.4998431992174</v>
      </c>
      <c r="Y10" s="5">
        <f>D10*Assumptions!$D$44*-1</f>
        <v>242.4743491412157</v>
      </c>
      <c r="Z10" s="5">
        <f t="shared" si="3"/>
        <v>242.47434914121592</v>
      </c>
      <c r="AA10" s="5">
        <f t="shared" si="12"/>
        <v>1757.5601660099383</v>
      </c>
      <c r="AB10" s="3">
        <f>Assumptions!$E$45</f>
        <v>6.9899151946608562E-3</v>
      </c>
      <c r="AC10" s="5">
        <f t="shared" si="13"/>
        <v>2012.3197116610777</v>
      </c>
      <c r="AD10" s="4">
        <f>AC10*Assumptions!$E$43</f>
        <v>1.8021842308368334</v>
      </c>
      <c r="AE10" s="2">
        <f>AD10*Assumptions!$D$44*-1</f>
        <v>-0.270327634625525</v>
      </c>
      <c r="AF10" s="2">
        <f>AC10*Assumptions!$E$46*-1</f>
        <v>-6.7065029354627187E-2</v>
      </c>
      <c r="AG10" s="5">
        <f t="shared" si="16"/>
        <v>2011.9823189970975</v>
      </c>
      <c r="AH10" s="20">
        <f>Model_30y[[#This Row],[Mortgage Payment]]+Model_30y[[#This Row],[Total Upkeep]]+Model_30y[[#This Row],[Monthly Investment]]</f>
        <v>-2864.9428688615153</v>
      </c>
      <c r="AI10" s="5">
        <f>Model_Renter!D10*-1</f>
        <v>2756</v>
      </c>
      <c r="AJ10" s="5">
        <f t="shared" si="14"/>
        <v>-108.94286886151531</v>
      </c>
    </row>
    <row r="11" spans="1:36" x14ac:dyDescent="0.25">
      <c r="A11" s="17">
        <f t="shared" si="7"/>
        <v>9</v>
      </c>
      <c r="B11" s="17">
        <f t="shared" si="4"/>
        <v>1</v>
      </c>
      <c r="C11" s="23">
        <f>IFERROR(PPMT(Assumptions!$E$17, A11, 180, Assumptions!$D$8), 0)</f>
        <v>-1231.109895442688</v>
      </c>
      <c r="D11" s="38">
        <f>IFERROR(IPMT(Assumptions!$E$17,A11,180,Assumptions!$D$8), 0)</f>
        <v>-1610.5231163560088</v>
      </c>
      <c r="E11" s="2">
        <f t="shared" si="8"/>
        <v>-2841.6330117986968</v>
      </c>
      <c r="F11" s="2">
        <f>IF(I10&gt;1, Assumptions!$E$19, 0)*-1</f>
        <v>-2841.6330117986968</v>
      </c>
      <c r="G11" s="24">
        <f t="shared" si="9"/>
        <v>1</v>
      </c>
      <c r="H11" s="20">
        <f t="shared" si="15"/>
        <v>10867.393719851167</v>
      </c>
      <c r="I11" s="2">
        <f>MAX(Assumptions!$D$8-SUM(Model_15y!H11), 0)</f>
        <v>329132.60628014884</v>
      </c>
      <c r="J11" s="2">
        <f>J10*(1+(Assumptions!$E$51))</f>
        <v>440839.90928754705</v>
      </c>
      <c r="K11" s="22">
        <f t="shared" si="0"/>
        <v>111707.30300739821</v>
      </c>
      <c r="L11" s="5">
        <f t="shared" si="10"/>
        <v>95867.39371985117</v>
      </c>
      <c r="M11" s="63">
        <f>L11/Assumptions!$D$6</f>
        <v>0.2255703381643557</v>
      </c>
      <c r="N11" s="24">
        <f t="shared" si="11"/>
        <v>0</v>
      </c>
      <c r="O11" s="22">
        <f>N11*Assumptions!$E$25*-1</f>
        <v>0</v>
      </c>
      <c r="P11" s="5">
        <f>Assumptions!$E$35*J11*-1</f>
        <v>-908.05803434467316</v>
      </c>
      <c r="Q11" s="5">
        <f>J11*Assumptions!$E$36*-1</f>
        <v>-365.69350707892499</v>
      </c>
      <c r="R11" s="5">
        <f>Assumptions!$E$37*-1</f>
        <v>-324.91666666666669</v>
      </c>
      <c r="S11" s="5">
        <f>Assumptions!$E$38*-1</f>
        <v>0</v>
      </c>
      <c r="T11" s="5">
        <f t="shared" si="5"/>
        <v>0</v>
      </c>
      <c r="U11" s="22">
        <f t="shared" si="1"/>
        <v>-1598.6682080902649</v>
      </c>
      <c r="V11" s="5">
        <f>MAX(Assumptions!$E$18:$E$19)-U11</f>
        <v>4440.3012198889619</v>
      </c>
      <c r="W11" s="5">
        <f t="shared" si="2"/>
        <v>-2841.6330117986968</v>
      </c>
      <c r="X11" s="5">
        <f t="shared" si="6"/>
        <v>-1598.6682080902649</v>
      </c>
      <c r="Y11" s="5">
        <f>D11*Assumptions!$D$44*-1</f>
        <v>241.57846745340132</v>
      </c>
      <c r="Z11" s="5">
        <f t="shared" si="3"/>
        <v>241.57846745340154</v>
      </c>
      <c r="AA11" s="5">
        <f t="shared" si="12"/>
        <v>2011.9823189970975</v>
      </c>
      <c r="AB11" s="3">
        <f>Assumptions!$E$45</f>
        <v>6.9899151946608562E-3</v>
      </c>
      <c r="AC11" s="5">
        <f t="shared" si="13"/>
        <v>2267.6243722334457</v>
      </c>
      <c r="AD11" s="4">
        <f>AC11*Assumptions!$E$43</f>
        <v>2.0308288297424792</v>
      </c>
      <c r="AE11" s="2">
        <f>AD11*Assumptions!$D$44*-1</f>
        <v>-0.30462432446137189</v>
      </c>
      <c r="AF11" s="2">
        <f>AC11*Assumptions!$E$46*-1</f>
        <v>-7.5573624910512061E-2</v>
      </c>
      <c r="AG11" s="5">
        <f t="shared" si="16"/>
        <v>2267.2441742840738</v>
      </c>
      <c r="AH11" s="20">
        <f>Model_30y[[#This Row],[Mortgage Payment]]+Model_30y[[#This Row],[Total Upkeep]]+Model_30y[[#This Row],[Monthly Investment]]</f>
        <v>-2870.368438485159</v>
      </c>
      <c r="AI11" s="5">
        <f>Model_Renter!D11*-1</f>
        <v>2756</v>
      </c>
      <c r="AJ11" s="5">
        <f t="shared" si="14"/>
        <v>-114.368438485159</v>
      </c>
    </row>
    <row r="12" spans="1:36" x14ac:dyDescent="0.25">
      <c r="A12" s="17">
        <f t="shared" si="7"/>
        <v>10</v>
      </c>
      <c r="B12" s="17">
        <f t="shared" si="4"/>
        <v>1</v>
      </c>
      <c r="C12" s="23">
        <f>IFERROR(PPMT(Assumptions!$E$17, A12, 180, Assumptions!$D$8), 0)</f>
        <v>-1237.1115561829711</v>
      </c>
      <c r="D12" s="38">
        <f>IFERROR(IPMT(Assumptions!$E$17,A12,180,Assumptions!$D$8), 0)</f>
        <v>-1604.5214556157257</v>
      </c>
      <c r="E12" s="2">
        <f t="shared" si="8"/>
        <v>-2841.6330117986968</v>
      </c>
      <c r="F12" s="2">
        <f>IF(I11&gt;1, Assumptions!$E$19, 0)*-1</f>
        <v>-2841.6330117986968</v>
      </c>
      <c r="G12" s="24">
        <f t="shared" si="9"/>
        <v>1</v>
      </c>
      <c r="H12" s="20">
        <f t="shared" si="15"/>
        <v>12104.505276034139</v>
      </c>
      <c r="I12" s="2">
        <f>MAX(Assumptions!$D$8-SUM(Model_15y!H12), 0)</f>
        <v>327895.49472396588</v>
      </c>
      <c r="J12" s="2">
        <f>J11*(1+(Assumptions!$E$51))</f>
        <v>442635.94564675685</v>
      </c>
      <c r="K12" s="22">
        <f t="shared" si="0"/>
        <v>114740.45092279097</v>
      </c>
      <c r="L12" s="5">
        <f t="shared" si="10"/>
        <v>97104.505276034135</v>
      </c>
      <c r="M12" s="63">
        <f>L12/Assumptions!$D$6</f>
        <v>0.22848118888478619</v>
      </c>
      <c r="N12" s="24">
        <f t="shared" si="11"/>
        <v>0</v>
      </c>
      <c r="O12" s="22">
        <f>N12*Assumptions!$E$25*-1</f>
        <v>0</v>
      </c>
      <c r="P12" s="5">
        <f>Assumptions!$E$35*J12*-1</f>
        <v>-911.75757517932982</v>
      </c>
      <c r="Q12" s="5">
        <f>J12*Assumptions!$E$36*-1</f>
        <v>-367.18338769364101</v>
      </c>
      <c r="R12" s="5">
        <f>Assumptions!$E$37*-1</f>
        <v>-324.91666666666669</v>
      </c>
      <c r="S12" s="5">
        <f>Assumptions!$E$38*-1</f>
        <v>0</v>
      </c>
      <c r="T12" s="5">
        <f t="shared" si="5"/>
        <v>0</v>
      </c>
      <c r="U12" s="22">
        <f t="shared" si="1"/>
        <v>-1603.8576295396376</v>
      </c>
      <c r="V12" s="5">
        <f>MAX(Assumptions!$E$18:$E$19)-U12</f>
        <v>4445.4906413383342</v>
      </c>
      <c r="W12" s="5">
        <f t="shared" si="2"/>
        <v>-2841.6330117986968</v>
      </c>
      <c r="X12" s="5">
        <f t="shared" si="6"/>
        <v>-1603.8576295396376</v>
      </c>
      <c r="Y12" s="5">
        <f>D12*Assumptions!$D$44*-1</f>
        <v>240.67821834235883</v>
      </c>
      <c r="Z12" s="5">
        <f t="shared" si="3"/>
        <v>240.6782183423586</v>
      </c>
      <c r="AA12" s="5">
        <f t="shared" si="12"/>
        <v>2267.2441742840738</v>
      </c>
      <c r="AB12" s="3">
        <f>Assumptions!$E$45</f>
        <v>6.9899151946608562E-3</v>
      </c>
      <c r="AC12" s="5">
        <f t="shared" si="13"/>
        <v>2523.7702371302667</v>
      </c>
      <c r="AD12" s="4">
        <f>AC12*Assumptions!$E$43</f>
        <v>2.2602267906311417</v>
      </c>
      <c r="AE12" s="2">
        <f>AD12*Assumptions!$D$44*-1</f>
        <v>-0.33903401859467125</v>
      </c>
      <c r="AF12" s="2">
        <f>AC12*Assumptions!$E$46*-1</f>
        <v>-8.4110255471165699E-2</v>
      </c>
      <c r="AG12" s="5">
        <f t="shared" si="16"/>
        <v>2523.347092856201</v>
      </c>
      <c r="AH12" s="20">
        <f>Model_30y[[#This Row],[Mortgage Payment]]+Model_30y[[#This Row],[Total Upkeep]]+Model_30y[[#This Row],[Monthly Investment]]</f>
        <v>-2875.8165050136304</v>
      </c>
      <c r="AI12" s="5">
        <f>Model_Renter!D12*-1</f>
        <v>2756</v>
      </c>
      <c r="AJ12" s="5">
        <f t="shared" si="14"/>
        <v>-119.81650501363038</v>
      </c>
    </row>
    <row r="13" spans="1:36" x14ac:dyDescent="0.25">
      <c r="A13" s="17">
        <f t="shared" si="7"/>
        <v>11</v>
      </c>
      <c r="B13" s="17">
        <f t="shared" si="4"/>
        <v>1</v>
      </c>
      <c r="C13" s="23">
        <f>IFERROR(PPMT(Assumptions!$E$17, A13, 180, Assumptions!$D$8), 0)</f>
        <v>-1243.142475019363</v>
      </c>
      <c r="D13" s="38">
        <f>IFERROR(IPMT(Assumptions!$E$17,A13,180,Assumptions!$D$8), 0)</f>
        <v>-1598.4905367793338</v>
      </c>
      <c r="E13" s="2">
        <f t="shared" si="8"/>
        <v>-2841.6330117986968</v>
      </c>
      <c r="F13" s="2">
        <f>IF(I12&gt;1, Assumptions!$E$19, 0)*-1</f>
        <v>-2841.6330117986968</v>
      </c>
      <c r="G13" s="24">
        <f t="shared" si="9"/>
        <v>1</v>
      </c>
      <c r="H13" s="20">
        <f t="shared" si="15"/>
        <v>13347.647751053502</v>
      </c>
      <c r="I13" s="2">
        <f>MAX(Assumptions!$D$8-SUM(Model_15y!H13), 0)</f>
        <v>326652.3522489465</v>
      </c>
      <c r="J13" s="2">
        <f>J12*(1+(Assumptions!$E$51))</f>
        <v>444439.29928041401</v>
      </c>
      <c r="K13" s="22">
        <f t="shared" si="0"/>
        <v>117786.94703146751</v>
      </c>
      <c r="L13" s="5">
        <f t="shared" si="10"/>
        <v>98347.647751053504</v>
      </c>
      <c r="M13" s="63">
        <f>L13/Assumptions!$D$6</f>
        <v>0.23140623000247884</v>
      </c>
      <c r="N13" s="24">
        <f t="shared" si="11"/>
        <v>0</v>
      </c>
      <c r="O13" s="22">
        <f>N13*Assumptions!$E$25*-1</f>
        <v>0</v>
      </c>
      <c r="P13" s="5">
        <f>Assumptions!$E$35*J13*-1</f>
        <v>-915.47218840128949</v>
      </c>
      <c r="Q13" s="5">
        <f>J13*Assumptions!$E$36*-1</f>
        <v>-368.67933826640427</v>
      </c>
      <c r="R13" s="5">
        <f>Assumptions!$E$37*-1</f>
        <v>-324.91666666666669</v>
      </c>
      <c r="S13" s="5">
        <f>Assumptions!$E$38*-1</f>
        <v>0</v>
      </c>
      <c r="T13" s="5">
        <f t="shared" si="5"/>
        <v>0</v>
      </c>
      <c r="U13" s="22">
        <f t="shared" si="1"/>
        <v>-1609.0681933343606</v>
      </c>
      <c r="V13" s="5">
        <f>MAX(Assumptions!$E$18:$E$19)-U13</f>
        <v>4450.7012051330576</v>
      </c>
      <c r="W13" s="5">
        <f t="shared" si="2"/>
        <v>-2841.6330117986968</v>
      </c>
      <c r="X13" s="5">
        <f t="shared" si="6"/>
        <v>-1609.0681933343606</v>
      </c>
      <c r="Y13" s="5">
        <f>D13*Assumptions!$D$44*-1</f>
        <v>239.77358051690004</v>
      </c>
      <c r="Z13" s="5">
        <f t="shared" si="3"/>
        <v>239.77358051690027</v>
      </c>
      <c r="AA13" s="5">
        <f t="shared" si="12"/>
        <v>2523.347092856201</v>
      </c>
      <c r="AB13" s="3">
        <f>Assumptions!$E$45</f>
        <v>6.9899151946608562E-3</v>
      </c>
      <c r="AC13" s="5">
        <f t="shared" si="13"/>
        <v>2780.7586555588605</v>
      </c>
      <c r="AD13" s="4">
        <f>AC13*Assumptions!$E$43</f>
        <v>2.4903793218198409</v>
      </c>
      <c r="AE13" s="2">
        <f>AD13*Assumptions!$D$44*-1</f>
        <v>-0.37355689827297611</v>
      </c>
      <c r="AF13" s="2">
        <f>AC13*Assumptions!$E$46*-1</f>
        <v>-9.2674966001922363E-2</v>
      </c>
      <c r="AG13" s="5">
        <f t="shared" si="16"/>
        <v>2780.2924236945855</v>
      </c>
      <c r="AH13" s="20">
        <f>Model_30y[[#This Row],[Mortgage Payment]]+Model_30y[[#This Row],[Total Upkeep]]+Model_30y[[#This Row],[Monthly Investment]]</f>
        <v>-2881.2871622998955</v>
      </c>
      <c r="AI13" s="5">
        <f>Model_Renter!D13*-1</f>
        <v>2756</v>
      </c>
      <c r="AJ13" s="5">
        <f t="shared" si="14"/>
        <v>-125.2871622998955</v>
      </c>
    </row>
    <row r="14" spans="1:36" x14ac:dyDescent="0.25">
      <c r="A14" s="17">
        <f t="shared" si="7"/>
        <v>12</v>
      </c>
      <c r="B14" s="17">
        <f t="shared" si="4"/>
        <v>1</v>
      </c>
      <c r="C14" s="23">
        <f>IFERROR(PPMT(Assumptions!$E$17, A14, 180, Assumptions!$D$8), 0)</f>
        <v>-1249.2027945850825</v>
      </c>
      <c r="D14" s="38">
        <f>IFERROR(IPMT(Assumptions!$E$17,A14,180,Assumptions!$D$8), 0)</f>
        <v>-1592.4302172136145</v>
      </c>
      <c r="E14" s="2">
        <f t="shared" si="8"/>
        <v>-2841.6330117986972</v>
      </c>
      <c r="F14" s="2">
        <f>IF(I13&gt;1, Assumptions!$E$19, 0)*-1</f>
        <v>-2841.6330117986968</v>
      </c>
      <c r="G14" s="24">
        <f t="shared" si="9"/>
        <v>1</v>
      </c>
      <c r="H14" s="20">
        <f t="shared" si="15"/>
        <v>14596.850545638585</v>
      </c>
      <c r="I14" s="2">
        <f>MAX(Assumptions!$D$8-SUM(Model_15y!H14), 0)</f>
        <v>325403.14945436141</v>
      </c>
      <c r="J14" s="2">
        <f>J13*(1+(Assumptions!$E$51))</f>
        <v>446250.00000000035</v>
      </c>
      <c r="K14" s="22">
        <f t="shared" si="0"/>
        <v>120846.85054563894</v>
      </c>
      <c r="L14" s="5">
        <f t="shared" si="10"/>
        <v>99596.85054563859</v>
      </c>
      <c r="M14" s="63">
        <f>L14/Assumptions!$D$6</f>
        <v>0.23434553069562022</v>
      </c>
      <c r="N14" s="24">
        <f t="shared" si="11"/>
        <v>0</v>
      </c>
      <c r="O14" s="22">
        <f>N14*Assumptions!$E$25*-1</f>
        <v>0</v>
      </c>
      <c r="P14" s="5">
        <f>Assumptions!$E$35*J14*-1</f>
        <v>-919.20193541732385</v>
      </c>
      <c r="Q14" s="5">
        <f>J14*Assumptions!$E$36*-1</f>
        <v>-370.1813835269752</v>
      </c>
      <c r="R14" s="5">
        <f>Assumptions!$E$37*-1</f>
        <v>-324.91666666666669</v>
      </c>
      <c r="S14" s="5">
        <f>Assumptions!$E$38*-1</f>
        <v>0</v>
      </c>
      <c r="T14" s="5">
        <f t="shared" si="5"/>
        <v>0</v>
      </c>
      <c r="U14" s="22">
        <f t="shared" si="1"/>
        <v>-1614.2999856109657</v>
      </c>
      <c r="V14" s="5">
        <f>MAX(Assumptions!$E$18:$E$19)-U14</f>
        <v>4455.9329974096627</v>
      </c>
      <c r="W14" s="5">
        <f t="shared" si="2"/>
        <v>-2841.6330117986968</v>
      </c>
      <c r="X14" s="5">
        <f t="shared" si="6"/>
        <v>-1614.2999856109657</v>
      </c>
      <c r="Y14" s="5">
        <f>D14*Assumptions!$D$44*-1</f>
        <v>238.86453258204216</v>
      </c>
      <c r="Z14" s="5">
        <f t="shared" si="3"/>
        <v>238.86453258204239</v>
      </c>
      <c r="AA14" s="5">
        <f t="shared" si="12"/>
        <v>2780.2924236945855</v>
      </c>
      <c r="AB14" s="3">
        <f>Assumptions!$E$45</f>
        <v>6.9899151946608562E-3</v>
      </c>
      <c r="AC14" s="5">
        <f t="shared" si="13"/>
        <v>3038.5909645346114</v>
      </c>
      <c r="AD14" s="4">
        <f>AC14*Assumptions!$E$43</f>
        <v>2.7212876207067964</v>
      </c>
      <c r="AE14" s="2">
        <f>AD14*Assumptions!$D$44*-1</f>
        <v>-0.40819314310601945</v>
      </c>
      <c r="AF14" s="2">
        <f>AC14*Assumptions!$E$46*-1</f>
        <v>-0.10126780106179299</v>
      </c>
      <c r="AG14" s="5">
        <f t="shared" si="16"/>
        <v>3038.0815035904438</v>
      </c>
      <c r="AH14" s="20">
        <f>Model_30y[[#This Row],[Mortgage Payment]]+Model_30y[[#This Row],[Total Upkeep]]+Model_30y[[#This Row],[Monthly Investment]]</f>
        <v>-2886.7805045915948</v>
      </c>
      <c r="AI14" s="5">
        <f>Model_Renter!D14*-1</f>
        <v>2756</v>
      </c>
      <c r="AJ14" s="5">
        <f t="shared" si="14"/>
        <v>-130.78050459159476</v>
      </c>
    </row>
    <row r="15" spans="1:36" x14ac:dyDescent="0.25">
      <c r="A15" s="17">
        <f t="shared" si="7"/>
        <v>13</v>
      </c>
      <c r="B15" s="17">
        <f t="shared" si="4"/>
        <v>2</v>
      </c>
      <c r="C15" s="23">
        <f>IFERROR(PPMT(Assumptions!$E$17, A15, 180, Assumptions!$D$8), 0)</f>
        <v>-1255.2926582086848</v>
      </c>
      <c r="D15" s="38">
        <f>IFERROR(IPMT(Assumptions!$E$17,A15,180,Assumptions!$D$8), 0)</f>
        <v>-1586.3403535900122</v>
      </c>
      <c r="E15" s="2">
        <f t="shared" si="8"/>
        <v>-2841.6330117986972</v>
      </c>
      <c r="F15" s="2">
        <f>IF(I14&gt;1, Assumptions!$E$19, 0)*-1</f>
        <v>-2841.6330117986968</v>
      </c>
      <c r="G15" s="24">
        <f t="shared" si="9"/>
        <v>1</v>
      </c>
      <c r="H15" s="20">
        <f t="shared" si="15"/>
        <v>15852.14320384727</v>
      </c>
      <c r="I15" s="2">
        <f>MAX(Assumptions!$D$8-SUM(Model_15y!H15), 0)</f>
        <v>324147.85679615272</v>
      </c>
      <c r="J15" s="2">
        <f>J14*(1+(Assumptions!$E$51))</f>
        <v>448068.0777384534</v>
      </c>
      <c r="K15" s="22">
        <f t="shared" si="0"/>
        <v>123920.22094230069</v>
      </c>
      <c r="L15" s="5">
        <f t="shared" si="10"/>
        <v>100852.14320384727</v>
      </c>
      <c r="M15" s="63">
        <f>L15/Assumptions!$D$6</f>
        <v>0.23729916047964064</v>
      </c>
      <c r="N15" s="24">
        <f t="shared" si="11"/>
        <v>0</v>
      </c>
      <c r="O15" s="22">
        <f>N15*Assumptions!$E$25*-1</f>
        <v>0</v>
      </c>
      <c r="P15" s="5">
        <f>Assumptions!$E$35*J15*-1</f>
        <v>-922.94687788438307</v>
      </c>
      <c r="Q15" s="5">
        <f>J15*Assumptions!$E$36*-1</f>
        <v>-371.68954830586625</v>
      </c>
      <c r="R15" s="5">
        <f>R3+R3*Assumptions!$D$51</f>
        <v>-341.16250000000002</v>
      </c>
      <c r="S15" s="5">
        <f>S3+(S3*Assumptions!$D$51)</f>
        <v>0</v>
      </c>
      <c r="T15" s="5">
        <f t="shared" si="5"/>
        <v>0</v>
      </c>
      <c r="U15" s="22">
        <f t="shared" si="1"/>
        <v>-1635.7989261902494</v>
      </c>
      <c r="V15" s="5">
        <f>MAX(Assumptions!$E$18:$E$19)-U15</f>
        <v>4477.4319379889457</v>
      </c>
      <c r="W15" s="5">
        <f t="shared" si="2"/>
        <v>-2841.6330117986968</v>
      </c>
      <c r="X15" s="5">
        <f t="shared" si="6"/>
        <v>-1635.7989261902494</v>
      </c>
      <c r="Y15" s="5">
        <f>D15*Assumptions!$D$44*-1</f>
        <v>237.95105303850181</v>
      </c>
      <c r="Z15" s="5">
        <f t="shared" si="3"/>
        <v>237.95105303850136</v>
      </c>
      <c r="AA15" s="5">
        <f t="shared" si="12"/>
        <v>3038.0815035904438</v>
      </c>
      <c r="AB15" s="3">
        <f>Assumptions!$E$45</f>
        <v>6.9899151946608562E-3</v>
      </c>
      <c r="AC15" s="5">
        <f t="shared" si="13"/>
        <v>3297.2684886935103</v>
      </c>
      <c r="AD15" s="4">
        <f>AC15*Assumptions!$E$43</f>
        <v>2.952952873603548</v>
      </c>
      <c r="AE15" s="2">
        <f>AD15*Assumptions!$D$44*-1</f>
        <v>-0.44294293104053217</v>
      </c>
      <c r="AF15" s="2">
        <f>AC15*Assumptions!$E$46*-1</f>
        <v>-0.10988880479721766</v>
      </c>
      <c r="AG15" s="5">
        <f t="shared" si="16"/>
        <v>3296.7156569576728</v>
      </c>
      <c r="AH15" s="20">
        <f>Model_30y[[#This Row],[Mortgage Payment]]+Model_30y[[#This Row],[Total Upkeep]]+Model_30y[[#This Row],[Monthly Investment]]</f>
        <v>-2908.5424598660584</v>
      </c>
      <c r="AI15" s="5">
        <f>Model_Renter!D15*-1</f>
        <v>2859.0744000000004</v>
      </c>
      <c r="AJ15" s="5">
        <f t="shared" si="14"/>
        <v>-49.468059866057956</v>
      </c>
    </row>
    <row r="16" spans="1:36" x14ac:dyDescent="0.25">
      <c r="A16" s="17">
        <f t="shared" si="7"/>
        <v>14</v>
      </c>
      <c r="B16" s="17">
        <f t="shared" si="4"/>
        <v>2</v>
      </c>
      <c r="C16" s="23">
        <f>IFERROR(PPMT(Assumptions!$E$17, A16, 180, Assumptions!$D$8), 0)</f>
        <v>-1261.4122099174522</v>
      </c>
      <c r="D16" s="38">
        <f>IFERROR(IPMT(Assumptions!$E$17,A16,180,Assumptions!$D$8), 0)</f>
        <v>-1580.2208018812448</v>
      </c>
      <c r="E16" s="2">
        <f t="shared" si="8"/>
        <v>-2841.6330117986972</v>
      </c>
      <c r="F16" s="2">
        <f>IF(I15&gt;1, Assumptions!$E$19, 0)*-1</f>
        <v>-2841.6330117986968</v>
      </c>
      <c r="G16" s="24">
        <f t="shared" si="9"/>
        <v>1</v>
      </c>
      <c r="H16" s="20">
        <f t="shared" si="15"/>
        <v>17113.555413764723</v>
      </c>
      <c r="I16" s="2">
        <f>MAX(Assumptions!$D$8-SUM(Model_15y!H16), 0)</f>
        <v>322886.44458623527</v>
      </c>
      <c r="J16" s="2">
        <f>J15*(1+(Assumptions!$E$51))</f>
        <v>449893.56255066121</v>
      </c>
      <c r="K16" s="22">
        <f t="shared" si="0"/>
        <v>127007.11796442594</v>
      </c>
      <c r="L16" s="5">
        <f t="shared" si="10"/>
        <v>102113.55541376473</v>
      </c>
      <c r="M16" s="63">
        <f>L16/Assumptions!$D$6</f>
        <v>0.24026718920885817</v>
      </c>
      <c r="N16" s="24">
        <f>IF(M16&lt;0.2, 1, 0)</f>
        <v>0</v>
      </c>
      <c r="O16" s="22">
        <f>N16*Assumptions!$E$25*-1</f>
        <v>0</v>
      </c>
      <c r="P16" s="5">
        <f>Assumptions!$E$35*J16*-1</f>
        <v>-926.70707771061575</v>
      </c>
      <c r="Q16" s="5">
        <f>J16*Assumptions!$E$36*-1</f>
        <v>-373.20385753475267</v>
      </c>
      <c r="R16" s="5">
        <f>R4+R4*Assumptions!$D$51</f>
        <v>-341.16250000000002</v>
      </c>
      <c r="S16" s="5">
        <f>S4+(S4*Assumptions!$D$51)</f>
        <v>0</v>
      </c>
      <c r="T16" s="5">
        <f t="shared" si="5"/>
        <v>0</v>
      </c>
      <c r="U16" s="22">
        <f t="shared" si="1"/>
        <v>-1641.0734352453683</v>
      </c>
      <c r="V16" s="5">
        <f>MAX(Assumptions!$E$18:$E$19)-U16</f>
        <v>4482.7064470440655</v>
      </c>
      <c r="W16" s="5">
        <f t="shared" si="2"/>
        <v>-2841.6330117986968</v>
      </c>
      <c r="X16" s="5">
        <f t="shared" si="6"/>
        <v>-1641.0734352453683</v>
      </c>
      <c r="Y16" s="5">
        <f>D16*Assumptions!$D$44*-1</f>
        <v>237.0331202821867</v>
      </c>
      <c r="Z16" s="5">
        <f t="shared" si="3"/>
        <v>237.03312028218716</v>
      </c>
      <c r="AA16" s="5">
        <f t="shared" si="12"/>
        <v>3296.7156569576728</v>
      </c>
      <c r="AB16" s="3">
        <f>Assumptions!$E$45</f>
        <v>6.9899151946608562E-3</v>
      </c>
      <c r="AC16" s="5">
        <f t="shared" si="13"/>
        <v>3556.7925401029047</v>
      </c>
      <c r="AD16" s="4">
        <f>AC16*Assumptions!$E$43</f>
        <v>3.1853762555654654</v>
      </c>
      <c r="AE16" s="2">
        <f>AD16*Assumptions!$D$44*-1</f>
        <v>-0.47780643833481978</v>
      </c>
      <c r="AF16" s="2">
        <f>AC16*Assumptions!$E$46*-1</f>
        <v>-0.11853802093575848</v>
      </c>
      <c r="AG16" s="5">
        <f t="shared" si="16"/>
        <v>3556.1961956436339</v>
      </c>
      <c r="AH16" s="20">
        <f>Model_30y[[#This Row],[Mortgage Payment]]+Model_30y[[#This Row],[Total Upkeep]]+Model_30y[[#This Row],[Monthly Investment]]</f>
        <v>-2914.0814564986481</v>
      </c>
      <c r="AI16" s="5">
        <f>Model_Renter!D16*-1</f>
        <v>2859.0744000000004</v>
      </c>
      <c r="AJ16" s="5">
        <f t="shared" si="14"/>
        <v>-55.007056498647671</v>
      </c>
    </row>
    <row r="17" spans="1:36" x14ac:dyDescent="0.25">
      <c r="A17" s="17">
        <f t="shared" si="7"/>
        <v>15</v>
      </c>
      <c r="B17" s="17">
        <f t="shared" si="4"/>
        <v>2</v>
      </c>
      <c r="C17" s="23">
        <f>IFERROR(PPMT(Assumptions!$E$17, A17, 180, Assumptions!$D$8), 0)</f>
        <v>-1267.5615944407998</v>
      </c>
      <c r="D17" s="38">
        <f>IFERROR(IPMT(Assumptions!$E$17,A17,180,Assumptions!$D$8), 0)</f>
        <v>-1574.071417357897</v>
      </c>
      <c r="E17" s="2">
        <f t="shared" si="8"/>
        <v>-2841.6330117986968</v>
      </c>
      <c r="F17" s="2">
        <f>IF(I16&gt;1, Assumptions!$E$19, 0)*-1</f>
        <v>-2841.6330117986968</v>
      </c>
      <c r="G17" s="24">
        <f t="shared" si="9"/>
        <v>1</v>
      </c>
      <c r="H17" s="20">
        <f t="shared" si="15"/>
        <v>18381.117008205521</v>
      </c>
      <c r="I17" s="2">
        <f>MAX(Assumptions!$D$8-SUM(Model_15y!H17), 0)</f>
        <v>321618.8829917945</v>
      </c>
      <c r="J17" s="2">
        <f>J16*(1+(Assumptions!$E$51))</f>
        <v>451726.48461395915</v>
      </c>
      <c r="K17" s="22">
        <f t="shared" si="0"/>
        <v>130107.60162216466</v>
      </c>
      <c r="L17" s="5">
        <f t="shared" si="10"/>
        <v>103381.11700820553</v>
      </c>
      <c r="M17" s="63">
        <f>L17/Assumptions!$D$6</f>
        <v>0.24324968707813066</v>
      </c>
      <c r="N17" s="24">
        <f>IF(M17&lt;0.2, 1, 0)</f>
        <v>0</v>
      </c>
      <c r="O17" s="22">
        <f>N17*Assumptions!$E$25*-1</f>
        <v>0</v>
      </c>
      <c r="P17" s="5">
        <f>Assumptions!$E$35*J17*-1</f>
        <v>-930.48259705639191</v>
      </c>
      <c r="Q17" s="5">
        <f>J17*Assumptions!$E$36*-1</f>
        <v>-374.72433624688432</v>
      </c>
      <c r="R17" s="5">
        <f>R5+R5*Assumptions!$D$51</f>
        <v>-341.16250000000002</v>
      </c>
      <c r="S17" s="5">
        <f>S5+(S5*Assumptions!$D$51)</f>
        <v>0</v>
      </c>
      <c r="T17" s="5">
        <f t="shared" si="5"/>
        <v>0</v>
      </c>
      <c r="U17" s="22">
        <f t="shared" si="1"/>
        <v>-1646.3694333032763</v>
      </c>
      <c r="V17" s="5">
        <f>MAX(Assumptions!$E$18:$E$19)-U17</f>
        <v>4488.0024451019726</v>
      </c>
      <c r="W17" s="5">
        <f t="shared" si="2"/>
        <v>-2841.6330117986968</v>
      </c>
      <c r="X17" s="5">
        <f t="shared" si="6"/>
        <v>-1646.3694333032763</v>
      </c>
      <c r="Y17" s="5">
        <f>D17*Assumptions!$D$44*-1</f>
        <v>236.11071260368453</v>
      </c>
      <c r="Z17" s="5">
        <f t="shared" si="3"/>
        <v>236.11071260368408</v>
      </c>
      <c r="AA17" s="5">
        <f t="shared" si="12"/>
        <v>3556.1961956436339</v>
      </c>
      <c r="AB17" s="3">
        <f>Assumptions!$E$45</f>
        <v>6.9899151946608562E-3</v>
      </c>
      <c r="AC17" s="5">
        <f t="shared" si="13"/>
        <v>3817.1644180704425</v>
      </c>
      <c r="AD17" s="4">
        <f>AC17*Assumptions!$E$43</f>
        <v>3.4185589302206445</v>
      </c>
      <c r="AE17" s="2">
        <f>AD17*Assumptions!$D$44*-1</f>
        <v>-0.5127838395330967</v>
      </c>
      <c r="AF17" s="2">
        <f>AC17*Assumptions!$E$46*-1</f>
        <v>-0.12721549277973221</v>
      </c>
      <c r="AG17" s="5">
        <f t="shared" si="16"/>
        <v>3816.5244187381295</v>
      </c>
      <c r="AH17" s="20">
        <f>Model_30y[[#This Row],[Mortgage Payment]]+Model_30y[[#This Row],[Total Upkeep]]+Model_30y[[#This Row],[Monthly Investment]]</f>
        <v>-2919.6434232644629</v>
      </c>
      <c r="AI17" s="5">
        <f>Model_Renter!D17*-1</f>
        <v>2859.0744000000004</v>
      </c>
      <c r="AJ17" s="5">
        <f t="shared" si="14"/>
        <v>-60.56902326446243</v>
      </c>
    </row>
    <row r="18" spans="1:36" x14ac:dyDescent="0.25">
      <c r="A18" s="17">
        <f t="shared" si="7"/>
        <v>16</v>
      </c>
      <c r="B18" s="17">
        <f t="shared" si="4"/>
        <v>2</v>
      </c>
      <c r="C18" s="23">
        <f>IFERROR(PPMT(Assumptions!$E$17, A18, 180, Assumptions!$D$8), 0)</f>
        <v>-1273.7409572136987</v>
      </c>
      <c r="D18" s="38">
        <f>IFERROR(IPMT(Assumptions!$E$17,A18,180,Assumptions!$D$8), 0)</f>
        <v>-1567.8920545849983</v>
      </c>
      <c r="E18" s="2">
        <f t="shared" si="8"/>
        <v>-2841.6330117986972</v>
      </c>
      <c r="F18" s="2">
        <f>IF(I17&gt;1, Assumptions!$E$19, 0)*-1</f>
        <v>-2841.6330117986968</v>
      </c>
      <c r="G18" s="24">
        <f t="shared" si="9"/>
        <v>1</v>
      </c>
      <c r="H18" s="20">
        <f t="shared" si="15"/>
        <v>19654.857965419222</v>
      </c>
      <c r="I18" s="2">
        <f>MAX(Assumptions!$D$8-SUM(Model_15y!H18), 0)</f>
        <v>320345.14203458076</v>
      </c>
      <c r="J18" s="2">
        <f>J17*(1+(Assumptions!$E$51))</f>
        <v>453566.87422862876</v>
      </c>
      <c r="K18" s="22">
        <f t="shared" si="0"/>
        <v>133221.732194048</v>
      </c>
      <c r="L18" s="5">
        <f t="shared" si="10"/>
        <v>104654.85796541923</v>
      </c>
      <c r="M18" s="63">
        <f>L18/Assumptions!$D$6</f>
        <v>0.24624672462451583</v>
      </c>
      <c r="N18" s="24">
        <f t="shared" ref="N18:N81" si="17">IF(M18&lt;0.2, 1, 0)</f>
        <v>0</v>
      </c>
      <c r="O18" s="22">
        <f>N18*Assumptions!$E$25*-1</f>
        <v>0</v>
      </c>
      <c r="P18" s="5">
        <f>Assumptions!$E$35*J18*-1</f>
        <v>-934.27349833533026</v>
      </c>
      <c r="Q18" s="5">
        <f>J18*Assumptions!$E$36*-1</f>
        <v>-376.25100957749959</v>
      </c>
      <c r="R18" s="5">
        <f>R6+R6*Assumptions!$D$51</f>
        <v>-341.16250000000002</v>
      </c>
      <c r="S18" s="5">
        <f>S6+(S6*Assumptions!$D$51)</f>
        <v>0</v>
      </c>
      <c r="T18" s="5">
        <f t="shared" si="5"/>
        <v>0</v>
      </c>
      <c r="U18" s="22">
        <f t="shared" si="1"/>
        <v>-1651.6870079128298</v>
      </c>
      <c r="V18" s="5">
        <f>MAX(Assumptions!$E$18:$E$19)-U18</f>
        <v>4493.3200197115266</v>
      </c>
      <c r="W18" s="5">
        <f t="shared" si="2"/>
        <v>-2841.6330117986968</v>
      </c>
      <c r="X18" s="5">
        <f t="shared" si="6"/>
        <v>-1651.6870079128298</v>
      </c>
      <c r="Y18" s="5">
        <f>D18*Assumptions!$D$44*-1</f>
        <v>235.18380818774972</v>
      </c>
      <c r="Z18" s="5">
        <f t="shared" si="3"/>
        <v>235.18380818774972</v>
      </c>
      <c r="AA18" s="5">
        <f t="shared" si="12"/>
        <v>3816.5244187381295</v>
      </c>
      <c r="AB18" s="3">
        <f>Assumptions!$E$45</f>
        <v>6.9899151946608562E-3</v>
      </c>
      <c r="AC18" s="5">
        <f t="shared" si="13"/>
        <v>4078.385408951211</v>
      </c>
      <c r="AD18" s="4">
        <f>AC18*Assumptions!$E$43</f>
        <v>3.6525020495971852</v>
      </c>
      <c r="AE18" s="2">
        <f>AD18*Assumptions!$D$44*-1</f>
        <v>-0.5478753074395778</v>
      </c>
      <c r="AF18" s="2">
        <f>AC18*Assumptions!$E$46*-1</f>
        <v>-0.1359212631997827</v>
      </c>
      <c r="AG18" s="5">
        <f t="shared" si="16"/>
        <v>4077.7016123805715</v>
      </c>
      <c r="AH18" s="20">
        <f>Model_30y[[#This Row],[Mortgage Payment]]+Model_30y[[#This Row],[Total Upkeep]]+Model_30y[[#This Row],[Monthly Investment]]</f>
        <v>-2925.228456006686</v>
      </c>
      <c r="AI18" s="5">
        <f>Model_Renter!D18*-1</f>
        <v>2859.0744000000004</v>
      </c>
      <c r="AJ18" s="5">
        <f t="shared" si="14"/>
        <v>-66.154056006685551</v>
      </c>
    </row>
    <row r="19" spans="1:36" x14ac:dyDescent="0.25">
      <c r="A19" s="17">
        <f t="shared" si="7"/>
        <v>17</v>
      </c>
      <c r="B19" s="17">
        <f t="shared" si="4"/>
        <v>2</v>
      </c>
      <c r="C19" s="23">
        <f>IFERROR(PPMT(Assumptions!$E$17, A19, 180, Assumptions!$D$8), 0)</f>
        <v>-1279.9504443801154</v>
      </c>
      <c r="D19" s="38">
        <f>IFERROR(IPMT(Assumptions!$E$17,A19,180,Assumptions!$D$8), 0)</f>
        <v>-1561.6825674185814</v>
      </c>
      <c r="E19" s="2">
        <f t="shared" si="8"/>
        <v>-2841.6330117986968</v>
      </c>
      <c r="F19" s="2">
        <f>IF(I18&gt;1, Assumptions!$E$19, 0)*-1</f>
        <v>-2841.6330117986968</v>
      </c>
      <c r="G19" s="24">
        <f t="shared" si="9"/>
        <v>1</v>
      </c>
      <c r="H19" s="20">
        <f t="shared" si="15"/>
        <v>20934.808409799338</v>
      </c>
      <c r="I19" s="2">
        <f>MAX(Assumptions!$D$8-SUM(Model_15y!H19), 0)</f>
        <v>319065.19159020064</v>
      </c>
      <c r="J19" s="2">
        <f>J18*(1+(Assumptions!$E$51))</f>
        <v>455414.76181839866</v>
      </c>
      <c r="K19" s="22">
        <f t="shared" si="0"/>
        <v>136349.57022819802</v>
      </c>
      <c r="L19" s="5">
        <f t="shared" si="10"/>
        <v>105934.80840979934</v>
      </c>
      <c r="M19" s="63">
        <f>L19/Assumptions!$D$6</f>
        <v>0.24925837272893964</v>
      </c>
      <c r="N19" s="24">
        <f t="shared" si="17"/>
        <v>0</v>
      </c>
      <c r="O19" s="22">
        <f>N19*Assumptions!$E$25*-1</f>
        <v>0</v>
      </c>
      <c r="P19" s="5">
        <f>Assumptions!$E$35*J19*-1</f>
        <v>-938.07984421533058</v>
      </c>
      <c r="Q19" s="5">
        <f>J19*Assumptions!$E$36*-1</f>
        <v>-377.78390276424102</v>
      </c>
      <c r="R19" s="5">
        <f>R7+R7*Assumptions!$D$51</f>
        <v>-341.16250000000002</v>
      </c>
      <c r="S19" s="5">
        <f>S7+(S7*Assumptions!$D$51)</f>
        <v>0</v>
      </c>
      <c r="T19" s="5">
        <f t="shared" si="5"/>
        <v>0</v>
      </c>
      <c r="U19" s="22">
        <f t="shared" si="1"/>
        <v>-1657.0262469795716</v>
      </c>
      <c r="V19" s="5">
        <f>MAX(Assumptions!$E$18:$E$19)-U19</f>
        <v>4498.6592587782688</v>
      </c>
      <c r="W19" s="5">
        <f t="shared" si="2"/>
        <v>-2841.6330117986968</v>
      </c>
      <c r="X19" s="5">
        <f t="shared" si="6"/>
        <v>-1657.0262469795716</v>
      </c>
      <c r="Y19" s="5">
        <f>D19*Assumptions!$D$44*-1</f>
        <v>234.25238511278718</v>
      </c>
      <c r="Z19" s="5">
        <f t="shared" si="3"/>
        <v>234.25238511278764</v>
      </c>
      <c r="AA19" s="5">
        <f t="shared" si="12"/>
        <v>4077.7016123805715</v>
      </c>
      <c r="AB19" s="3">
        <f>Assumptions!$E$45</f>
        <v>6.9899151946608562E-3</v>
      </c>
      <c r="AC19" s="5">
        <f t="shared" si="13"/>
        <v>4340.4567859530316</v>
      </c>
      <c r="AD19" s="4">
        <f>AC19*Assumptions!$E$43</f>
        <v>3.8872067539488175</v>
      </c>
      <c r="AE19" s="2">
        <f>AD19*Assumptions!$D$44*-1</f>
        <v>-0.58308101309232263</v>
      </c>
      <c r="AF19" s="2">
        <f>AC19*Assumptions!$E$46*-1</f>
        <v>-0.14465537462839193</v>
      </c>
      <c r="AG19" s="5">
        <f t="shared" si="16"/>
        <v>4339.7290495653106</v>
      </c>
      <c r="AH19" s="20">
        <f>Model_30y[[#This Row],[Mortgage Payment]]+Model_30y[[#This Row],[Total Upkeep]]+Model_30y[[#This Row],[Monthly Investment]]</f>
        <v>-2930.8366509716407</v>
      </c>
      <c r="AI19" s="5">
        <f>Model_Renter!D19*-1</f>
        <v>2859.0744000000004</v>
      </c>
      <c r="AJ19" s="5">
        <f t="shared" si="14"/>
        <v>-71.762250971640242</v>
      </c>
    </row>
    <row r="20" spans="1:36" x14ac:dyDescent="0.25">
      <c r="A20" s="17">
        <f t="shared" si="7"/>
        <v>18</v>
      </c>
      <c r="B20" s="17">
        <f t="shared" si="4"/>
        <v>2</v>
      </c>
      <c r="C20" s="23">
        <f>IFERROR(PPMT(Assumptions!$E$17, A20, 180, Assumptions!$D$8), 0)</f>
        <v>-1286.1902027964684</v>
      </c>
      <c r="D20" s="38">
        <f>IFERROR(IPMT(Assumptions!$E$17,A20,180,Assumptions!$D$8), 0)</f>
        <v>-1555.4428090022284</v>
      </c>
      <c r="E20" s="2">
        <f t="shared" si="8"/>
        <v>-2841.6330117986968</v>
      </c>
      <c r="F20" s="2">
        <f>IF(I19&gt;1, Assumptions!$E$19, 0)*-1</f>
        <v>-2841.6330117986968</v>
      </c>
      <c r="G20" s="24">
        <f t="shared" si="9"/>
        <v>1</v>
      </c>
      <c r="H20" s="20">
        <f t="shared" si="15"/>
        <v>22220.998612595806</v>
      </c>
      <c r="I20" s="2">
        <f>MAX(Assumptions!$D$8-SUM(Model_15y!H20), 0)</f>
        <v>317779.00138740422</v>
      </c>
      <c r="J20" s="2">
        <f>J19*(1+(Assumptions!$E$51))</f>
        <v>457270.17793094757</v>
      </c>
      <c r="K20" s="22">
        <f t="shared" si="0"/>
        <v>139491.17654354335</v>
      </c>
      <c r="L20" s="5">
        <f t="shared" si="10"/>
        <v>107220.99861259581</v>
      </c>
      <c r="M20" s="63">
        <f>L20/Assumptions!$D$6</f>
        <v>0.2522847026178725</v>
      </c>
      <c r="N20" s="24">
        <f t="shared" si="17"/>
        <v>0</v>
      </c>
      <c r="O20" s="22">
        <f>N20*Assumptions!$E$25*-1</f>
        <v>0</v>
      </c>
      <c r="P20" s="5">
        <f>Assumptions!$E$35*J20*-1</f>
        <v>-941.90169761960942</v>
      </c>
      <c r="Q20" s="5">
        <f>J20*Assumptions!$E$36*-1</f>
        <v>-379.32304114757233</v>
      </c>
      <c r="R20" s="5">
        <f>R8+R8*Assumptions!$D$51</f>
        <v>-341.16250000000002</v>
      </c>
      <c r="S20" s="5">
        <f>S8+(S8*Assumptions!$D$51)</f>
        <v>0</v>
      </c>
      <c r="T20" s="5">
        <f t="shared" si="5"/>
        <v>0</v>
      </c>
      <c r="U20" s="22">
        <f t="shared" si="1"/>
        <v>-1662.3872387671818</v>
      </c>
      <c r="V20" s="5">
        <f>MAX(Assumptions!$E$18:$E$19)-U20</f>
        <v>4504.0202505658781</v>
      </c>
      <c r="W20" s="5">
        <f t="shared" si="2"/>
        <v>-2841.6330117986968</v>
      </c>
      <c r="X20" s="5">
        <f t="shared" si="6"/>
        <v>-1662.3872387671818</v>
      </c>
      <c r="Y20" s="5">
        <f>D20*Assumptions!$D$44*-1</f>
        <v>233.31642135033425</v>
      </c>
      <c r="Z20" s="5">
        <f t="shared" si="3"/>
        <v>233.3164213503338</v>
      </c>
      <c r="AA20" s="5">
        <f t="shared" si="12"/>
        <v>4339.7290495653106</v>
      </c>
      <c r="AB20" s="3">
        <f>Assumptions!$E$45</f>
        <v>6.9899151946608562E-3</v>
      </c>
      <c r="AC20" s="5">
        <f t="shared" si="13"/>
        <v>4603.3798089399124</v>
      </c>
      <c r="AD20" s="4">
        <f>AC20*Assumptions!$E$43</f>
        <v>4.1226741715788808</v>
      </c>
      <c r="AE20" s="2">
        <f>AD20*Assumptions!$D$44*-1</f>
        <v>-0.61840112573683215</v>
      </c>
      <c r="AF20" s="2">
        <f>AC20*Assumptions!$E$46*-1</f>
        <v>-0.15341786905332966</v>
      </c>
      <c r="AG20" s="5">
        <f t="shared" si="16"/>
        <v>4602.6079899451224</v>
      </c>
      <c r="AH20" s="20">
        <f>Model_30y[[#This Row],[Mortgage Payment]]+Model_30y[[#This Row],[Total Upkeep]]+Model_30y[[#This Row],[Monthly Investment]]</f>
        <v>-2936.4681048104944</v>
      </c>
      <c r="AI20" s="5">
        <f>Model_Renter!D20*-1</f>
        <v>2859.0744000000004</v>
      </c>
      <c r="AJ20" s="5">
        <f t="shared" si="14"/>
        <v>-77.393704810494</v>
      </c>
    </row>
    <row r="21" spans="1:36" x14ac:dyDescent="0.25">
      <c r="A21" s="17">
        <f t="shared" si="7"/>
        <v>19</v>
      </c>
      <c r="B21" s="17">
        <f t="shared" si="4"/>
        <v>2</v>
      </c>
      <c r="C21" s="23">
        <f>IFERROR(PPMT(Assumptions!$E$17, A21, 180, Assumptions!$D$8), 0)</f>
        <v>-1292.4603800351013</v>
      </c>
      <c r="D21" s="38">
        <f>IFERROR(IPMT(Assumptions!$E$17,A21,180,Assumptions!$D$8), 0)</f>
        <v>-1549.1726317635955</v>
      </c>
      <c r="E21" s="2">
        <f t="shared" si="8"/>
        <v>-2841.6330117986968</v>
      </c>
      <c r="F21" s="2">
        <f>IF(I20&gt;1, Assumptions!$E$19, 0)*-1</f>
        <v>-2841.6330117986968</v>
      </c>
      <c r="G21" s="24">
        <f t="shared" si="9"/>
        <v>1</v>
      </c>
      <c r="H21" s="20">
        <f t="shared" si="15"/>
        <v>23513.458992630905</v>
      </c>
      <c r="I21" s="2">
        <f>MAX(Assumptions!$D$8-SUM(Model_15y!H21), 0)</f>
        <v>316486.54100736912</v>
      </c>
      <c r="J21" s="2">
        <f>J20*(1+(Assumptions!$E$51))</f>
        <v>459133.15323840914</v>
      </c>
      <c r="K21" s="22">
        <f t="shared" si="0"/>
        <v>142646.61223104002</v>
      </c>
      <c r="L21" s="5">
        <f t="shared" si="10"/>
        <v>108513.45899263091</v>
      </c>
      <c r="M21" s="63">
        <f>L21/Assumptions!$D$6</f>
        <v>0.25532578586501392</v>
      </c>
      <c r="N21" s="24">
        <f t="shared" si="17"/>
        <v>0</v>
      </c>
      <c r="O21" s="22">
        <f>N21*Assumptions!$E$25*-1</f>
        <v>0</v>
      </c>
      <c r="P21" s="5">
        <f>Assumptions!$E$35*J21*-1</f>
        <v>-945.73912172774021</v>
      </c>
      <c r="Q21" s="5">
        <f>J21*Assumptions!$E$36*-1</f>
        <v>-380.86845017119748</v>
      </c>
      <c r="R21" s="5">
        <f>R9+R9*Assumptions!$D$51</f>
        <v>-341.16250000000002</v>
      </c>
      <c r="S21" s="5">
        <f>S9+(S9*Assumptions!$D$51)</f>
        <v>0</v>
      </c>
      <c r="T21" s="5">
        <f t="shared" si="5"/>
        <v>0</v>
      </c>
      <c r="U21" s="22">
        <f t="shared" si="1"/>
        <v>-1667.7700718989377</v>
      </c>
      <c r="V21" s="5">
        <f>MAX(Assumptions!$E$18:$E$19)-U21</f>
        <v>4509.4030836976344</v>
      </c>
      <c r="W21" s="5">
        <f t="shared" si="2"/>
        <v>-2841.6330117986968</v>
      </c>
      <c r="X21" s="5">
        <f t="shared" si="6"/>
        <v>-1667.7700718989377</v>
      </c>
      <c r="Y21" s="5">
        <f>D21*Assumptions!$D$44*-1</f>
        <v>232.37589476453931</v>
      </c>
      <c r="Z21" s="5">
        <f t="shared" si="3"/>
        <v>232.37589476453931</v>
      </c>
      <c r="AA21" s="5">
        <f t="shared" si="12"/>
        <v>4602.6079899451224</v>
      </c>
      <c r="AB21" s="3">
        <f>Assumptions!$E$45</f>
        <v>6.9899151946608562E-3</v>
      </c>
      <c r="AC21" s="5">
        <f t="shared" si="13"/>
        <v>4867.1557242336467</v>
      </c>
      <c r="AD21" s="4">
        <f>AC21*Assumptions!$E$43</f>
        <v>4.3589054186626361</v>
      </c>
      <c r="AE21" s="2">
        <f>AD21*Assumptions!$D$44*-1</f>
        <v>-0.6538358127993954</v>
      </c>
      <c r="AF21" s="2">
        <f>AC21*Assumptions!$E$46*-1</f>
        <v>-0.16220878801104116</v>
      </c>
      <c r="AG21" s="5">
        <f t="shared" si="16"/>
        <v>4866.3396796328361</v>
      </c>
      <c r="AH21" s="20">
        <f>Model_30y[[#This Row],[Mortgage Payment]]+Model_30y[[#This Row],[Total Upkeep]]+Model_30y[[#This Row],[Monthly Investment]]</f>
        <v>-2942.1229145809803</v>
      </c>
      <c r="AI21" s="5">
        <f>Model_Renter!D21*-1</f>
        <v>2859.0744000000004</v>
      </c>
      <c r="AJ21" s="5">
        <f t="shared" si="14"/>
        <v>-83.048514580979827</v>
      </c>
    </row>
    <row r="22" spans="1:36" x14ac:dyDescent="0.25">
      <c r="A22" s="17">
        <f t="shared" si="7"/>
        <v>20</v>
      </c>
      <c r="B22" s="17">
        <f t="shared" si="4"/>
        <v>2</v>
      </c>
      <c r="C22" s="23">
        <f>IFERROR(PPMT(Assumptions!$E$17, A22, 180, Assumptions!$D$8), 0)</f>
        <v>-1298.7611243877725</v>
      </c>
      <c r="D22" s="38">
        <f>IFERROR(IPMT(Assumptions!$E$17,A22,180,Assumptions!$D$8), 0)</f>
        <v>-1542.871887410924</v>
      </c>
      <c r="E22" s="2">
        <f t="shared" si="8"/>
        <v>-2841.6330117986963</v>
      </c>
      <c r="F22" s="2">
        <f>IF(I21&gt;1, Assumptions!$E$19, 0)*-1</f>
        <v>-2841.6330117986968</v>
      </c>
      <c r="G22" s="24">
        <f t="shared" si="9"/>
        <v>1</v>
      </c>
      <c r="H22" s="20">
        <f t="shared" si="15"/>
        <v>24812.220117018678</v>
      </c>
      <c r="I22" s="2">
        <f>MAX(Assumptions!$D$8-SUM(Model_15y!H22), 0)</f>
        <v>315187.77988298133</v>
      </c>
      <c r="J22" s="2">
        <f>J21*(1+(Assumptions!$E$51))</f>
        <v>461003.71853787923</v>
      </c>
      <c r="K22" s="22">
        <f t="shared" si="0"/>
        <v>145815.93865489791</v>
      </c>
      <c r="L22" s="5">
        <f t="shared" si="10"/>
        <v>109812.22011701869</v>
      </c>
      <c r="M22" s="63">
        <f>L22/Assumptions!$D$6</f>
        <v>0.25838169439298514</v>
      </c>
      <c r="N22" s="24">
        <f t="shared" si="17"/>
        <v>0</v>
      </c>
      <c r="O22" s="22">
        <f>N22*Assumptions!$E$25*-1</f>
        <v>0</v>
      </c>
      <c r="P22" s="5">
        <f>Assumptions!$E$35*J22*-1</f>
        <v>-949.59217997669793</v>
      </c>
      <c r="Q22" s="5">
        <f>J22*Assumptions!$E$36*-1</f>
        <v>-382.42015538248125</v>
      </c>
      <c r="R22" s="5">
        <f>R10+R10*Assumptions!$D$51</f>
        <v>-341.16250000000002</v>
      </c>
      <c r="S22" s="5">
        <f>S10+(S10*Assumptions!$D$51)</f>
        <v>0</v>
      </c>
      <c r="T22" s="5">
        <f t="shared" si="5"/>
        <v>0</v>
      </c>
      <c r="U22" s="22">
        <f t="shared" si="1"/>
        <v>-1673.1748353591793</v>
      </c>
      <c r="V22" s="5">
        <f>MAX(Assumptions!$E$18:$E$19)-U22</f>
        <v>4514.8078471578756</v>
      </c>
      <c r="W22" s="5">
        <f t="shared" si="2"/>
        <v>-2841.6330117986968</v>
      </c>
      <c r="X22" s="5">
        <f t="shared" si="6"/>
        <v>-1673.1748353591793</v>
      </c>
      <c r="Y22" s="5">
        <f>D22*Assumptions!$D$44*-1</f>
        <v>231.43078311163859</v>
      </c>
      <c r="Z22" s="5">
        <f t="shared" si="3"/>
        <v>231.43078311163814</v>
      </c>
      <c r="AA22" s="5">
        <f t="shared" si="12"/>
        <v>4866.3396796328361</v>
      </c>
      <c r="AB22" s="3">
        <f>Assumptions!$E$45</f>
        <v>6.9899151946608562E-3</v>
      </c>
      <c r="AC22" s="5">
        <f t="shared" si="13"/>
        <v>5131.7857644135211</v>
      </c>
      <c r="AD22" s="4">
        <f>AC22*Assumptions!$E$43</f>
        <v>4.5959015990678953</v>
      </c>
      <c r="AE22" s="2">
        <f>AD22*Assumptions!$D$44*-1</f>
        <v>-0.6893852398601843</v>
      </c>
      <c r="AF22" s="2">
        <f>AC22*Assumptions!$E$46*-1</f>
        <v>-0.17102817257997219</v>
      </c>
      <c r="AG22" s="5">
        <f t="shared" si="16"/>
        <v>5130.9253510010813</v>
      </c>
      <c r="AH22" s="20">
        <f>Model_30y[[#This Row],[Mortgage Payment]]+Model_30y[[#This Row],[Total Upkeep]]+Model_30y[[#This Row],[Monthly Investment]]</f>
        <v>-2947.8011777491288</v>
      </c>
      <c r="AI22" s="5">
        <f>Model_Renter!D22*-1</f>
        <v>2859.0744000000004</v>
      </c>
      <c r="AJ22" s="5">
        <f t="shared" si="14"/>
        <v>-88.72677774912836</v>
      </c>
    </row>
    <row r="23" spans="1:36" x14ac:dyDescent="0.25">
      <c r="A23" s="17">
        <f t="shared" si="7"/>
        <v>21</v>
      </c>
      <c r="B23" s="17">
        <f t="shared" si="4"/>
        <v>2</v>
      </c>
      <c r="C23" s="23">
        <f>IFERROR(PPMT(Assumptions!$E$17, A23, 180, Assumptions!$D$8), 0)</f>
        <v>-1305.0925848691627</v>
      </c>
      <c r="D23" s="38">
        <f>IFERROR(IPMT(Assumptions!$E$17,A23,180,Assumptions!$D$8), 0)</f>
        <v>-1536.5404269295339</v>
      </c>
      <c r="E23" s="2">
        <f t="shared" si="8"/>
        <v>-2841.6330117986963</v>
      </c>
      <c r="F23" s="2">
        <f>IF(I22&gt;1, Assumptions!$E$19, 0)*-1</f>
        <v>-2841.6330117986968</v>
      </c>
      <c r="G23" s="24">
        <f t="shared" si="9"/>
        <v>1</v>
      </c>
      <c r="H23" s="20">
        <f t="shared" si="15"/>
        <v>26117.31270188784</v>
      </c>
      <c r="I23" s="2">
        <f>MAX(Assumptions!$D$8-SUM(Model_15y!H23), 0)</f>
        <v>313882.68729811214</v>
      </c>
      <c r="J23" s="2">
        <f>J22*(1+(Assumptions!$E$51))</f>
        <v>462881.90475192474</v>
      </c>
      <c r="K23" s="22">
        <f t="shared" si="0"/>
        <v>148999.2174538126</v>
      </c>
      <c r="L23" s="5">
        <f t="shared" si="10"/>
        <v>111117.31270188786</v>
      </c>
      <c r="M23" s="63">
        <f>L23/Assumptions!$D$6</f>
        <v>0.26145250047503027</v>
      </c>
      <c r="N23" s="24">
        <f t="shared" si="17"/>
        <v>0</v>
      </c>
      <c r="O23" s="22">
        <f>N23*Assumptions!$E$25*-1</f>
        <v>0</v>
      </c>
      <c r="P23" s="5">
        <f>Assumptions!$E$35*J23*-1</f>
        <v>-953.46093606190755</v>
      </c>
      <c r="Q23" s="5">
        <f>J23*Assumptions!$E$36*-1</f>
        <v>-383.97818243287151</v>
      </c>
      <c r="R23" s="5">
        <f>R11+R11*Assumptions!$D$51</f>
        <v>-341.16250000000002</v>
      </c>
      <c r="S23" s="5">
        <f>S11+(S11*Assumptions!$D$51)</f>
        <v>0</v>
      </c>
      <c r="T23" s="5">
        <f t="shared" si="5"/>
        <v>0</v>
      </c>
      <c r="U23" s="22">
        <f t="shared" si="1"/>
        <v>-1678.6016184947789</v>
      </c>
      <c r="V23" s="5">
        <f>MAX(Assumptions!$E$18:$E$19)-U23</f>
        <v>4520.2346302934757</v>
      </c>
      <c r="W23" s="5">
        <f t="shared" si="2"/>
        <v>-2841.6330117986968</v>
      </c>
      <c r="X23" s="5">
        <f t="shared" si="6"/>
        <v>-1678.6016184947789</v>
      </c>
      <c r="Y23" s="5">
        <f>D23*Assumptions!$D$44*-1</f>
        <v>230.48106403943007</v>
      </c>
      <c r="Z23" s="5">
        <f t="shared" si="3"/>
        <v>230.48106403943007</v>
      </c>
      <c r="AA23" s="5">
        <f t="shared" si="12"/>
        <v>5130.9253510010813</v>
      </c>
      <c r="AB23" s="3">
        <f>Assumptions!$E$45</f>
        <v>6.9899151946608562E-3</v>
      </c>
      <c r="AC23" s="5">
        <f t="shared" si="13"/>
        <v>5397.2711481141441</v>
      </c>
      <c r="AD23" s="4">
        <f>AC23*Assumptions!$E$43</f>
        <v>4.8336638041739555</v>
      </c>
      <c r="AE23" s="2">
        <f>AD23*Assumptions!$D$44*-1</f>
        <v>-0.72504957062609332</v>
      </c>
      <c r="AF23" s="2">
        <f>AC23*Assumptions!$E$46*-1</f>
        <v>-0.17987606337383105</v>
      </c>
      <c r="AG23" s="5">
        <f t="shared" si="16"/>
        <v>5396.3662224801446</v>
      </c>
      <c r="AH23" s="20">
        <f>Model_30y[[#This Row],[Mortgage Payment]]+Model_30y[[#This Row],[Total Upkeep]]+Model_30y[[#This Row],[Monthly Investment]]</f>
        <v>-2953.5029921909991</v>
      </c>
      <c r="AI23" s="5">
        <f>Model_Renter!D23*-1</f>
        <v>2859.0744000000004</v>
      </c>
      <c r="AJ23" s="5">
        <f t="shared" si="14"/>
        <v>-94.428592190998643</v>
      </c>
    </row>
    <row r="24" spans="1:36" x14ac:dyDescent="0.25">
      <c r="A24" s="17">
        <f t="shared" si="7"/>
        <v>22</v>
      </c>
      <c r="B24" s="17">
        <f t="shared" si="4"/>
        <v>2</v>
      </c>
      <c r="C24" s="23">
        <f>IFERROR(PPMT(Assumptions!$E$17, A24, 180, Assumptions!$D$8), 0)</f>
        <v>-1311.4549112203999</v>
      </c>
      <c r="D24" s="38">
        <f>IFERROR(IPMT(Assumptions!$E$17,A24,180,Assumptions!$D$8), 0)</f>
        <v>-1530.1781005782973</v>
      </c>
      <c r="E24" s="2">
        <f t="shared" si="8"/>
        <v>-2841.6330117986972</v>
      </c>
      <c r="F24" s="2">
        <f>IF(I23&gt;1, Assumptions!$E$19, 0)*-1</f>
        <v>-2841.6330117986968</v>
      </c>
      <c r="G24" s="24">
        <f t="shared" si="9"/>
        <v>1</v>
      </c>
      <c r="H24" s="20">
        <f t="shared" si="15"/>
        <v>27428.767613108241</v>
      </c>
      <c r="I24" s="2">
        <f>MAX(Assumptions!$D$8-SUM(Model_15y!H24), 0)</f>
        <v>312571.23238689173</v>
      </c>
      <c r="J24" s="2">
        <f>J23*(1+(Assumptions!$E$51))</f>
        <v>464767.74292909499</v>
      </c>
      <c r="K24" s="22">
        <f t="shared" si="0"/>
        <v>152196.51054220326</v>
      </c>
      <c r="L24" s="5">
        <f t="shared" si="10"/>
        <v>112428.76761310826</v>
      </c>
      <c r="M24" s="63">
        <f>L24/Assumptions!$D$6</f>
        <v>0.26453827673672531</v>
      </c>
      <c r="N24" s="24">
        <f t="shared" si="17"/>
        <v>0</v>
      </c>
      <c r="O24" s="22">
        <f>N24*Assumptions!$E$25*-1</f>
        <v>0</v>
      </c>
      <c r="P24" s="5">
        <f>Assumptions!$E$35*J24*-1</f>
        <v>-957.34545393829694</v>
      </c>
      <c r="Q24" s="5">
        <f>J24*Assumptions!$E$36*-1</f>
        <v>-385.54255707832334</v>
      </c>
      <c r="R24" s="5">
        <f>R12+R12*Assumptions!$D$51</f>
        <v>-341.16250000000002</v>
      </c>
      <c r="S24" s="5">
        <f>S12+(S12*Assumptions!$D$51)</f>
        <v>0</v>
      </c>
      <c r="T24" s="5">
        <f t="shared" si="5"/>
        <v>0</v>
      </c>
      <c r="U24" s="22">
        <f t="shared" si="1"/>
        <v>-1684.0505110166205</v>
      </c>
      <c r="V24" s="5">
        <f>MAX(Assumptions!$E$18:$E$19)-U24</f>
        <v>4525.6835228153177</v>
      </c>
      <c r="W24" s="5">
        <f t="shared" si="2"/>
        <v>-2841.6330117986968</v>
      </c>
      <c r="X24" s="5">
        <f t="shared" si="6"/>
        <v>-1684.0505110166205</v>
      </c>
      <c r="Y24" s="5">
        <f>D24*Assumptions!$D$44*-1</f>
        <v>229.52671508674459</v>
      </c>
      <c r="Z24" s="5">
        <f t="shared" si="3"/>
        <v>229.52671508674504</v>
      </c>
      <c r="AA24" s="5">
        <f t="shared" si="12"/>
        <v>5396.3662224801446</v>
      </c>
      <c r="AB24" s="3">
        <f>Assumptions!$E$45</f>
        <v>6.9899151946608562E-3</v>
      </c>
      <c r="AC24" s="5">
        <f t="shared" si="13"/>
        <v>5663.613079821358</v>
      </c>
      <c r="AD24" s="4">
        <f>AC24*Assumptions!$E$43</f>
        <v>5.0721931126888267</v>
      </c>
      <c r="AE24" s="2">
        <f>AD24*Assumptions!$D$44*-1</f>
        <v>-0.76082896690332402</v>
      </c>
      <c r="AF24" s="2">
        <f>AC24*Assumptions!$E$46*-1</f>
        <v>-0.18875250053478693</v>
      </c>
      <c r="AG24" s="5">
        <f t="shared" si="16"/>
        <v>5662.6634983539197</v>
      </c>
      <c r="AH24" s="20">
        <f>Model_30y[[#This Row],[Mortgage Payment]]+Model_30y[[#This Row],[Total Upkeep]]+Model_30y[[#This Row],[Monthly Investment]]</f>
        <v>-2959.2284561944266</v>
      </c>
      <c r="AI24" s="5">
        <f>Model_Renter!D24*-1</f>
        <v>2859.0744000000004</v>
      </c>
      <c r="AJ24" s="5">
        <f t="shared" si="14"/>
        <v>-100.15405619442618</v>
      </c>
    </row>
    <row r="25" spans="1:36" x14ac:dyDescent="0.25">
      <c r="A25" s="17">
        <f t="shared" si="7"/>
        <v>23</v>
      </c>
      <c r="B25" s="17">
        <f t="shared" si="4"/>
        <v>2</v>
      </c>
      <c r="C25" s="23">
        <f>IFERROR(PPMT(Assumptions!$E$17, A25, 180, Assumptions!$D$8), 0)</f>
        <v>-1317.8482539125994</v>
      </c>
      <c r="D25" s="38">
        <f>IFERROR(IPMT(Assumptions!$E$17,A25,180,Assumptions!$D$8), 0)</f>
        <v>-1523.7847578860974</v>
      </c>
      <c r="E25" s="2">
        <f t="shared" si="8"/>
        <v>-2841.6330117986968</v>
      </c>
      <c r="F25" s="2">
        <f>IF(I24&gt;1, Assumptions!$E$19, 0)*-1</f>
        <v>-2841.6330117986968</v>
      </c>
      <c r="G25" s="24">
        <f t="shared" si="9"/>
        <v>1</v>
      </c>
      <c r="H25" s="20">
        <f t="shared" si="15"/>
        <v>28746.615867020839</v>
      </c>
      <c r="I25" s="2">
        <f>MAX(Assumptions!$D$8-SUM(Model_15y!H25), 0)</f>
        <v>311253.38413297915</v>
      </c>
      <c r="J25" s="2">
        <f>J24*(1+(Assumptions!$E$51))</f>
        <v>466661.26424443501</v>
      </c>
      <c r="K25" s="22">
        <f t="shared" si="0"/>
        <v>155407.88011145586</v>
      </c>
      <c r="L25" s="5">
        <f t="shared" si="10"/>
        <v>113746.61586702085</v>
      </c>
      <c r="M25" s="63">
        <f>L25/Assumptions!$D$6</f>
        <v>0.2676390961576961</v>
      </c>
      <c r="N25" s="24">
        <f t="shared" si="17"/>
        <v>0</v>
      </c>
      <c r="O25" s="22">
        <f>N25*Assumptions!$E$25*-1</f>
        <v>0</v>
      </c>
      <c r="P25" s="5">
        <f>Assumptions!$E$35*J25*-1</f>
        <v>-961.24579782135459</v>
      </c>
      <c r="Q25" s="5">
        <f>J25*Assumptions!$E$36*-1</f>
        <v>-387.11330517972476</v>
      </c>
      <c r="R25" s="5">
        <f>R13+R13*Assumptions!$D$51</f>
        <v>-341.16250000000002</v>
      </c>
      <c r="S25" s="5">
        <f>S13+(S13*Assumptions!$D$51)</f>
        <v>0</v>
      </c>
      <c r="T25" s="5">
        <f t="shared" si="5"/>
        <v>0</v>
      </c>
      <c r="U25" s="22">
        <f t="shared" si="1"/>
        <v>-1689.5216030010793</v>
      </c>
      <c r="V25" s="5">
        <f>MAX(Assumptions!$E$18:$E$19)-U25</f>
        <v>4531.154614799776</v>
      </c>
      <c r="W25" s="5">
        <f t="shared" si="2"/>
        <v>-2841.6330117986968</v>
      </c>
      <c r="X25" s="5">
        <f t="shared" si="6"/>
        <v>-1689.5216030010793</v>
      </c>
      <c r="Y25" s="5">
        <f>D25*Assumptions!$D$44*-1</f>
        <v>228.56771368291461</v>
      </c>
      <c r="Z25" s="5">
        <f t="shared" si="3"/>
        <v>228.56771368291461</v>
      </c>
      <c r="AA25" s="5">
        <f t="shared" si="12"/>
        <v>5662.6634983539197</v>
      </c>
      <c r="AB25" s="3">
        <f>Assumptions!$E$45</f>
        <v>6.9899151946608562E-3</v>
      </c>
      <c r="AC25" s="5">
        <f t="shared" si="13"/>
        <v>5930.81274966623</v>
      </c>
      <c r="AD25" s="4">
        <f>AC25*Assumptions!$E$43</f>
        <v>5.311490590464734</v>
      </c>
      <c r="AE25" s="2">
        <f>AD25*Assumptions!$D$44*-1</f>
        <v>-0.79672358856971004</v>
      </c>
      <c r="AF25" s="2">
        <f>AC25*Assumptions!$E$46*-1</f>
        <v>-0.19765752372660425</v>
      </c>
      <c r="AG25" s="5">
        <f t="shared" si="16"/>
        <v>5929.8183685539334</v>
      </c>
      <c r="AH25" s="20">
        <f>Model_30y[[#This Row],[Mortgage Payment]]+Model_30y[[#This Row],[Total Upkeep]]+Model_30y[[#This Row],[Monthly Investment]]</f>
        <v>-2964.9776684607691</v>
      </c>
      <c r="AI25" s="5">
        <f>Model_Renter!D25*-1</f>
        <v>2859.0744000000004</v>
      </c>
      <c r="AJ25" s="5">
        <f t="shared" si="14"/>
        <v>-105.90326846076869</v>
      </c>
    </row>
    <row r="26" spans="1:36" x14ac:dyDescent="0.25">
      <c r="A26" s="17">
        <f t="shared" si="7"/>
        <v>24</v>
      </c>
      <c r="B26" s="17">
        <f t="shared" si="4"/>
        <v>2</v>
      </c>
      <c r="C26" s="23">
        <f>IFERROR(PPMT(Assumptions!$E$17, A26, 180, Assumptions!$D$8), 0)</f>
        <v>-1324.2727641504232</v>
      </c>
      <c r="D26" s="38">
        <f>IFERROR(IPMT(Assumptions!$E$17,A26,180,Assumptions!$D$8), 0)</f>
        <v>-1517.3602476482736</v>
      </c>
      <c r="E26" s="2">
        <f t="shared" si="8"/>
        <v>-2841.6330117986968</v>
      </c>
      <c r="F26" s="2">
        <f>IF(I25&gt;1, Assumptions!$E$19, 0)*-1</f>
        <v>-2841.6330117986968</v>
      </c>
      <c r="G26" s="24">
        <f t="shared" si="9"/>
        <v>1</v>
      </c>
      <c r="H26" s="20">
        <f t="shared" si="15"/>
        <v>30070.888631171263</v>
      </c>
      <c r="I26" s="2">
        <f>MAX(Assumptions!$D$8-SUM(Model_15y!H26), 0)</f>
        <v>309929.11136882874</v>
      </c>
      <c r="J26" s="2">
        <f>J25*(1+(Assumptions!$E$51))</f>
        <v>468562.50000000064</v>
      </c>
      <c r="K26" s="22">
        <f t="shared" si="0"/>
        <v>158633.3886311719</v>
      </c>
      <c r="L26" s="5">
        <f t="shared" si="10"/>
        <v>115070.88863117127</v>
      </c>
      <c r="M26" s="63">
        <f>L26/Assumptions!$D$6</f>
        <v>0.27075503207334417</v>
      </c>
      <c r="N26" s="24">
        <f t="shared" si="17"/>
        <v>0</v>
      </c>
      <c r="O26" s="22">
        <f>N26*Assumptions!$E$25*-1</f>
        <v>0</v>
      </c>
      <c r="P26" s="5">
        <f>Assumptions!$E$35*J26*-1</f>
        <v>-965.16203218819055</v>
      </c>
      <c r="Q26" s="5">
        <f>J26*Assumptions!$E$36*-1</f>
        <v>-388.69045270332418</v>
      </c>
      <c r="R26" s="5">
        <f>R14+R14*Assumptions!$D$51</f>
        <v>-341.16250000000002</v>
      </c>
      <c r="S26" s="5">
        <f>S14+(S14*Assumptions!$D$51)</f>
        <v>0</v>
      </c>
      <c r="T26" s="5">
        <f t="shared" si="5"/>
        <v>0</v>
      </c>
      <c r="U26" s="22">
        <f t="shared" si="1"/>
        <v>-1695.0149848915148</v>
      </c>
      <c r="V26" s="5">
        <f>MAX(Assumptions!$E$18:$E$19)-U26</f>
        <v>4536.6479966902116</v>
      </c>
      <c r="W26" s="5">
        <f t="shared" si="2"/>
        <v>-2841.6330117986968</v>
      </c>
      <c r="X26" s="5">
        <f t="shared" si="6"/>
        <v>-1695.0149848915148</v>
      </c>
      <c r="Y26" s="5">
        <f>D26*Assumptions!$D$44*-1</f>
        <v>227.60403714724103</v>
      </c>
      <c r="Z26" s="5">
        <f t="shared" si="3"/>
        <v>227.60403714724103</v>
      </c>
      <c r="AA26" s="5">
        <f t="shared" si="12"/>
        <v>5929.8183685539334</v>
      </c>
      <c r="AB26" s="3">
        <f>Assumptions!$E$45</f>
        <v>6.9899151946608562E-3</v>
      </c>
      <c r="AC26" s="5">
        <f t="shared" si="13"/>
        <v>6198.8713332171083</v>
      </c>
      <c r="AD26" s="4">
        <f>AC26*Assumptions!$E$43</f>
        <v>5.5515572903118873</v>
      </c>
      <c r="AE26" s="2">
        <f>AD26*Assumptions!$D$44*-1</f>
        <v>-0.83273359354678311</v>
      </c>
      <c r="AF26" s="2">
        <f>AC26*Assumptions!$E$46*-1</f>
        <v>-0.20659117212771241</v>
      </c>
      <c r="AG26" s="5">
        <f t="shared" si="16"/>
        <v>6197.8320084514335</v>
      </c>
      <c r="AH26" s="20">
        <f>Model_30y[[#This Row],[Mortgage Payment]]+Model_30y[[#This Row],[Total Upkeep]]+Model_30y[[#This Row],[Monthly Investment]]</f>
        <v>-2970.7507281066664</v>
      </c>
      <c r="AI26" s="5">
        <f>Model_Renter!D26*-1</f>
        <v>2859.0744000000004</v>
      </c>
      <c r="AJ26" s="5">
        <f t="shared" si="14"/>
        <v>-111.67632810666601</v>
      </c>
    </row>
    <row r="27" spans="1:36" x14ac:dyDescent="0.25">
      <c r="A27" s="17">
        <f t="shared" si="7"/>
        <v>25</v>
      </c>
      <c r="B27" s="17">
        <f t="shared" si="4"/>
        <v>3</v>
      </c>
      <c r="C27" s="23">
        <f>IFERROR(PPMT(Assumptions!$E$17, A27, 180, Assumptions!$D$8), 0)</f>
        <v>-1330.7285938756565</v>
      </c>
      <c r="D27" s="38">
        <f>IFERROR(IPMT(Assumptions!$E$17,A27,180,Assumptions!$D$8), 0)</f>
        <v>-1510.9044179230405</v>
      </c>
      <c r="E27" s="2">
        <f t="shared" si="8"/>
        <v>-2841.6330117986972</v>
      </c>
      <c r="F27" s="2">
        <f>IF(I26&gt;1, Assumptions!$E$19, 0)*-1</f>
        <v>-2841.6330117986968</v>
      </c>
      <c r="G27" s="24">
        <f t="shared" si="9"/>
        <v>1</v>
      </c>
      <c r="H27" s="20">
        <f t="shared" si="15"/>
        <v>31401.617225046921</v>
      </c>
      <c r="I27" s="2">
        <f>MAX(Assumptions!$D$8-SUM(Model_15y!H27), 0)</f>
        <v>308598.38277495309</v>
      </c>
      <c r="J27" s="2">
        <f>J26*(1+(Assumptions!$E$51))</f>
        <v>470471.48162537639</v>
      </c>
      <c r="K27" s="22">
        <f t="shared" si="0"/>
        <v>161873.0988504233</v>
      </c>
      <c r="L27" s="5">
        <f t="shared" si="10"/>
        <v>116401.61722504692</v>
      </c>
      <c r="M27" s="63">
        <f>L27/Assumptions!$D$6</f>
        <v>0.27388615817658102</v>
      </c>
      <c r="N27" s="24">
        <f t="shared" si="17"/>
        <v>0</v>
      </c>
      <c r="O27" s="22">
        <f>N27*Assumptions!$E$25*-1</f>
        <v>0</v>
      </c>
      <c r="P27" s="5">
        <f>Assumptions!$E$35*J27*-1</f>
        <v>-969.0942217786029</v>
      </c>
      <c r="Q27" s="5">
        <f>J27*Assumptions!$E$36*-1</f>
        <v>-390.27402572115983</v>
      </c>
      <c r="R27" s="5">
        <f>R15+R15*Assumptions!$D$51</f>
        <v>-358.22062500000004</v>
      </c>
      <c r="S27" s="5">
        <f>S15+(S15*Assumptions!$D$51)</f>
        <v>0</v>
      </c>
      <c r="T27" s="5">
        <f t="shared" si="5"/>
        <v>0</v>
      </c>
      <c r="U27" s="22">
        <f t="shared" si="1"/>
        <v>-1717.5888724997626</v>
      </c>
      <c r="V27" s="5">
        <f>MAX(Assumptions!$E$18:$E$19)-U27</f>
        <v>4559.2218842984594</v>
      </c>
      <c r="W27" s="5">
        <f t="shared" si="2"/>
        <v>-2841.6330117986968</v>
      </c>
      <c r="X27" s="5">
        <f t="shared" si="6"/>
        <v>-1717.5888724997626</v>
      </c>
      <c r="Y27" s="5">
        <f>D27*Assumptions!$D$44*-1</f>
        <v>226.63566268845605</v>
      </c>
      <c r="Z27" s="5">
        <f t="shared" si="3"/>
        <v>226.63566268845605</v>
      </c>
      <c r="AA27" s="5">
        <f t="shared" si="12"/>
        <v>6197.8320084514335</v>
      </c>
      <c r="AB27" s="3">
        <f>Assumptions!$E$45</f>
        <v>6.9899151946608562E-3</v>
      </c>
      <c r="AC27" s="5">
        <f t="shared" si="13"/>
        <v>6467.7899912697194</v>
      </c>
      <c r="AD27" s="4">
        <f>AC27*Assumptions!$E$43</f>
        <v>5.7923942518105003</v>
      </c>
      <c r="AE27" s="2">
        <f>AD27*Assumptions!$D$44*-1</f>
        <v>-0.86885913777157497</v>
      </c>
      <c r="AF27" s="2">
        <f>AC27*Assumptions!$E$46*-1</f>
        <v>-0.21555348442421038</v>
      </c>
      <c r="AG27" s="5">
        <f t="shared" si="16"/>
        <v>6466.7055786475239</v>
      </c>
      <c r="AH27" s="20">
        <f>Model_30y[[#This Row],[Mortgage Payment]]+Model_30y[[#This Row],[Total Upkeep]]+Model_30y[[#This Row],[Monthly Investment]]</f>
        <v>-2993.6058596658067</v>
      </c>
      <c r="AI27" s="5">
        <f>Model_Renter!D27*-1</f>
        <v>2966.0037825600007</v>
      </c>
      <c r="AJ27" s="5">
        <f t="shared" si="14"/>
        <v>-27.602077105806075</v>
      </c>
    </row>
    <row r="28" spans="1:36" x14ac:dyDescent="0.25">
      <c r="A28" s="17">
        <f t="shared" si="7"/>
        <v>26</v>
      </c>
      <c r="B28" s="17">
        <f t="shared" si="4"/>
        <v>3</v>
      </c>
      <c r="C28" s="23">
        <f>IFERROR(PPMT(Assumptions!$E$17, A28, 180, Assumptions!$D$8), 0)</f>
        <v>-1337.2158957708004</v>
      </c>
      <c r="D28" s="38">
        <f>IFERROR(IPMT(Assumptions!$E$17,A28,180,Assumptions!$D$8), 0)</f>
        <v>-1504.4171160278963</v>
      </c>
      <c r="E28" s="2">
        <f t="shared" si="8"/>
        <v>-2841.6330117986968</v>
      </c>
      <c r="F28" s="2">
        <f>IF(I27&gt;1, Assumptions!$E$19, 0)*-1</f>
        <v>-2841.6330117986968</v>
      </c>
      <c r="G28" s="24">
        <f t="shared" si="9"/>
        <v>1</v>
      </c>
      <c r="H28" s="20">
        <f t="shared" si="15"/>
        <v>32738.833120817722</v>
      </c>
      <c r="I28" s="2">
        <f>MAX(Assumptions!$D$8-SUM(Model_15y!H28), 0)</f>
        <v>307261.16687918227</v>
      </c>
      <c r="J28" s="2">
        <f>J27*(1+(Assumptions!$E$51))</f>
        <v>472388.24067819462</v>
      </c>
      <c r="K28" s="22">
        <f t="shared" si="0"/>
        <v>165127.07379901235</v>
      </c>
      <c r="L28" s="5">
        <f t="shared" si="10"/>
        <v>117738.83312081773</v>
      </c>
      <c r="M28" s="63">
        <f>L28/Assumptions!$D$6</f>
        <v>0.2770325485195711</v>
      </c>
      <c r="N28" s="24">
        <f t="shared" si="17"/>
        <v>0</v>
      </c>
      <c r="O28" s="22">
        <f>N28*Assumptions!$E$25*-1</f>
        <v>0</v>
      </c>
      <c r="P28" s="5">
        <f>Assumptions!$E$35*J28*-1</f>
        <v>-973.04243159614725</v>
      </c>
      <c r="Q28" s="5">
        <f>J28*Assumptions!$E$36*-1</f>
        <v>-391.86405041149061</v>
      </c>
      <c r="R28" s="5">
        <f>R16+R16*Assumptions!$D$51</f>
        <v>-358.22062500000004</v>
      </c>
      <c r="S28" s="5">
        <f>S16+(S16*Assumptions!$D$51)</f>
        <v>0</v>
      </c>
      <c r="T28" s="5">
        <f t="shared" si="5"/>
        <v>0</v>
      </c>
      <c r="U28" s="22">
        <f t="shared" si="1"/>
        <v>-1723.1271070076377</v>
      </c>
      <c r="V28" s="5">
        <f>MAX(Assumptions!$E$18:$E$19)-U28</f>
        <v>4564.7601188063345</v>
      </c>
      <c r="W28" s="5">
        <f t="shared" si="2"/>
        <v>-2841.6330117986968</v>
      </c>
      <c r="X28" s="5">
        <f t="shared" si="6"/>
        <v>-1723.1271070076377</v>
      </c>
      <c r="Y28" s="5">
        <f>D28*Assumptions!$D$44*-1</f>
        <v>225.66256740418444</v>
      </c>
      <c r="Z28" s="5">
        <f t="shared" si="3"/>
        <v>225.66256740418444</v>
      </c>
      <c r="AA28" s="5">
        <f t="shared" si="12"/>
        <v>6466.7055786475239</v>
      </c>
      <c r="AB28" s="3">
        <f>Assumptions!$E$45</f>
        <v>6.9899151946608562E-3</v>
      </c>
      <c r="AC28" s="5">
        <f t="shared" si="13"/>
        <v>6737.5698696352947</v>
      </c>
      <c r="AD28" s="4">
        <f>AC28*Assumptions!$E$43</f>
        <v>6.0340025011210372</v>
      </c>
      <c r="AE28" s="2">
        <f>AD28*Assumptions!$D$44*-1</f>
        <v>-0.90510037516815556</v>
      </c>
      <c r="AF28" s="2">
        <f>AC28*Assumptions!$E$46*-1</f>
        <v>-0.22454449880280547</v>
      </c>
      <c r="AG28" s="5">
        <f t="shared" si="16"/>
        <v>6736.4402247613234</v>
      </c>
      <c r="AH28" s="20">
        <f>Model_30y[[#This Row],[Mortgage Payment]]+Model_30y[[#This Row],[Total Upkeep]]+Model_30y[[#This Row],[Monthly Investment]]</f>
        <v>-2999.4269130906987</v>
      </c>
      <c r="AI28" s="5">
        <f>Model_Renter!D28*-1</f>
        <v>2966.0037825600007</v>
      </c>
      <c r="AJ28" s="5">
        <f t="shared" si="14"/>
        <v>-33.423130530698018</v>
      </c>
    </row>
    <row r="29" spans="1:36" x14ac:dyDescent="0.25">
      <c r="A29" s="17">
        <f t="shared" si="7"/>
        <v>27</v>
      </c>
      <c r="B29" s="17">
        <f t="shared" si="4"/>
        <v>3</v>
      </c>
      <c r="C29" s="23">
        <f>IFERROR(PPMT(Assumptions!$E$17, A29, 180, Assumptions!$D$8), 0)</f>
        <v>-1343.734823262683</v>
      </c>
      <c r="D29" s="38">
        <f>IFERROR(IPMT(Assumptions!$E$17,A29,180,Assumptions!$D$8), 0)</f>
        <v>-1497.8981885360138</v>
      </c>
      <c r="E29" s="2">
        <f t="shared" si="8"/>
        <v>-2841.6330117986968</v>
      </c>
      <c r="F29" s="2">
        <f>IF(I28&gt;1, Assumptions!$E$19, 0)*-1</f>
        <v>-2841.6330117986968</v>
      </c>
      <c r="G29" s="24">
        <f t="shared" si="9"/>
        <v>1</v>
      </c>
      <c r="H29" s="20">
        <f t="shared" si="15"/>
        <v>34082.567944080409</v>
      </c>
      <c r="I29" s="2">
        <f>MAX(Assumptions!$D$8-SUM(Model_15y!H29), 0)</f>
        <v>305917.43205591961</v>
      </c>
      <c r="J29" s="2">
        <f>J28*(1+(Assumptions!$E$51))</f>
        <v>474312.80884465744</v>
      </c>
      <c r="K29" s="22">
        <f t="shared" si="0"/>
        <v>168395.37678873783</v>
      </c>
      <c r="L29" s="5">
        <f t="shared" si="10"/>
        <v>119082.56794408041</v>
      </c>
      <c r="M29" s="63">
        <f>L29/Assumptions!$D$6</f>
        <v>0.28019427751548331</v>
      </c>
      <c r="N29" s="24">
        <f t="shared" si="17"/>
        <v>0</v>
      </c>
      <c r="O29" s="22">
        <f>N29*Assumptions!$E$25*-1</f>
        <v>0</v>
      </c>
      <c r="P29" s="5">
        <f>Assumptions!$E$35*J29*-1</f>
        <v>-977.00672690921215</v>
      </c>
      <c r="Q29" s="5">
        <f>J29*Assumptions!$E$36*-1</f>
        <v>-393.4605530592288</v>
      </c>
      <c r="R29" s="5">
        <f>R17+R17*Assumptions!$D$51</f>
        <v>-358.22062500000004</v>
      </c>
      <c r="S29" s="5">
        <f>S17+(S17*Assumptions!$D$51)</f>
        <v>0</v>
      </c>
      <c r="T29" s="5">
        <f t="shared" si="5"/>
        <v>0</v>
      </c>
      <c r="U29" s="22">
        <f t="shared" si="1"/>
        <v>-1728.6879049684408</v>
      </c>
      <c r="V29" s="5">
        <f>MAX(Assumptions!$E$18:$E$19)-U29</f>
        <v>4570.3209167671375</v>
      </c>
      <c r="W29" s="5">
        <f t="shared" si="2"/>
        <v>-2841.6330117986968</v>
      </c>
      <c r="X29" s="5">
        <f t="shared" si="6"/>
        <v>-1728.6879049684408</v>
      </c>
      <c r="Y29" s="5">
        <f>D29*Assumptions!$D$44*-1</f>
        <v>224.68472828040206</v>
      </c>
      <c r="Z29" s="5">
        <f t="shared" si="3"/>
        <v>224.68472828040206</v>
      </c>
      <c r="AA29" s="5">
        <f t="shared" si="12"/>
        <v>6736.4402247613234</v>
      </c>
      <c r="AB29" s="3">
        <f>Assumptions!$E$45</f>
        <v>6.9899151946608562E-3</v>
      </c>
      <c r="AC29" s="5">
        <f t="shared" si="13"/>
        <v>7008.2120989267087</v>
      </c>
      <c r="AD29" s="4">
        <f>AC29*Assumptions!$E$43</f>
        <v>6.2763830507926901</v>
      </c>
      <c r="AE29" s="2">
        <f>AD29*Assumptions!$D$44*-1</f>
        <v>-0.94145745761890343</v>
      </c>
      <c r="AF29" s="2">
        <f>AC29*Assumptions!$E$46*-1</f>
        <v>-0.23356425294368593</v>
      </c>
      <c r="AG29" s="5">
        <f t="shared" si="16"/>
        <v>7007.0370772161459</v>
      </c>
      <c r="AH29" s="20">
        <f>Model_30y[[#This Row],[Mortgage Payment]]+Model_30y[[#This Row],[Total Upkeep]]+Model_30y[[#This Row],[Monthly Investment]]</f>
        <v>-3005.2721137544545</v>
      </c>
      <c r="AI29" s="5">
        <f>Model_Renter!D29*-1</f>
        <v>2966.0037825600007</v>
      </c>
      <c r="AJ29" s="5">
        <f t="shared" si="14"/>
        <v>-39.268331194453822</v>
      </c>
    </row>
    <row r="30" spans="1:36" x14ac:dyDescent="0.25">
      <c r="A30" s="17">
        <f t="shared" si="7"/>
        <v>28</v>
      </c>
      <c r="B30" s="17">
        <f t="shared" si="4"/>
        <v>3</v>
      </c>
      <c r="C30" s="23">
        <f>IFERROR(PPMT(Assumptions!$E$17, A30, 180, Assumptions!$D$8), 0)</f>
        <v>-1350.2855305260887</v>
      </c>
      <c r="D30" s="38">
        <f>IFERROR(IPMT(Assumptions!$E$17,A30,180,Assumptions!$D$8), 0)</f>
        <v>-1491.3474812726083</v>
      </c>
      <c r="E30" s="2">
        <f t="shared" si="8"/>
        <v>-2841.6330117986972</v>
      </c>
      <c r="F30" s="2">
        <f>IF(I29&gt;1, Assumptions!$E$19, 0)*-1</f>
        <v>-2841.6330117986968</v>
      </c>
      <c r="G30" s="24">
        <f t="shared" si="9"/>
        <v>1</v>
      </c>
      <c r="H30" s="20">
        <f t="shared" si="15"/>
        <v>35432.853474606498</v>
      </c>
      <c r="I30" s="2">
        <f>MAX(Assumptions!$D$8-SUM(Model_15y!H30), 0)</f>
        <v>304567.14652539347</v>
      </c>
      <c r="J30" s="2">
        <f>J29*(1+(Assumptions!$E$51))</f>
        <v>476245.21794006054</v>
      </c>
      <c r="K30" s="22">
        <f t="shared" si="0"/>
        <v>171678.07141466707</v>
      </c>
      <c r="L30" s="5">
        <f t="shared" si="10"/>
        <v>120432.8534746065</v>
      </c>
      <c r="M30" s="63">
        <f>L30/Assumptions!$D$6</f>
        <v>0.28337141994025056</v>
      </c>
      <c r="N30" s="24">
        <f t="shared" si="17"/>
        <v>0</v>
      </c>
      <c r="O30" s="22">
        <f>N30*Assumptions!$E$25*-1</f>
        <v>0</v>
      </c>
      <c r="P30" s="5">
        <f>Assumptions!$E$35*J30*-1</f>
        <v>-980.98717325209748</v>
      </c>
      <c r="Q30" s="5">
        <f>J30*Assumptions!$E$36*-1</f>
        <v>-395.06356005637485</v>
      </c>
      <c r="R30" s="5">
        <f>R18+R18*Assumptions!$D$51</f>
        <v>-358.22062500000004</v>
      </c>
      <c r="S30" s="5">
        <f>S18+(S18*Assumptions!$D$51)</f>
        <v>0</v>
      </c>
      <c r="T30" s="5">
        <f t="shared" si="5"/>
        <v>0</v>
      </c>
      <c r="U30" s="22">
        <f t="shared" si="1"/>
        <v>-1734.2713583084724</v>
      </c>
      <c r="V30" s="5">
        <f>MAX(Assumptions!$E$18:$E$19)-U30</f>
        <v>4575.9043701071696</v>
      </c>
      <c r="W30" s="5">
        <f t="shared" si="2"/>
        <v>-2841.6330117986968</v>
      </c>
      <c r="X30" s="5">
        <f t="shared" si="6"/>
        <v>-1734.2713583084724</v>
      </c>
      <c r="Y30" s="5">
        <f>D30*Assumptions!$D$44*-1</f>
        <v>223.70212219089123</v>
      </c>
      <c r="Z30" s="5">
        <f t="shared" si="3"/>
        <v>223.70212219089169</v>
      </c>
      <c r="AA30" s="5">
        <f t="shared" si="12"/>
        <v>7007.0370772161459</v>
      </c>
      <c r="AB30" s="3">
        <f>Assumptions!$E$45</f>
        <v>6.9899151946608562E-3</v>
      </c>
      <c r="AC30" s="5">
        <f t="shared" si="13"/>
        <v>7279.7177943426232</v>
      </c>
      <c r="AD30" s="4">
        <f>AC30*Assumptions!$E$43</f>
        <v>6.5195368995700553</v>
      </c>
      <c r="AE30" s="2">
        <f>AD30*Assumptions!$D$44*-1</f>
        <v>-0.9779305349355083</v>
      </c>
      <c r="AF30" s="2">
        <f>AC30*Assumptions!$E$46*-1</f>
        <v>-0.24261278401332717</v>
      </c>
      <c r="AG30" s="5">
        <f t="shared" si="16"/>
        <v>7278.4972510236739</v>
      </c>
      <c r="AH30" s="20">
        <f>Model_30y[[#This Row],[Mortgage Payment]]+Model_30y[[#This Row],[Total Upkeep]]+Model_30y[[#This Row],[Monthly Investment]]</f>
        <v>-3011.1415624525748</v>
      </c>
      <c r="AI30" s="5">
        <f>Model_Renter!D30*-1</f>
        <v>2966.0037825600007</v>
      </c>
      <c r="AJ30" s="5">
        <f t="shared" si="14"/>
        <v>-45.137779892574144</v>
      </c>
    </row>
    <row r="31" spans="1:36" x14ac:dyDescent="0.25">
      <c r="A31" s="17">
        <f t="shared" si="7"/>
        <v>29</v>
      </c>
      <c r="B31" s="17">
        <f t="shared" si="4"/>
        <v>3</v>
      </c>
      <c r="C31" s="23">
        <f>IFERROR(PPMT(Assumptions!$E$17, A31, 180, Assumptions!$D$8), 0)</f>
        <v>-1356.8681724874034</v>
      </c>
      <c r="D31" s="38">
        <f>IFERROR(IPMT(Assumptions!$E$17,A31,180,Assumptions!$D$8), 0)</f>
        <v>-1484.7648393112934</v>
      </c>
      <c r="E31" s="2">
        <f t="shared" si="8"/>
        <v>-2841.6330117986968</v>
      </c>
      <c r="F31" s="2">
        <f>IF(I30&gt;1, Assumptions!$E$19, 0)*-1</f>
        <v>-2841.6330117986968</v>
      </c>
      <c r="G31" s="24">
        <f t="shared" si="9"/>
        <v>1</v>
      </c>
      <c r="H31" s="20">
        <f t="shared" si="15"/>
        <v>36789.721647093902</v>
      </c>
      <c r="I31" s="2">
        <f>MAX(Assumptions!$D$8-SUM(Model_15y!H31), 0)</f>
        <v>303210.27835290611</v>
      </c>
      <c r="J31" s="2">
        <f>J30*(1+(Assumptions!$E$51))</f>
        <v>478185.49990931893</v>
      </c>
      <c r="K31" s="22">
        <f t="shared" si="0"/>
        <v>174975.22155641281</v>
      </c>
      <c r="L31" s="5">
        <f t="shared" si="10"/>
        <v>121789.7216470939</v>
      </c>
      <c r="M31" s="63">
        <f>L31/Assumptions!$D$6</f>
        <v>0.28656405093433857</v>
      </c>
      <c r="N31" s="24">
        <f t="shared" si="17"/>
        <v>0</v>
      </c>
      <c r="O31" s="22">
        <f>N31*Assumptions!$E$25*-1</f>
        <v>0</v>
      </c>
      <c r="P31" s="5">
        <f>Assumptions!$E$35*J31*-1</f>
        <v>-984.98383642609781</v>
      </c>
      <c r="Q31" s="5">
        <f>J31*Assumptions!$E$36*-1</f>
        <v>-396.67309790245332</v>
      </c>
      <c r="R31" s="5">
        <f>R19+R19*Assumptions!$D$51</f>
        <v>-358.22062500000004</v>
      </c>
      <c r="S31" s="5">
        <f>S19+(S19*Assumptions!$D$51)</f>
        <v>0</v>
      </c>
      <c r="T31" s="5">
        <f t="shared" si="5"/>
        <v>0</v>
      </c>
      <c r="U31" s="22">
        <f t="shared" si="1"/>
        <v>-1739.8775593285513</v>
      </c>
      <c r="V31" s="5">
        <f>MAX(Assumptions!$E$18:$E$19)-U31</f>
        <v>4581.5105711272481</v>
      </c>
      <c r="W31" s="5">
        <f t="shared" si="2"/>
        <v>-2841.6330117986968</v>
      </c>
      <c r="X31" s="5">
        <f t="shared" si="6"/>
        <v>-1739.8775593285513</v>
      </c>
      <c r="Y31" s="5">
        <f>D31*Assumptions!$D$44*-1</f>
        <v>222.71472589669401</v>
      </c>
      <c r="Z31" s="5">
        <f t="shared" si="3"/>
        <v>222.71472589669401</v>
      </c>
      <c r="AA31" s="5">
        <f t="shared" si="12"/>
        <v>7278.4972510236739</v>
      </c>
      <c r="AB31" s="3">
        <f>Assumptions!$E$45</f>
        <v>6.9899151946608562E-3</v>
      </c>
      <c r="AC31" s="5">
        <f t="shared" si="13"/>
        <v>7552.0880554495961</v>
      </c>
      <c r="AD31" s="4">
        <f>AC31*Assumptions!$E$43</f>
        <v>6.7634650321980034</v>
      </c>
      <c r="AE31" s="2">
        <f>AD31*Assumptions!$D$44*-1</f>
        <v>-1.0145197548297005</v>
      </c>
      <c r="AF31" s="2">
        <f>AC31*Assumptions!$E$46*-1</f>
        <v>-0.25169012865722995</v>
      </c>
      <c r="AG31" s="5">
        <f t="shared" si="16"/>
        <v>7550.821845566109</v>
      </c>
      <c r="AH31" s="20">
        <f>Model_30y[[#This Row],[Mortgage Payment]]+Model_30y[[#This Row],[Total Upkeep]]+Model_30y[[#This Row],[Monthly Investment]]</f>
        <v>-3017.0353604047486</v>
      </c>
      <c r="AI31" s="5">
        <f>Model_Renter!D31*-1</f>
        <v>2966.0037825600007</v>
      </c>
      <c r="AJ31" s="5">
        <f t="shared" si="14"/>
        <v>-51.031577844747972</v>
      </c>
    </row>
    <row r="32" spans="1:36" x14ac:dyDescent="0.25">
      <c r="A32" s="17">
        <f t="shared" si="7"/>
        <v>30</v>
      </c>
      <c r="B32" s="17">
        <f t="shared" si="4"/>
        <v>3</v>
      </c>
      <c r="C32" s="23">
        <f>IFERROR(PPMT(Assumptions!$E$17, A32, 180, Assumptions!$D$8), 0)</f>
        <v>-1363.4829048282795</v>
      </c>
      <c r="D32" s="38">
        <f>IFERROR(IPMT(Assumptions!$E$17,A32,180,Assumptions!$D$8), 0)</f>
        <v>-1478.1501069704173</v>
      </c>
      <c r="E32" s="2">
        <f t="shared" si="8"/>
        <v>-2841.6330117986968</v>
      </c>
      <c r="F32" s="2">
        <f>IF(I31&gt;1, Assumptions!$E$19, 0)*-1</f>
        <v>-2841.6330117986968</v>
      </c>
      <c r="G32" s="24">
        <f t="shared" si="9"/>
        <v>1</v>
      </c>
      <c r="H32" s="20">
        <f t="shared" si="15"/>
        <v>38153.204551922179</v>
      </c>
      <c r="I32" s="2">
        <f>MAX(Assumptions!$D$8-SUM(Model_15y!H32), 0)</f>
        <v>301846.79544807784</v>
      </c>
      <c r="J32" s="2">
        <f>J31*(1+(Assumptions!$E$51))</f>
        <v>480133.68682749529</v>
      </c>
      <c r="K32" s="22">
        <f t="shared" si="0"/>
        <v>178286.89137941744</v>
      </c>
      <c r="L32" s="5">
        <f t="shared" si="10"/>
        <v>123153.20455192219</v>
      </c>
      <c r="M32" s="63">
        <f>L32/Assumptions!$D$6</f>
        <v>0.28977224600452278</v>
      </c>
      <c r="N32" s="24">
        <f t="shared" si="17"/>
        <v>0</v>
      </c>
      <c r="O32" s="22">
        <f>N32*Assumptions!$E$25*-1</f>
        <v>0</v>
      </c>
      <c r="P32" s="5">
        <f>Assumptions!$E$35*J32*-1</f>
        <v>-988.9967825005906</v>
      </c>
      <c r="Q32" s="5">
        <f>J32*Assumptions!$E$36*-1</f>
        <v>-398.28919320495123</v>
      </c>
      <c r="R32" s="5">
        <f>R20+R20*Assumptions!$D$51</f>
        <v>-358.22062500000004</v>
      </c>
      <c r="S32" s="5">
        <f>S20+(S20*Assumptions!$D$51)</f>
        <v>0</v>
      </c>
      <c r="T32" s="5">
        <f t="shared" si="5"/>
        <v>0</v>
      </c>
      <c r="U32" s="22">
        <f t="shared" si="1"/>
        <v>-1745.506600705542</v>
      </c>
      <c r="V32" s="5">
        <f>MAX(Assumptions!$E$18:$E$19)-U32</f>
        <v>4587.1396125042393</v>
      </c>
      <c r="W32" s="5">
        <f t="shared" si="2"/>
        <v>-2841.6330117986968</v>
      </c>
      <c r="X32" s="5">
        <f t="shared" si="6"/>
        <v>-1745.506600705542</v>
      </c>
      <c r="Y32" s="5">
        <f>D32*Assumptions!$D$44*-1</f>
        <v>221.72251604556257</v>
      </c>
      <c r="Z32" s="5">
        <f t="shared" si="3"/>
        <v>221.72251604556303</v>
      </c>
      <c r="AA32" s="5">
        <f t="shared" si="12"/>
        <v>7550.821845566109</v>
      </c>
      <c r="AB32" s="3">
        <f>Assumptions!$E$45</f>
        <v>6.9899151946608562E-3</v>
      </c>
      <c r="AC32" s="5">
        <f t="shared" si="13"/>
        <v>7825.3239659621713</v>
      </c>
      <c r="AD32" s="4">
        <f>AC32*Assumptions!$E$43</f>
        <v>7.0081684192247273</v>
      </c>
      <c r="AE32" s="2">
        <f>AD32*Assumptions!$D$44*-1</f>
        <v>-1.0512252628837091</v>
      </c>
      <c r="AF32" s="2">
        <f>AC32*Assumptions!$E$46*-1</f>
        <v>-0.26079632299259131</v>
      </c>
      <c r="AG32" s="5">
        <f t="shared" si="16"/>
        <v>7824.0119443762951</v>
      </c>
      <c r="AH32" s="20">
        <f>Model_30y[[#This Row],[Mortgage Payment]]+Model_30y[[#This Row],[Total Upkeep]]+Model_30y[[#This Row],[Monthly Investment]]</f>
        <v>-3022.9536092566532</v>
      </c>
      <c r="AI32" s="5">
        <f>Model_Renter!D32*-1</f>
        <v>2966.0037825600007</v>
      </c>
      <c r="AJ32" s="5">
        <f t="shared" si="14"/>
        <v>-56.949826696652508</v>
      </c>
    </row>
    <row r="33" spans="1:36" x14ac:dyDescent="0.25">
      <c r="A33" s="17">
        <f t="shared" si="7"/>
        <v>31</v>
      </c>
      <c r="B33" s="17">
        <f t="shared" si="4"/>
        <v>3</v>
      </c>
      <c r="C33" s="23">
        <f>IFERROR(PPMT(Assumptions!$E$17, A33, 180, Assumptions!$D$8), 0)</f>
        <v>-1370.1298839893175</v>
      </c>
      <c r="D33" s="38">
        <f>IFERROR(IPMT(Assumptions!$E$17,A33,180,Assumptions!$D$8), 0)</f>
        <v>-1471.5031278093795</v>
      </c>
      <c r="E33" s="2">
        <f t="shared" si="8"/>
        <v>-2841.6330117986972</v>
      </c>
      <c r="F33" s="2">
        <f>IF(I32&gt;1, Assumptions!$E$19, 0)*-1</f>
        <v>-2841.6330117986968</v>
      </c>
      <c r="G33" s="24">
        <f t="shared" si="9"/>
        <v>1</v>
      </c>
      <c r="H33" s="20">
        <f t="shared" si="15"/>
        <v>39523.3344359115</v>
      </c>
      <c r="I33" s="2">
        <f>MAX(Assumptions!$D$8-SUM(Model_15y!H33), 0)</f>
        <v>300476.6655640885</v>
      </c>
      <c r="J33" s="2">
        <f>J32*(1+(Assumptions!$E$51))</f>
        <v>482089.81090032996</v>
      </c>
      <c r="K33" s="22">
        <f t="shared" si="0"/>
        <v>181613.14533624146</v>
      </c>
      <c r="L33" s="5">
        <f t="shared" si="10"/>
        <v>124523.3344359115</v>
      </c>
      <c r="M33" s="63">
        <f>L33/Assumptions!$D$6</f>
        <v>0.29299608102567409</v>
      </c>
      <c r="N33" s="24">
        <f t="shared" si="17"/>
        <v>0</v>
      </c>
      <c r="O33" s="22">
        <f>N33*Assumptions!$E$25*-1</f>
        <v>0</v>
      </c>
      <c r="P33" s="5">
        <f>Assumptions!$E$35*J33*-1</f>
        <v>-993.02607781412792</v>
      </c>
      <c r="Q33" s="5">
        <f>J33*Assumptions!$E$36*-1</f>
        <v>-399.91187267975761</v>
      </c>
      <c r="R33" s="5">
        <f>R21+R21*Assumptions!$D$51</f>
        <v>-358.22062500000004</v>
      </c>
      <c r="S33" s="5">
        <f>S21+(S21*Assumptions!$D$51)</f>
        <v>0</v>
      </c>
      <c r="T33" s="5">
        <f t="shared" si="5"/>
        <v>0</v>
      </c>
      <c r="U33" s="22">
        <f t="shared" si="1"/>
        <v>-1751.1585754938856</v>
      </c>
      <c r="V33" s="5">
        <f>MAX(Assumptions!$E$18:$E$19)-U33</f>
        <v>4592.7915872925823</v>
      </c>
      <c r="W33" s="5">
        <f t="shared" si="2"/>
        <v>-2841.6330117986968</v>
      </c>
      <c r="X33" s="5">
        <f t="shared" si="6"/>
        <v>-1751.1585754938856</v>
      </c>
      <c r="Y33" s="5">
        <f>D33*Assumptions!$D$44*-1</f>
        <v>220.72546917140693</v>
      </c>
      <c r="Z33" s="5">
        <f t="shared" si="3"/>
        <v>220.72546917140693</v>
      </c>
      <c r="AA33" s="5">
        <f t="shared" si="12"/>
        <v>7824.0119443762951</v>
      </c>
      <c r="AB33" s="3">
        <f>Assumptions!$E$45</f>
        <v>6.9899151946608562E-3</v>
      </c>
      <c r="AC33" s="5">
        <f t="shared" si="13"/>
        <v>8099.426593520906</v>
      </c>
      <c r="AD33" s="4">
        <f>AC33*Assumptions!$E$43</f>
        <v>7.2536480168029538</v>
      </c>
      <c r="AE33" s="2">
        <f>AD33*Assumptions!$D$44*-1</f>
        <v>-1.0880472025204431</v>
      </c>
      <c r="AF33" s="2">
        <f>AC33*Assumptions!$E$46*-1</f>
        <v>-0.26993140260090709</v>
      </c>
      <c r="AG33" s="5">
        <f t="shared" si="16"/>
        <v>8098.0686149157846</v>
      </c>
      <c r="AH33" s="20">
        <f>Model_30y[[#This Row],[Mortgage Payment]]+Model_30y[[#This Row],[Total Upkeep]]+Model_30y[[#This Row],[Monthly Investment]]</f>
        <v>-3028.8964110817706</v>
      </c>
      <c r="AI33" s="5">
        <f>Model_Renter!D33*-1</f>
        <v>2966.0037825600007</v>
      </c>
      <c r="AJ33" s="5">
        <f t="shared" si="14"/>
        <v>-62.892628521769893</v>
      </c>
    </row>
    <row r="34" spans="1:36" x14ac:dyDescent="0.25">
      <c r="A34" s="17">
        <f t="shared" si="7"/>
        <v>32</v>
      </c>
      <c r="B34" s="17">
        <f t="shared" si="4"/>
        <v>3</v>
      </c>
      <c r="C34" s="23">
        <f>IFERROR(PPMT(Assumptions!$E$17, A34, 180, Assumptions!$D$8), 0)</f>
        <v>-1376.8092671737652</v>
      </c>
      <c r="D34" s="38">
        <f>IFERROR(IPMT(Assumptions!$E$17,A34,180,Assumptions!$D$8), 0)</f>
        <v>-1464.8237446249318</v>
      </c>
      <c r="E34" s="2">
        <f t="shared" si="8"/>
        <v>-2841.6330117986972</v>
      </c>
      <c r="F34" s="2">
        <f>IF(I33&gt;1, Assumptions!$E$19, 0)*-1</f>
        <v>-2841.6330117986968</v>
      </c>
      <c r="G34" s="24">
        <f t="shared" si="9"/>
        <v>1</v>
      </c>
      <c r="H34" s="20">
        <f t="shared" si="15"/>
        <v>40900.143703085268</v>
      </c>
      <c r="I34" s="2">
        <f>MAX(Assumptions!$D$8-SUM(Model_15y!H34), 0)</f>
        <v>299099.85629691475</v>
      </c>
      <c r="J34" s="2">
        <f>J33*(1+(Assumptions!$E$51))</f>
        <v>484053.90446477354</v>
      </c>
      <c r="K34" s="22">
        <f t="shared" si="0"/>
        <v>184954.0481678588</v>
      </c>
      <c r="L34" s="5">
        <f t="shared" si="10"/>
        <v>125900.14370308527</v>
      </c>
      <c r="M34" s="63">
        <f>L34/Assumptions!$D$6</f>
        <v>0.29623563224255356</v>
      </c>
      <c r="N34" s="24">
        <f t="shared" si="17"/>
        <v>0</v>
      </c>
      <c r="O34" s="22">
        <f>N34*Assumptions!$E$25*-1</f>
        <v>0</v>
      </c>
      <c r="P34" s="5">
        <f>Assumptions!$E$35*J34*-1</f>
        <v>-997.07178897553354</v>
      </c>
      <c r="Q34" s="5">
        <f>J34*Assumptions!$E$36*-1</f>
        <v>-401.54116315160559</v>
      </c>
      <c r="R34" s="5">
        <f>R22+R22*Assumptions!$D$51</f>
        <v>-358.22062500000004</v>
      </c>
      <c r="S34" s="5">
        <f>S22+(S22*Assumptions!$D$51)</f>
        <v>0</v>
      </c>
      <c r="T34" s="5">
        <f t="shared" si="5"/>
        <v>0</v>
      </c>
      <c r="U34" s="22">
        <f t="shared" si="1"/>
        <v>-1756.8335771271391</v>
      </c>
      <c r="V34" s="5">
        <f>MAX(Assumptions!$E$18:$E$19)-U34</f>
        <v>4598.4665889258358</v>
      </c>
      <c r="W34" s="5">
        <f t="shared" si="2"/>
        <v>-2841.6330117986968</v>
      </c>
      <c r="X34" s="5">
        <f t="shared" si="6"/>
        <v>-1756.8335771271391</v>
      </c>
      <c r="Y34" s="5">
        <f>D34*Assumptions!$D$44*-1</f>
        <v>219.72356169373975</v>
      </c>
      <c r="Z34" s="5">
        <f t="shared" si="3"/>
        <v>219.72356169373975</v>
      </c>
      <c r="AA34" s="5">
        <f t="shared" si="12"/>
        <v>8098.0686149157846</v>
      </c>
      <c r="AB34" s="3">
        <f>Assumptions!$E$45</f>
        <v>6.9899151946608562E-3</v>
      </c>
      <c r="AC34" s="5">
        <f t="shared" si="13"/>
        <v>8374.3969894683305</v>
      </c>
      <c r="AD34" s="4">
        <f>AC34*Assumptions!$E$43</f>
        <v>7.4999047664892933</v>
      </c>
      <c r="AE34" s="2">
        <f>AD34*Assumptions!$D$44*-1</f>
        <v>-1.1249857149733939</v>
      </c>
      <c r="AF34" s="2">
        <f>AC34*Assumptions!$E$46*-1</f>
        <v>-0.27909540252050502</v>
      </c>
      <c r="AG34" s="5">
        <f t="shared" si="16"/>
        <v>8372.9929083508359</v>
      </c>
      <c r="AH34" s="20">
        <f>Model_30y[[#This Row],[Mortgage Payment]]+Model_30y[[#This Row],[Total Upkeep]]+Model_30y[[#This Row],[Monthly Investment]]</f>
        <v>-3034.8638683832041</v>
      </c>
      <c r="AI34" s="5">
        <f>Model_Renter!D34*-1</f>
        <v>2966.0037825600007</v>
      </c>
      <c r="AJ34" s="5">
        <f t="shared" si="14"/>
        <v>-68.860085823203462</v>
      </c>
    </row>
    <row r="35" spans="1:36" x14ac:dyDescent="0.25">
      <c r="A35" s="17">
        <f t="shared" si="7"/>
        <v>33</v>
      </c>
      <c r="B35" s="17">
        <f t="shared" si="4"/>
        <v>3</v>
      </c>
      <c r="C35" s="23">
        <f>IFERROR(PPMT(Assumptions!$E$17, A35, 180, Assumptions!$D$8), 0)</f>
        <v>-1383.5212123512372</v>
      </c>
      <c r="D35" s="38">
        <f>IFERROR(IPMT(Assumptions!$E$17,A35,180,Assumptions!$D$8), 0)</f>
        <v>-1458.1117994474596</v>
      </c>
      <c r="E35" s="2">
        <f t="shared" si="8"/>
        <v>-2841.6330117986968</v>
      </c>
      <c r="F35" s="2">
        <f>IF(I34&gt;1, Assumptions!$E$19, 0)*-1</f>
        <v>-2841.6330117986968</v>
      </c>
      <c r="G35" s="24">
        <f t="shared" si="9"/>
        <v>1</v>
      </c>
      <c r="H35" s="20">
        <f t="shared" si="15"/>
        <v>42283.664915436508</v>
      </c>
      <c r="I35" s="2">
        <f>MAX(Assumptions!$D$8-SUM(Model_15y!H35), 0)</f>
        <v>297716.33508456347</v>
      </c>
      <c r="J35" s="2">
        <f>J34*(1+(Assumptions!$E$51))</f>
        <v>486025.99998952134</v>
      </c>
      <c r="K35" s="22">
        <f t="shared" si="0"/>
        <v>188309.66490495787</v>
      </c>
      <c r="L35" s="5">
        <f t="shared" si="10"/>
        <v>127283.6649154365</v>
      </c>
      <c r="M35" s="63">
        <f>L35/Assumptions!$D$6</f>
        <v>0.29949097627161531</v>
      </c>
      <c r="N35" s="24">
        <f t="shared" si="17"/>
        <v>0</v>
      </c>
      <c r="O35" s="22">
        <f>N35*Assumptions!$E$25*-1</f>
        <v>0</v>
      </c>
      <c r="P35" s="5">
        <f>Assumptions!$E$35*J35*-1</f>
        <v>-1001.1339828650036</v>
      </c>
      <c r="Q35" s="5">
        <f>J35*Assumptions!$E$36*-1</f>
        <v>-403.17709155451536</v>
      </c>
      <c r="R35" s="5">
        <f>R23+R23*Assumptions!$D$51</f>
        <v>-358.22062500000004</v>
      </c>
      <c r="S35" s="5">
        <f>S23+(S23*Assumptions!$D$51)</f>
        <v>0</v>
      </c>
      <c r="T35" s="5">
        <f t="shared" si="5"/>
        <v>0</v>
      </c>
      <c r="U35" s="22">
        <f t="shared" si="1"/>
        <v>-1762.5316994195191</v>
      </c>
      <c r="V35" s="5">
        <f>MAX(Assumptions!$E$18:$E$19)-U35</f>
        <v>4604.1647112182163</v>
      </c>
      <c r="W35" s="5">
        <f t="shared" si="2"/>
        <v>-2841.6330117986968</v>
      </c>
      <c r="X35" s="5">
        <f t="shared" si="6"/>
        <v>-1762.5316994195191</v>
      </c>
      <c r="Y35" s="5">
        <f>D35*Assumptions!$D$44*-1</f>
        <v>218.71676991711894</v>
      </c>
      <c r="Z35" s="5">
        <f t="shared" si="3"/>
        <v>218.71676991711939</v>
      </c>
      <c r="AA35" s="5">
        <f t="shared" si="12"/>
        <v>8372.9929083508359</v>
      </c>
      <c r="AB35" s="3">
        <f>Assumptions!$E$45</f>
        <v>6.9899151946608562E-3</v>
      </c>
      <c r="AC35" s="5">
        <f t="shared" si="13"/>
        <v>8650.2361886228246</v>
      </c>
      <c r="AD35" s="4">
        <f>AC35*Assumptions!$E$43</f>
        <v>7.7469395950417335</v>
      </c>
      <c r="AE35" s="2">
        <f>AD35*Assumptions!$D$44*-1</f>
        <v>-1.1620409392562601</v>
      </c>
      <c r="AF35" s="2">
        <f>AC35*Assumptions!$E$46*-1</f>
        <v>-0.28828835723900886</v>
      </c>
      <c r="AG35" s="5">
        <f t="shared" si="16"/>
        <v>8648.78585932633</v>
      </c>
      <c r="AH35" s="20">
        <f>Model_30y[[#This Row],[Mortgage Payment]]+Model_30y[[#This Row],[Total Upkeep]]+Model_30y[[#This Row],[Monthly Investment]]</f>
        <v>-3040.8560840955051</v>
      </c>
      <c r="AI35" s="5">
        <f>Model_Renter!D35*-1</f>
        <v>2966.0037825600007</v>
      </c>
      <c r="AJ35" s="5">
        <f t="shared" si="14"/>
        <v>-74.852301535504466</v>
      </c>
    </row>
    <row r="36" spans="1:36" x14ac:dyDescent="0.25">
      <c r="A36" s="17">
        <f t="shared" si="7"/>
        <v>34</v>
      </c>
      <c r="B36" s="17">
        <f t="shared" si="4"/>
        <v>3</v>
      </c>
      <c r="C36" s="23">
        <f>IFERROR(PPMT(Assumptions!$E$17, A36, 180, Assumptions!$D$8), 0)</f>
        <v>-1390.2658782614496</v>
      </c>
      <c r="D36" s="38">
        <f>IFERROR(IPMT(Assumptions!$E$17,A36,180,Assumptions!$D$8), 0)</f>
        <v>-1451.3671335372471</v>
      </c>
      <c r="E36" s="2">
        <f t="shared" si="8"/>
        <v>-2841.6330117986968</v>
      </c>
      <c r="F36" s="2">
        <f>IF(I35&gt;1, Assumptions!$E$19, 0)*-1</f>
        <v>-2841.6330117986968</v>
      </c>
      <c r="G36" s="24">
        <f t="shared" si="9"/>
        <v>1</v>
      </c>
      <c r="H36" s="20">
        <f t="shared" si="15"/>
        <v>43673.93079369796</v>
      </c>
      <c r="I36" s="2">
        <f>MAX(Assumptions!$D$8-SUM(Model_15y!H36), 0)</f>
        <v>296326.06920630205</v>
      </c>
      <c r="J36" s="2">
        <f>J35*(1+(Assumptions!$E$51))</f>
        <v>488006.13007555011</v>
      </c>
      <c r="K36" s="22">
        <f t="shared" si="0"/>
        <v>191680.06086924806</v>
      </c>
      <c r="L36" s="5">
        <f t="shared" si="10"/>
        <v>128673.93079369795</v>
      </c>
      <c r="M36" s="63">
        <f>L36/Assumptions!$D$6</f>
        <v>0.30276219010281868</v>
      </c>
      <c r="N36" s="24">
        <f t="shared" si="17"/>
        <v>0</v>
      </c>
      <c r="O36" s="22">
        <f>N36*Assumptions!$E$25*-1</f>
        <v>0</v>
      </c>
      <c r="P36" s="5">
        <f>Assumptions!$E$35*J36*-1</f>
        <v>-1005.2127266352126</v>
      </c>
      <c r="Q36" s="5">
        <f>J36*Assumptions!$E$36*-1</f>
        <v>-404.8196849322398</v>
      </c>
      <c r="R36" s="5">
        <f>R24+R24*Assumptions!$D$51</f>
        <v>-358.22062500000004</v>
      </c>
      <c r="S36" s="5">
        <f>S24+(S24*Assumptions!$D$51)</f>
        <v>0</v>
      </c>
      <c r="T36" s="5">
        <f t="shared" si="5"/>
        <v>0</v>
      </c>
      <c r="U36" s="22">
        <f t="shared" si="1"/>
        <v>-1768.2530365674525</v>
      </c>
      <c r="V36" s="5">
        <f>MAX(Assumptions!$E$18:$E$19)-U36</f>
        <v>4609.8860483661492</v>
      </c>
      <c r="W36" s="5">
        <f t="shared" si="2"/>
        <v>-2841.6330117986968</v>
      </c>
      <c r="X36" s="5">
        <f t="shared" si="6"/>
        <v>-1768.2530365674525</v>
      </c>
      <c r="Y36" s="5">
        <f>D36*Assumptions!$D$44*-1</f>
        <v>217.70507003058705</v>
      </c>
      <c r="Z36" s="5">
        <f t="shared" si="3"/>
        <v>217.70507003058705</v>
      </c>
      <c r="AA36" s="5">
        <f t="shared" si="12"/>
        <v>8648.78585932633</v>
      </c>
      <c r="AB36" s="3">
        <f>Assumptions!$E$45</f>
        <v>6.9899151946608562E-3</v>
      </c>
      <c r="AC36" s="5">
        <f t="shared" si="13"/>
        <v>8926.9452090503892</v>
      </c>
      <c r="AD36" s="4">
        <f>AC36*Assumptions!$E$43</f>
        <v>7.994753414215241</v>
      </c>
      <c r="AE36" s="2">
        <f>AD36*Assumptions!$D$44*-1</f>
        <v>-1.1992130121322861</v>
      </c>
      <c r="AF36" s="2">
        <f>AC36*Assumptions!$E$46*-1</f>
        <v>-0.29751030068573203</v>
      </c>
      <c r="AG36" s="5">
        <f t="shared" si="16"/>
        <v>8925.4484857375719</v>
      </c>
      <c r="AH36" s="20">
        <f>Model_30y[[#This Row],[Mortgage Payment]]+Model_30y[[#This Row],[Total Upkeep]]+Model_30y[[#This Row],[Monthly Investment]]</f>
        <v>-3046.8731615865117</v>
      </c>
      <c r="AI36" s="5">
        <f>Model_Renter!D36*-1</f>
        <v>2966.0037825600007</v>
      </c>
      <c r="AJ36" s="5">
        <f t="shared" si="14"/>
        <v>-80.869379026511069</v>
      </c>
    </row>
    <row r="37" spans="1:36" x14ac:dyDescent="0.25">
      <c r="A37" s="17">
        <f t="shared" si="7"/>
        <v>35</v>
      </c>
      <c r="B37" s="17">
        <f t="shared" si="4"/>
        <v>3</v>
      </c>
      <c r="C37" s="23">
        <f>IFERROR(PPMT(Assumptions!$E$17, A37, 180, Assumptions!$D$8), 0)</f>
        <v>-1397.0434244179744</v>
      </c>
      <c r="D37" s="38">
        <f>IFERROR(IPMT(Assumptions!$E$17,A37,180,Assumptions!$D$8), 0)</f>
        <v>-1444.5895873807228</v>
      </c>
      <c r="E37" s="2">
        <f t="shared" si="8"/>
        <v>-2841.6330117986972</v>
      </c>
      <c r="F37" s="2">
        <f>IF(I36&gt;1, Assumptions!$E$19, 0)*-1</f>
        <v>-2841.6330117986968</v>
      </c>
      <c r="G37" s="24">
        <f t="shared" si="9"/>
        <v>1</v>
      </c>
      <c r="H37" s="20">
        <f t="shared" si="15"/>
        <v>45070.974218115938</v>
      </c>
      <c r="I37" s="2">
        <f>MAX(Assumptions!$D$8-SUM(Model_15y!H37), 0)</f>
        <v>294929.02578188409</v>
      </c>
      <c r="J37" s="2">
        <f>J36*(1+(Assumptions!$E$51))</f>
        <v>489994.32745665708</v>
      </c>
      <c r="K37" s="22">
        <f t="shared" si="0"/>
        <v>195065.30167477299</v>
      </c>
      <c r="L37" s="5">
        <f t="shared" si="10"/>
        <v>130070.97421811592</v>
      </c>
      <c r="M37" s="63">
        <f>L37/Assumptions!$D$6</f>
        <v>0.30604935110144921</v>
      </c>
      <c r="N37" s="24">
        <f t="shared" si="17"/>
        <v>0</v>
      </c>
      <c r="O37" s="22">
        <f>N37*Assumptions!$E$25*-1</f>
        <v>0</v>
      </c>
      <c r="P37" s="5">
        <f>Assumptions!$E$35*J37*-1</f>
        <v>-1009.308087712423</v>
      </c>
      <c r="Q37" s="5">
        <f>J37*Assumptions!$E$36*-1</f>
        <v>-406.46897043871127</v>
      </c>
      <c r="R37" s="5">
        <f>R25+R25*Assumptions!$D$51</f>
        <v>-358.22062500000004</v>
      </c>
      <c r="S37" s="5">
        <f>S25+(S25*Assumptions!$D$51)</f>
        <v>0</v>
      </c>
      <c r="T37" s="5">
        <f t="shared" si="5"/>
        <v>0</v>
      </c>
      <c r="U37" s="22">
        <f t="shared" si="1"/>
        <v>-1773.9976831511344</v>
      </c>
      <c r="V37" s="5">
        <f>MAX(Assumptions!$E$18:$E$19)-U37</f>
        <v>4615.6306949498312</v>
      </c>
      <c r="W37" s="5">
        <f t="shared" si="2"/>
        <v>-2841.6330117986968</v>
      </c>
      <c r="X37" s="5">
        <f t="shared" si="6"/>
        <v>-1773.9976831511344</v>
      </c>
      <c r="Y37" s="5">
        <f>D37*Assumptions!$D$44*-1</f>
        <v>216.68843810710842</v>
      </c>
      <c r="Z37" s="5">
        <f t="shared" si="3"/>
        <v>216.68843810710842</v>
      </c>
      <c r="AA37" s="5">
        <f t="shared" si="12"/>
        <v>8925.4484857375719</v>
      </c>
      <c r="AB37" s="3">
        <f>Assumptions!$E$45</f>
        <v>6.9899151946608562E-3</v>
      </c>
      <c r="AC37" s="5">
        <f t="shared" si="13"/>
        <v>9204.5250518343</v>
      </c>
      <c r="AD37" s="4">
        <f>AC37*Assumptions!$E$43</f>
        <v>8.2433471205554714</v>
      </c>
      <c r="AE37" s="2">
        <f>AD37*Assumptions!$D$44*-1</f>
        <v>-1.2365020680833207</v>
      </c>
      <c r="AF37" s="2">
        <f>AC37*Assumptions!$E$46*-1</f>
        <v>-0.30676126622400091</v>
      </c>
      <c r="AG37" s="5">
        <f t="shared" si="16"/>
        <v>9202.981788499992</v>
      </c>
      <c r="AH37" s="20">
        <f>Model_30y[[#This Row],[Mortgage Payment]]+Model_30y[[#This Row],[Total Upkeep]]+Model_30y[[#This Row],[Monthly Investment]]</f>
        <v>-3052.915204659188</v>
      </c>
      <c r="AI37" s="5">
        <f>Model_Renter!D37*-1</f>
        <v>2966.0037825600007</v>
      </c>
      <c r="AJ37" s="5">
        <f t="shared" si="14"/>
        <v>-86.911422099187348</v>
      </c>
    </row>
    <row r="38" spans="1:36" x14ac:dyDescent="0.25">
      <c r="A38" s="17">
        <f t="shared" si="7"/>
        <v>36</v>
      </c>
      <c r="B38" s="17">
        <f t="shared" si="4"/>
        <v>3</v>
      </c>
      <c r="C38" s="23">
        <f>IFERROR(PPMT(Assumptions!$E$17, A38, 180, Assumptions!$D$8), 0)</f>
        <v>-1403.8540111120117</v>
      </c>
      <c r="D38" s="38">
        <f>IFERROR(IPMT(Assumptions!$E$17,A38,180,Assumptions!$D$8), 0)</f>
        <v>-1437.7790006866853</v>
      </c>
      <c r="E38" s="2">
        <f t="shared" si="8"/>
        <v>-2841.6330117986972</v>
      </c>
      <c r="F38" s="2">
        <f>IF(I37&gt;1, Assumptions!$E$19, 0)*-1</f>
        <v>-2841.6330117986968</v>
      </c>
      <c r="G38" s="24">
        <f t="shared" si="9"/>
        <v>1</v>
      </c>
      <c r="H38" s="20">
        <f t="shared" si="15"/>
        <v>46474.828229227947</v>
      </c>
      <c r="I38" s="2">
        <f>MAX(Assumptions!$D$8-SUM(Model_15y!H38), 0)</f>
        <v>293525.17177077208</v>
      </c>
      <c r="J38" s="2">
        <f>J37*(1+(Assumptions!$E$51))</f>
        <v>491990.62500000105</v>
      </c>
      <c r="K38" s="22">
        <f t="shared" si="0"/>
        <v>198465.45322922897</v>
      </c>
      <c r="L38" s="5">
        <f t="shared" si="10"/>
        <v>131474.82822922795</v>
      </c>
      <c r="M38" s="63">
        <f>L38/Assumptions!$D$6</f>
        <v>0.30935253700994814</v>
      </c>
      <c r="N38" s="24">
        <f t="shared" si="17"/>
        <v>0</v>
      </c>
      <c r="O38" s="22">
        <f>N38*Assumptions!$E$25*-1</f>
        <v>0</v>
      </c>
      <c r="P38" s="5">
        <f>Assumptions!$E$35*J38*-1</f>
        <v>-1013.4201337976009</v>
      </c>
      <c r="Q38" s="5">
        <f>J38*Assumptions!$E$36*-1</f>
        <v>-408.12497533849069</v>
      </c>
      <c r="R38" s="5">
        <f>R26+R26*Assumptions!$D$51</f>
        <v>-358.22062500000004</v>
      </c>
      <c r="S38" s="5">
        <f>S26+(S26*Assumptions!$D$51)</f>
        <v>0</v>
      </c>
      <c r="T38" s="5">
        <f t="shared" si="5"/>
        <v>0</v>
      </c>
      <c r="U38" s="22">
        <f t="shared" si="1"/>
        <v>-1779.7657341360914</v>
      </c>
      <c r="V38" s="5">
        <f>MAX(Assumptions!$E$18:$E$19)-U38</f>
        <v>4621.3987459347882</v>
      </c>
      <c r="W38" s="5">
        <f t="shared" si="2"/>
        <v>-2841.6330117986968</v>
      </c>
      <c r="X38" s="5">
        <f t="shared" si="6"/>
        <v>-1779.7657341360914</v>
      </c>
      <c r="Y38" s="5">
        <f>D38*Assumptions!$D$44*-1</f>
        <v>215.66685010300279</v>
      </c>
      <c r="Z38" s="5">
        <f t="shared" si="3"/>
        <v>215.66685010300279</v>
      </c>
      <c r="AA38" s="5">
        <f t="shared" si="12"/>
        <v>9202.981788499992</v>
      </c>
      <c r="AB38" s="3">
        <f>Assumptions!$E$45</f>
        <v>6.9899151946608562E-3</v>
      </c>
      <c r="AC38" s="5">
        <f t="shared" si="13"/>
        <v>9482.9767008426188</v>
      </c>
      <c r="AD38" s="4">
        <f>AC38*Assumptions!$E$43</f>
        <v>8.4927215951905559</v>
      </c>
      <c r="AE38" s="2">
        <f>AD38*Assumptions!$D$44*-1</f>
        <v>-1.2739082392785834</v>
      </c>
      <c r="AF38" s="2">
        <f>AC38*Assumptions!$E$46*-1</f>
        <v>-0.31604128664340653</v>
      </c>
      <c r="AG38" s="5">
        <f t="shared" si="16"/>
        <v>9481.386751316697</v>
      </c>
      <c r="AH38" s="20">
        <f>Model_30y[[#This Row],[Mortgage Payment]]+Model_30y[[#This Row],[Total Upkeep]]+Model_30y[[#This Row],[Monthly Investment]]</f>
        <v>-3058.9823175534775</v>
      </c>
      <c r="AI38" s="5">
        <f>Model_Renter!D38*-1</f>
        <v>2966.0037825600007</v>
      </c>
      <c r="AJ38" s="5">
        <f t="shared" si="14"/>
        <v>-92.978534993476842</v>
      </c>
    </row>
    <row r="39" spans="1:36" x14ac:dyDescent="0.25">
      <c r="A39" s="17">
        <f t="shared" si="7"/>
        <v>37</v>
      </c>
      <c r="B39" s="17">
        <f t="shared" si="4"/>
        <v>4</v>
      </c>
      <c r="C39" s="23">
        <f>IFERROR(PPMT(Assumptions!$E$17, A39, 180, Assumptions!$D$8), 0)</f>
        <v>-1410.697799416183</v>
      </c>
      <c r="D39" s="38">
        <f>IFERROR(IPMT(Assumptions!$E$17,A39,180,Assumptions!$D$8), 0)</f>
        <v>-1430.935212382514</v>
      </c>
      <c r="E39" s="2">
        <f t="shared" si="8"/>
        <v>-2841.6330117986972</v>
      </c>
      <c r="F39" s="2">
        <f>IF(I38&gt;1, Assumptions!$E$19, 0)*-1</f>
        <v>-2841.6330117986968</v>
      </c>
      <c r="G39" s="24">
        <f t="shared" si="9"/>
        <v>1</v>
      </c>
      <c r="H39" s="20">
        <f t="shared" si="15"/>
        <v>47885.526028644133</v>
      </c>
      <c r="I39" s="2">
        <f>MAX(Assumptions!$D$8-SUM(Model_15y!H39), 0)</f>
        <v>292114.47397135588</v>
      </c>
      <c r="J39" s="2">
        <f>J38*(1+(Assumptions!$E$51))</f>
        <v>493995.05570664559</v>
      </c>
      <c r="K39" s="22">
        <f t="shared" si="0"/>
        <v>201880.58173528971</v>
      </c>
      <c r="L39" s="5">
        <f t="shared" si="10"/>
        <v>132885.52602864412</v>
      </c>
      <c r="M39" s="63">
        <f>L39/Assumptions!$D$6</f>
        <v>0.31267182594975085</v>
      </c>
      <c r="N39" s="24">
        <f t="shared" si="17"/>
        <v>0</v>
      </c>
      <c r="O39" s="22">
        <f>N39*Assumptions!$E$25*-1</f>
        <v>0</v>
      </c>
      <c r="P39" s="5">
        <f>Assumptions!$E$35*J39*-1</f>
        <v>-1017.5489328675338</v>
      </c>
      <c r="Q39" s="5">
        <f>J39*Assumptions!$E$36*-1</f>
        <v>-409.78772700721817</v>
      </c>
      <c r="R39" s="5">
        <f>R27+R27*Assumptions!$D$51</f>
        <v>-376.13165625000005</v>
      </c>
      <c r="S39" s="5">
        <f>S27+(S27*Assumptions!$D$51)</f>
        <v>0</v>
      </c>
      <c r="T39" s="5">
        <f t="shared" si="5"/>
        <v>0</v>
      </c>
      <c r="U39" s="22">
        <f t="shared" si="1"/>
        <v>-1803.4683161247522</v>
      </c>
      <c r="V39" s="5">
        <f>MAX(Assumptions!$E$18:$E$19)-U39</f>
        <v>4645.1013279234485</v>
      </c>
      <c r="W39" s="5">
        <f t="shared" si="2"/>
        <v>-2841.6330117986968</v>
      </c>
      <c r="X39" s="5">
        <f t="shared" si="6"/>
        <v>-1803.4683161247522</v>
      </c>
      <c r="Y39" s="5">
        <f>D39*Assumptions!$D$44*-1</f>
        <v>214.64028185737709</v>
      </c>
      <c r="Z39" s="5">
        <f t="shared" si="3"/>
        <v>214.64028185737664</v>
      </c>
      <c r="AA39" s="5">
        <f t="shared" si="12"/>
        <v>9481.386751316697</v>
      </c>
      <c r="AB39" s="3">
        <f>Assumptions!$E$45</f>
        <v>6.9899151946608562E-3</v>
      </c>
      <c r="AC39" s="5">
        <f t="shared" si="13"/>
        <v>9762.3011224935581</v>
      </c>
      <c r="AD39" s="4">
        <f>AC39*Assumptions!$E$43</f>
        <v>8.7428777036209659</v>
      </c>
      <c r="AE39" s="2">
        <f>AD39*Assumptions!$D$44*-1</f>
        <v>-1.3114316555431449</v>
      </c>
      <c r="AF39" s="2">
        <f>AC39*Assumptions!$E$46*-1</f>
        <v>-0.32535039415198497</v>
      </c>
      <c r="AG39" s="5">
        <f t="shared" si="16"/>
        <v>9760.6643404438637</v>
      </c>
      <c r="AH39" s="20">
        <f>Model_30y[[#This Row],[Mortgage Payment]]+Model_30y[[#This Row],[Total Upkeep]]+Model_30y[[#This Row],[Monthly Investment]]</f>
        <v>-3082.9856361981638</v>
      </c>
      <c r="AI39" s="5">
        <f>Model_Renter!D39*-1</f>
        <v>3076.9323240277449</v>
      </c>
      <c r="AJ39" s="5">
        <f t="shared" si="14"/>
        <v>-6.0533121704188488</v>
      </c>
    </row>
    <row r="40" spans="1:36" x14ac:dyDescent="0.25">
      <c r="A40" s="17">
        <f t="shared" si="7"/>
        <v>38</v>
      </c>
      <c r="B40" s="17">
        <f t="shared" si="4"/>
        <v>4</v>
      </c>
      <c r="C40" s="23">
        <f>IFERROR(PPMT(Assumptions!$E$17, A40, 180, Assumptions!$D$8), 0)</f>
        <v>-1417.5749511883366</v>
      </c>
      <c r="D40" s="38">
        <f>IFERROR(IPMT(Assumptions!$E$17,A40,180,Assumptions!$D$8), 0)</f>
        <v>-1424.0580606103606</v>
      </c>
      <c r="E40" s="2">
        <f t="shared" si="8"/>
        <v>-2841.6330117986972</v>
      </c>
      <c r="F40" s="2">
        <f>IF(I39&gt;1, Assumptions!$E$19, 0)*-1</f>
        <v>-2841.6330117986968</v>
      </c>
      <c r="G40" s="24">
        <f t="shared" si="9"/>
        <v>1</v>
      </c>
      <c r="H40" s="20">
        <f t="shared" si="15"/>
        <v>49303.100979832467</v>
      </c>
      <c r="I40" s="2">
        <f>MAX(Assumptions!$D$8-SUM(Model_15y!H40), 0)</f>
        <v>290696.89902016753</v>
      </c>
      <c r="J40" s="2">
        <f>J39*(1+(Assumptions!$E$51))</f>
        <v>496007.65271210473</v>
      </c>
      <c r="K40" s="22">
        <f t="shared" si="0"/>
        <v>205310.75369193719</v>
      </c>
      <c r="L40" s="5">
        <f t="shared" si="10"/>
        <v>134303.10097983247</v>
      </c>
      <c r="M40" s="63">
        <f>L40/Assumptions!$D$6</f>
        <v>0.31600729642313524</v>
      </c>
      <c r="N40" s="24">
        <f t="shared" si="17"/>
        <v>0</v>
      </c>
      <c r="O40" s="22">
        <f>N40*Assumptions!$E$25*-1</f>
        <v>0</v>
      </c>
      <c r="P40" s="5">
        <f>Assumptions!$E$35*J40*-1</f>
        <v>-1021.6945531759554</v>
      </c>
      <c r="Q40" s="5">
        <f>J40*Assumptions!$E$36*-1</f>
        <v>-411.45725293206544</v>
      </c>
      <c r="R40" s="5">
        <f>R28+R28*Assumptions!$D$51</f>
        <v>-376.13165625000005</v>
      </c>
      <c r="S40" s="5">
        <f>S28+(S28*Assumptions!$D$51)</f>
        <v>0</v>
      </c>
      <c r="T40" s="5">
        <f t="shared" si="5"/>
        <v>0</v>
      </c>
      <c r="U40" s="22">
        <f t="shared" si="1"/>
        <v>-1809.2834623580211</v>
      </c>
      <c r="V40" s="5">
        <f>MAX(Assumptions!$E$18:$E$19)-U40</f>
        <v>4650.9164741567183</v>
      </c>
      <c r="W40" s="5">
        <f t="shared" si="2"/>
        <v>-2841.6330117986968</v>
      </c>
      <c r="X40" s="5">
        <f t="shared" si="6"/>
        <v>-1809.2834623580211</v>
      </c>
      <c r="Y40" s="5">
        <f>D40*Assumptions!$D$44*-1</f>
        <v>213.60870909155409</v>
      </c>
      <c r="Z40" s="5">
        <f t="shared" si="3"/>
        <v>213.60870909155454</v>
      </c>
      <c r="AA40" s="5">
        <f t="shared" si="12"/>
        <v>9760.6643404438637</v>
      </c>
      <c r="AB40" s="3">
        <f>Assumptions!$E$45</f>
        <v>6.9899151946608562E-3</v>
      </c>
      <c r="AC40" s="5">
        <f t="shared" si="13"/>
        <v>10042.499265518672</v>
      </c>
      <c r="AD40" s="4">
        <f>AC40*Assumptions!$E$43</f>
        <v>8.9938162955074397</v>
      </c>
      <c r="AE40" s="2">
        <f>AD40*Assumptions!$D$44*-1</f>
        <v>-1.3490724443261159</v>
      </c>
      <c r="AF40" s="2">
        <f>AC40*Assumptions!$E$46*-1</f>
        <v>-0.33468862036832503</v>
      </c>
      <c r="AG40" s="5">
        <f t="shared" si="16"/>
        <v>10040.815504453978</v>
      </c>
      <c r="AH40" s="20">
        <f>Model_30y[[#This Row],[Mortgage Payment]]+Model_30y[[#This Row],[Total Upkeep]]+Model_30y[[#This Row],[Monthly Investment]]</f>
        <v>-3089.10320321273</v>
      </c>
      <c r="AI40" s="5">
        <f>Model_Renter!D40*-1</f>
        <v>3076.9323240277449</v>
      </c>
      <c r="AJ40" s="5">
        <f t="shared" si="14"/>
        <v>-12.170879184985097</v>
      </c>
    </row>
    <row r="41" spans="1:36" x14ac:dyDescent="0.25">
      <c r="A41" s="17">
        <f t="shared" si="7"/>
        <v>39</v>
      </c>
      <c r="B41" s="17">
        <f t="shared" si="4"/>
        <v>4</v>
      </c>
      <c r="C41" s="23">
        <f>IFERROR(PPMT(Assumptions!$E$17, A41, 180, Assumptions!$D$8), 0)</f>
        <v>-1424.4856290753798</v>
      </c>
      <c r="D41" s="38">
        <f>IFERROR(IPMT(Assumptions!$E$17,A41,180,Assumptions!$D$8), 0)</f>
        <v>-1417.1473827233174</v>
      </c>
      <c r="E41" s="2">
        <f t="shared" si="8"/>
        <v>-2841.6330117986972</v>
      </c>
      <c r="F41" s="2">
        <f>IF(I40&gt;1, Assumptions!$E$19, 0)*-1</f>
        <v>-2841.6330117986968</v>
      </c>
      <c r="G41" s="24">
        <f t="shared" si="9"/>
        <v>1</v>
      </c>
      <c r="H41" s="20">
        <f t="shared" si="15"/>
        <v>50727.586608907848</v>
      </c>
      <c r="I41" s="2">
        <f>MAX(Assumptions!$D$8-SUM(Model_15y!H41), 0)</f>
        <v>289272.41339109215</v>
      </c>
      <c r="J41" s="2">
        <f>J40*(1+(Assumptions!$E$51))</f>
        <v>498028.44928689068</v>
      </c>
      <c r="K41" s="22">
        <f t="shared" si="0"/>
        <v>208756.03589579853</v>
      </c>
      <c r="L41" s="5">
        <f t="shared" si="10"/>
        <v>135727.58660890785</v>
      </c>
      <c r="M41" s="63">
        <f>L41/Assumptions!$D$6</f>
        <v>0.31935902731507732</v>
      </c>
      <c r="N41" s="24">
        <f t="shared" si="17"/>
        <v>0</v>
      </c>
      <c r="O41" s="22">
        <f>N41*Assumptions!$E$25*-1</f>
        <v>0</v>
      </c>
      <c r="P41" s="5">
        <f>Assumptions!$E$35*J41*-1</f>
        <v>-1025.8570632546734</v>
      </c>
      <c r="Q41" s="5">
        <f>J41*Assumptions!$E$36*-1</f>
        <v>-413.13358071219056</v>
      </c>
      <c r="R41" s="5">
        <f>R29+R29*Assumptions!$D$51</f>
        <v>-376.13165625000005</v>
      </c>
      <c r="S41" s="5">
        <f>S29+(S29*Assumptions!$D$51)</f>
        <v>0</v>
      </c>
      <c r="T41" s="5">
        <f t="shared" si="5"/>
        <v>0</v>
      </c>
      <c r="U41" s="22">
        <f t="shared" si="1"/>
        <v>-1815.122300216864</v>
      </c>
      <c r="V41" s="5">
        <f>MAX(Assumptions!$E$18:$E$19)-U41</f>
        <v>4656.7553120155608</v>
      </c>
      <c r="W41" s="5">
        <f t="shared" si="2"/>
        <v>-2841.6330117986968</v>
      </c>
      <c r="X41" s="5">
        <f t="shared" si="6"/>
        <v>-1815.122300216864</v>
      </c>
      <c r="Y41" s="5">
        <f>D41*Assumptions!$D$44*-1</f>
        <v>212.5721074084976</v>
      </c>
      <c r="Z41" s="5">
        <f t="shared" si="3"/>
        <v>212.5721074084976</v>
      </c>
      <c r="AA41" s="5">
        <f t="shared" si="12"/>
        <v>10040.815504453978</v>
      </c>
      <c r="AB41" s="3">
        <f>Assumptions!$E$45</f>
        <v>6.9899151946608562E-3</v>
      </c>
      <c r="AC41" s="5">
        <f t="shared" si="13"/>
        <v>10323.572060723845</v>
      </c>
      <c r="AD41" s="4">
        <f>AC41*Assumptions!$E$43</f>
        <v>9.2455382044569205</v>
      </c>
      <c r="AE41" s="2">
        <f>AD41*Assumptions!$D$44*-1</f>
        <v>-1.3868307306685381</v>
      </c>
      <c r="AF41" s="2">
        <f>AC41*Assumptions!$E$46*-1</f>
        <v>-0.34405599631360267</v>
      </c>
      <c r="AG41" s="5">
        <f t="shared" si="16"/>
        <v>10321.841173996863</v>
      </c>
      <c r="AH41" s="20">
        <f>Model_30y[[#This Row],[Mortgage Payment]]+Model_30y[[#This Row],[Total Upkeep]]+Model_30y[[#This Row],[Monthly Investment]]</f>
        <v>-3095.246155409247</v>
      </c>
      <c r="AI41" s="5">
        <f>Model_Renter!D41*-1</f>
        <v>3076.9323240277449</v>
      </c>
      <c r="AJ41" s="5">
        <f t="shared" si="14"/>
        <v>-18.313831381502041</v>
      </c>
    </row>
    <row r="42" spans="1:36" x14ac:dyDescent="0.25">
      <c r="A42" s="17">
        <f t="shared" si="7"/>
        <v>40</v>
      </c>
      <c r="B42" s="17">
        <f t="shared" si="4"/>
        <v>4</v>
      </c>
      <c r="C42" s="23">
        <f>IFERROR(PPMT(Assumptions!$E$17, A42, 180, Assumptions!$D$8), 0)</f>
        <v>-1431.4299965171224</v>
      </c>
      <c r="D42" s="38">
        <f>IFERROR(IPMT(Assumptions!$E$17,A42,180,Assumptions!$D$8), 0)</f>
        <v>-1410.2030152815746</v>
      </c>
      <c r="E42" s="2">
        <f t="shared" si="8"/>
        <v>-2841.6330117986972</v>
      </c>
      <c r="F42" s="2">
        <f>IF(I41&gt;1, Assumptions!$E$19, 0)*-1</f>
        <v>-2841.6330117986968</v>
      </c>
      <c r="G42" s="24">
        <f t="shared" si="9"/>
        <v>1</v>
      </c>
      <c r="H42" s="20">
        <f t="shared" si="15"/>
        <v>52159.016605424971</v>
      </c>
      <c r="I42" s="2">
        <f>MAX(Assumptions!$D$8-SUM(Model_15y!H42), 0)</f>
        <v>287840.98339457501</v>
      </c>
      <c r="J42" s="2">
        <f>J41*(1+(Assumptions!$E$51))</f>
        <v>500057.47883706389</v>
      </c>
      <c r="K42" s="22">
        <f t="shared" si="0"/>
        <v>212216.49544248887</v>
      </c>
      <c r="L42" s="5">
        <f t="shared" si="10"/>
        <v>137159.01660542496</v>
      </c>
      <c r="M42" s="63">
        <f>L42/Assumptions!$D$6</f>
        <v>0.32272709789511755</v>
      </c>
      <c r="N42" s="24">
        <f t="shared" si="17"/>
        <v>0</v>
      </c>
      <c r="O42" s="22">
        <f>N42*Assumptions!$E$25*-1</f>
        <v>0</v>
      </c>
      <c r="P42" s="5">
        <f>Assumptions!$E$35*J42*-1</f>
        <v>-1030.0365319147029</v>
      </c>
      <c r="Q42" s="5">
        <f>J42*Assumptions!$E$36*-1</f>
        <v>-414.81673805919388</v>
      </c>
      <c r="R42" s="5">
        <f>R30+R30*Assumptions!$D$51</f>
        <v>-376.13165625000005</v>
      </c>
      <c r="S42" s="5">
        <f>S30+(S30*Assumptions!$D$51)</f>
        <v>0</v>
      </c>
      <c r="T42" s="5">
        <f t="shared" si="5"/>
        <v>0</v>
      </c>
      <c r="U42" s="22">
        <f t="shared" si="1"/>
        <v>-1820.9849262238968</v>
      </c>
      <c r="V42" s="5">
        <f>MAX(Assumptions!$E$18:$E$19)-U42</f>
        <v>4662.6179380225931</v>
      </c>
      <c r="W42" s="5">
        <f t="shared" si="2"/>
        <v>-2841.6330117986968</v>
      </c>
      <c r="X42" s="5">
        <f t="shared" si="6"/>
        <v>-1820.9849262238968</v>
      </c>
      <c r="Y42" s="5">
        <f>D42*Assumptions!$D$44*-1</f>
        <v>211.53045229223619</v>
      </c>
      <c r="Z42" s="5">
        <f t="shared" si="3"/>
        <v>211.53045229223574</v>
      </c>
      <c r="AA42" s="5">
        <f t="shared" si="12"/>
        <v>10321.841173996863</v>
      </c>
      <c r="AB42" s="3">
        <f>Assumptions!$E$45</f>
        <v>6.9899151946608562E-3</v>
      </c>
      <c r="AC42" s="5">
        <f t="shared" si="13"/>
        <v>10605.520420748097</v>
      </c>
      <c r="AD42" s="4">
        <f>AC42*Assumptions!$E$43</f>
        <v>9.4980442478065523</v>
      </c>
      <c r="AE42" s="2">
        <f>AD42*Assumptions!$D$44*-1</f>
        <v>-1.4247066371709829</v>
      </c>
      <c r="AF42" s="2">
        <f>AC42*Assumptions!$E$46*-1</f>
        <v>-0.35345255240354279</v>
      </c>
      <c r="AG42" s="5">
        <f t="shared" si="16"/>
        <v>10603.742261558522</v>
      </c>
      <c r="AH42" s="20">
        <f>Model_30y[[#This Row],[Mortgage Payment]]+Model_30y[[#This Row],[Total Upkeep]]+Model_30y[[#This Row],[Monthly Investment]]</f>
        <v>-3101.4145987942452</v>
      </c>
      <c r="AI42" s="5">
        <f>Model_Renter!D42*-1</f>
        <v>3076.9323240277449</v>
      </c>
      <c r="AJ42" s="5">
        <f t="shared" si="14"/>
        <v>-24.482274766500268</v>
      </c>
    </row>
    <row r="43" spans="1:36" x14ac:dyDescent="0.25">
      <c r="A43" s="17">
        <f t="shared" si="7"/>
        <v>41</v>
      </c>
      <c r="B43" s="17">
        <f t="shared" si="4"/>
        <v>4</v>
      </c>
      <c r="C43" s="23">
        <f>IFERROR(PPMT(Assumptions!$E$17, A43, 180, Assumptions!$D$8), 0)</f>
        <v>-1438.4082177501432</v>
      </c>
      <c r="D43" s="38">
        <f>IFERROR(IPMT(Assumptions!$E$17,A43,180,Assumptions!$D$8), 0)</f>
        <v>-1403.2247940485531</v>
      </c>
      <c r="E43" s="2">
        <f t="shared" si="8"/>
        <v>-2841.6330117986963</v>
      </c>
      <c r="F43" s="2">
        <f>IF(I42&gt;1, Assumptions!$E$19, 0)*-1</f>
        <v>-2841.6330117986968</v>
      </c>
      <c r="G43" s="24">
        <f t="shared" si="9"/>
        <v>1</v>
      </c>
      <c r="H43" s="20">
        <f t="shared" si="15"/>
        <v>53597.424823175112</v>
      </c>
      <c r="I43" s="2">
        <f>MAX(Assumptions!$D$8-SUM(Model_15y!H43), 0)</f>
        <v>286402.57517682487</v>
      </c>
      <c r="J43" s="2">
        <f>J42*(1+(Assumptions!$E$51))</f>
        <v>502094.77490478521</v>
      </c>
      <c r="K43" s="22">
        <f t="shared" si="0"/>
        <v>215692.19972796034</v>
      </c>
      <c r="L43" s="5">
        <f t="shared" si="10"/>
        <v>138597.4248231751</v>
      </c>
      <c r="M43" s="63">
        <f>L43/Assumptions!$D$6</f>
        <v>0.32611158781923555</v>
      </c>
      <c r="N43" s="24">
        <f t="shared" si="17"/>
        <v>0</v>
      </c>
      <c r="O43" s="22">
        <f>N43*Assumptions!$E$25*-1</f>
        <v>0</v>
      </c>
      <c r="P43" s="5">
        <f>Assumptions!$E$35*J43*-1</f>
        <v>-1034.2330282474034</v>
      </c>
      <c r="Q43" s="5">
        <f>J43*Assumptions!$E$36*-1</f>
        <v>-416.50675279757627</v>
      </c>
      <c r="R43" s="5">
        <f>R31+R31*Assumptions!$D$51</f>
        <v>-376.13165625000005</v>
      </c>
      <c r="S43" s="5">
        <f>S31+(S31*Assumptions!$D$51)</f>
        <v>0</v>
      </c>
      <c r="T43" s="5">
        <f t="shared" si="5"/>
        <v>0</v>
      </c>
      <c r="U43" s="22">
        <f t="shared" si="1"/>
        <v>-1826.8714372949798</v>
      </c>
      <c r="V43" s="5">
        <f>MAX(Assumptions!$E$18:$E$19)-U43</f>
        <v>4668.5044490936762</v>
      </c>
      <c r="W43" s="5">
        <f t="shared" si="2"/>
        <v>-2841.6330117986968</v>
      </c>
      <c r="X43" s="5">
        <f t="shared" si="6"/>
        <v>-1826.8714372949798</v>
      </c>
      <c r="Y43" s="5">
        <f>D43*Assumptions!$D$44*-1</f>
        <v>210.48371910728295</v>
      </c>
      <c r="Z43" s="5">
        <f t="shared" si="3"/>
        <v>210.4837191072825</v>
      </c>
      <c r="AA43" s="5">
        <f t="shared" si="12"/>
        <v>10603.742261558522</v>
      </c>
      <c r="AB43" s="3">
        <f>Assumptions!$E$45</f>
        <v>6.9899151946608562E-3</v>
      </c>
      <c r="AC43" s="5">
        <f t="shared" si="13"/>
        <v>10888.345239820139</v>
      </c>
      <c r="AD43" s="4">
        <f>AC43*Assumptions!$E$43</f>
        <v>9.7513352264056632</v>
      </c>
      <c r="AE43" s="2">
        <f>AD43*Assumptions!$D$44*-1</f>
        <v>-1.4627002839608494</v>
      </c>
      <c r="AF43" s="2">
        <f>AC43*Assumptions!$E$46*-1</f>
        <v>-0.36287831844030571</v>
      </c>
      <c r="AG43" s="5">
        <f t="shared" si="16"/>
        <v>10886.519661217737</v>
      </c>
      <c r="AH43" s="20">
        <f>Model_30y[[#This Row],[Mortgage Payment]]+Model_30y[[#This Row],[Total Upkeep]]+Model_30y[[#This Row],[Monthly Investment]]</f>
        <v>-3107.6086398206098</v>
      </c>
      <c r="AI43" s="5">
        <f>Model_Renter!D43*-1</f>
        <v>3076.9323240277449</v>
      </c>
      <c r="AJ43" s="5">
        <f t="shared" si="14"/>
        <v>-30.676315792864898</v>
      </c>
    </row>
    <row r="44" spans="1:36" x14ac:dyDescent="0.25">
      <c r="A44" s="17">
        <f t="shared" si="7"/>
        <v>42</v>
      </c>
      <c r="B44" s="17">
        <f t="shared" si="4"/>
        <v>4</v>
      </c>
      <c r="C44" s="23">
        <f>IFERROR(PPMT(Assumptions!$E$17, A44, 180, Assumptions!$D$8), 0)</f>
        <v>-1445.4204578116751</v>
      </c>
      <c r="D44" s="38">
        <f>IFERROR(IPMT(Assumptions!$E$17,A44,180,Assumptions!$D$8), 0)</f>
        <v>-1396.2125539870215</v>
      </c>
      <c r="E44" s="2">
        <f t="shared" si="8"/>
        <v>-2841.6330117986963</v>
      </c>
      <c r="F44" s="2">
        <f>IF(I43&gt;1, Assumptions!$E$19, 0)*-1</f>
        <v>-2841.6330117986968</v>
      </c>
      <c r="G44" s="24">
        <f t="shared" si="9"/>
        <v>1</v>
      </c>
      <c r="H44" s="20">
        <f t="shared" si="15"/>
        <v>55042.845280986789</v>
      </c>
      <c r="I44" s="2">
        <f>MAX(Assumptions!$D$8-SUM(Model_15y!H44), 0)</f>
        <v>284957.1547190132</v>
      </c>
      <c r="J44" s="2">
        <f>J43*(1+(Assumptions!$E$51))</f>
        <v>504140.37116887036</v>
      </c>
      <c r="K44" s="22">
        <f t="shared" si="0"/>
        <v>219183.21644985717</v>
      </c>
      <c r="L44" s="5">
        <f t="shared" si="10"/>
        <v>140042.84528098677</v>
      </c>
      <c r="M44" s="63">
        <f>L44/Assumptions!$D$6</f>
        <v>0.3295125771317336</v>
      </c>
      <c r="N44" s="24">
        <f t="shared" si="17"/>
        <v>0</v>
      </c>
      <c r="O44" s="22">
        <f>N44*Assumptions!$E$25*-1</f>
        <v>0</v>
      </c>
      <c r="P44" s="5">
        <f>Assumptions!$E$35*J44*-1</f>
        <v>-1038.4466216256208</v>
      </c>
      <c r="Q44" s="5">
        <f>J44*Assumptions!$E$36*-1</f>
        <v>-418.20365286519905</v>
      </c>
      <c r="R44" s="5">
        <f>R32+R32*Assumptions!$D$51</f>
        <v>-376.13165625000005</v>
      </c>
      <c r="S44" s="5">
        <f>S32+(S32*Assumptions!$D$51)</f>
        <v>0</v>
      </c>
      <c r="T44" s="5">
        <f t="shared" si="5"/>
        <v>0</v>
      </c>
      <c r="U44" s="22">
        <f t="shared" si="1"/>
        <v>-1832.7819307408199</v>
      </c>
      <c r="V44" s="5">
        <f>MAX(Assumptions!$E$18:$E$19)-U44</f>
        <v>4674.4149425395171</v>
      </c>
      <c r="W44" s="5">
        <f t="shared" si="2"/>
        <v>-2841.6330117986968</v>
      </c>
      <c r="X44" s="5">
        <f t="shared" si="6"/>
        <v>-1832.7819307408199</v>
      </c>
      <c r="Y44" s="5">
        <f>D44*Assumptions!$D$44*-1</f>
        <v>209.43188309805322</v>
      </c>
      <c r="Z44" s="5">
        <f t="shared" si="3"/>
        <v>209.43188309805367</v>
      </c>
      <c r="AA44" s="5">
        <f t="shared" si="12"/>
        <v>10886.519661217737</v>
      </c>
      <c r="AB44" s="3">
        <f>Assumptions!$E$45</f>
        <v>6.9899151946608562E-3</v>
      </c>
      <c r="AC44" s="5">
        <f t="shared" si="13"/>
        <v>11172.04739351271</v>
      </c>
      <c r="AD44" s="4">
        <f>AC44*Assumptions!$E$43</f>
        <v>10.005411924395744</v>
      </c>
      <c r="AE44" s="2">
        <f>AD44*Assumptions!$D$44*-1</f>
        <v>-1.5008117886593617</v>
      </c>
      <c r="AF44" s="2">
        <f>AC44*Assumptions!$E$46*-1</f>
        <v>-0.37233332360430016</v>
      </c>
      <c r="AG44" s="5">
        <f t="shared" si="16"/>
        <v>11170.174248400446</v>
      </c>
      <c r="AH44" s="20">
        <f>Model_30y[[#This Row],[Mortgage Payment]]+Model_30y[[#This Row],[Total Upkeep]]+Model_30y[[#This Row],[Monthly Investment]]</f>
        <v>-3113.82838538948</v>
      </c>
      <c r="AI44" s="5">
        <f>Model_Renter!D44*-1</f>
        <v>3076.9323240277449</v>
      </c>
      <c r="AJ44" s="5">
        <f t="shared" si="14"/>
        <v>-36.896061361735065</v>
      </c>
    </row>
    <row r="45" spans="1:36" x14ac:dyDescent="0.25">
      <c r="A45" s="17">
        <f t="shared" si="7"/>
        <v>43</v>
      </c>
      <c r="B45" s="17">
        <f t="shared" si="4"/>
        <v>4</v>
      </c>
      <c r="C45" s="23">
        <f>IFERROR(PPMT(Assumptions!$E$17, A45, 180, Assumptions!$D$8), 0)</f>
        <v>-1452.4668825435069</v>
      </c>
      <c r="D45" s="38">
        <f>IFERROR(IPMT(Assumptions!$E$17,A45,180,Assumptions!$D$8), 0)</f>
        <v>-1389.1661292551896</v>
      </c>
      <c r="E45" s="2">
        <f t="shared" si="8"/>
        <v>-2841.6330117986963</v>
      </c>
      <c r="F45" s="2">
        <f>IF(I44&gt;1, Assumptions!$E$19, 0)*-1</f>
        <v>-2841.6330117986968</v>
      </c>
      <c r="G45" s="24">
        <f t="shared" si="9"/>
        <v>1</v>
      </c>
      <c r="H45" s="20">
        <f t="shared" si="15"/>
        <v>56495.312163530296</v>
      </c>
      <c r="I45" s="2">
        <f>MAX(Assumptions!$D$8-SUM(Model_15y!H45), 0)</f>
        <v>283504.68783646973</v>
      </c>
      <c r="J45" s="2">
        <f>J44*(1+(Assumptions!$E$51))</f>
        <v>506194.30144534679</v>
      </c>
      <c r="K45" s="22">
        <f t="shared" si="0"/>
        <v>222689.61360887706</v>
      </c>
      <c r="L45" s="5">
        <f t="shared" si="10"/>
        <v>141495.31216353027</v>
      </c>
      <c r="M45" s="63">
        <f>L45/Assumptions!$D$6</f>
        <v>0.33293014626713002</v>
      </c>
      <c r="N45" s="24">
        <f t="shared" si="17"/>
        <v>0</v>
      </c>
      <c r="O45" s="22">
        <f>N45*Assumptions!$E$25*-1</f>
        <v>0</v>
      </c>
      <c r="P45" s="5">
        <f>Assumptions!$E$35*J45*-1</f>
        <v>-1042.6773817048349</v>
      </c>
      <c r="Q45" s="5">
        <f>J45*Assumptions!$E$36*-1</f>
        <v>-419.90746631374577</v>
      </c>
      <c r="R45" s="5">
        <f>R33+R33*Assumptions!$D$51</f>
        <v>-376.13165625000005</v>
      </c>
      <c r="S45" s="5">
        <f>S33+(S33*Assumptions!$D$51)</f>
        <v>0</v>
      </c>
      <c r="T45" s="5">
        <f t="shared" si="5"/>
        <v>0</v>
      </c>
      <c r="U45" s="22">
        <f t="shared" si="1"/>
        <v>-1838.7165042685808</v>
      </c>
      <c r="V45" s="5">
        <f>MAX(Assumptions!$E$18:$E$19)-U45</f>
        <v>4680.3495160672774</v>
      </c>
      <c r="W45" s="5">
        <f t="shared" si="2"/>
        <v>-2841.6330117986968</v>
      </c>
      <c r="X45" s="5">
        <f t="shared" si="6"/>
        <v>-1838.7165042685808</v>
      </c>
      <c r="Y45" s="5">
        <f>D45*Assumptions!$D$44*-1</f>
        <v>208.37491938827844</v>
      </c>
      <c r="Z45" s="5">
        <f t="shared" si="3"/>
        <v>208.37491938827822</v>
      </c>
      <c r="AA45" s="5">
        <f t="shared" si="12"/>
        <v>11170.174248400446</v>
      </c>
      <c r="AB45" s="3">
        <f>Assumptions!$E$45</f>
        <v>6.9899151946608562E-3</v>
      </c>
      <c r="AC45" s="5">
        <f t="shared" si="13"/>
        <v>11456.627738494628</v>
      </c>
      <c r="AD45" s="4">
        <f>AC45*Assumptions!$E$43</f>
        <v>10.260275108988401</v>
      </c>
      <c r="AE45" s="2">
        <f>AD45*Assumptions!$D$44*-1</f>
        <v>-1.53904126634826</v>
      </c>
      <c r="AF45" s="2">
        <f>AC45*Assumptions!$E$46*-1</f>
        <v>-0.38181759644591939</v>
      </c>
      <c r="AG45" s="5">
        <f t="shared" si="16"/>
        <v>11454.706879631834</v>
      </c>
      <c r="AH45" s="20">
        <f>Model_30y[[#This Row],[Mortgage Payment]]+Model_30y[[#This Row],[Total Upkeep]]+Model_30y[[#This Row],[Monthly Investment]]</f>
        <v>-3120.0739428521611</v>
      </c>
      <c r="AI45" s="5">
        <f>Model_Renter!D45*-1</f>
        <v>3076.9323240277449</v>
      </c>
      <c r="AJ45" s="5">
        <f t="shared" si="14"/>
        <v>-43.141618824416128</v>
      </c>
    </row>
    <row r="46" spans="1:36" x14ac:dyDescent="0.25">
      <c r="A46" s="17">
        <f t="shared" si="7"/>
        <v>44</v>
      </c>
      <c r="B46" s="17">
        <f t="shared" si="4"/>
        <v>4</v>
      </c>
      <c r="C46" s="23">
        <f>IFERROR(PPMT(Assumptions!$E$17, A46, 180, Assumptions!$D$8), 0)</f>
        <v>-1459.5476585959066</v>
      </c>
      <c r="D46" s="38">
        <f>IFERROR(IPMT(Assumptions!$E$17,A46,180,Assumptions!$D$8), 0)</f>
        <v>-1382.0853532027902</v>
      </c>
      <c r="E46" s="2">
        <f t="shared" si="8"/>
        <v>-2841.6330117986968</v>
      </c>
      <c r="F46" s="2">
        <f>IF(I45&gt;1, Assumptions!$E$19, 0)*-1</f>
        <v>-2841.6330117986968</v>
      </c>
      <c r="G46" s="24">
        <f t="shared" si="9"/>
        <v>1</v>
      </c>
      <c r="H46" s="20">
        <f t="shared" si="15"/>
        <v>57954.8598221262</v>
      </c>
      <c r="I46" s="2">
        <f>MAX(Assumptions!$D$8-SUM(Model_15y!H46), 0)</f>
        <v>282045.14017787378</v>
      </c>
      <c r="J46" s="2">
        <f>J45*(1+(Assumptions!$E$51))</f>
        <v>508256.59968801256</v>
      </c>
      <c r="K46" s="22">
        <f t="shared" si="0"/>
        <v>226211.45951013878</v>
      </c>
      <c r="L46" s="5">
        <f t="shared" si="10"/>
        <v>142954.85982212616</v>
      </c>
      <c r="M46" s="63">
        <f>L46/Assumptions!$D$6</f>
        <v>0.33636437605206154</v>
      </c>
      <c r="N46" s="24">
        <f t="shared" si="17"/>
        <v>0</v>
      </c>
      <c r="O46" s="22">
        <f>N46*Assumptions!$E$25*-1</f>
        <v>0</v>
      </c>
      <c r="P46" s="5">
        <f>Assumptions!$E$35*J46*-1</f>
        <v>-1046.925378424311</v>
      </c>
      <c r="Q46" s="5">
        <f>J46*Assumptions!$E$36*-1</f>
        <v>-421.61822130918614</v>
      </c>
      <c r="R46" s="5">
        <f>R34+R34*Assumptions!$D$51</f>
        <v>-376.13165625000005</v>
      </c>
      <c r="S46" s="5">
        <f>S34+(S34*Assumptions!$D$51)</f>
        <v>0</v>
      </c>
      <c r="T46" s="5">
        <f t="shared" si="5"/>
        <v>0</v>
      </c>
      <c r="U46" s="22">
        <f t="shared" si="1"/>
        <v>-1844.6752559834972</v>
      </c>
      <c r="V46" s="5">
        <f>MAX(Assumptions!$E$18:$E$19)-U46</f>
        <v>4686.308267782194</v>
      </c>
      <c r="W46" s="5">
        <f t="shared" si="2"/>
        <v>-2841.6330117986968</v>
      </c>
      <c r="X46" s="5">
        <f t="shared" si="6"/>
        <v>-1844.6752559834972</v>
      </c>
      <c r="Y46" s="5">
        <f>D46*Assumptions!$D$44*-1</f>
        <v>207.31280298041852</v>
      </c>
      <c r="Z46" s="5">
        <f t="shared" si="3"/>
        <v>207.31280298041852</v>
      </c>
      <c r="AA46" s="5">
        <f t="shared" si="12"/>
        <v>11454.706879631834</v>
      </c>
      <c r="AB46" s="3">
        <f>Assumptions!$E$45</f>
        <v>6.9899151946608562E-3</v>
      </c>
      <c r="AC46" s="5">
        <f t="shared" si="13"/>
        <v>11742.087112280578</v>
      </c>
      <c r="AD46" s="4">
        <f>AC46*Assumptions!$E$43</f>
        <v>10.515925530241265</v>
      </c>
      <c r="AE46" s="2">
        <f>AD46*Assumptions!$D$44*-1</f>
        <v>-1.5773888295361898</v>
      </c>
      <c r="AF46" s="2">
        <f>AC46*Assumptions!$E$46*-1</f>
        <v>-0.39133116487720288</v>
      </c>
      <c r="AG46" s="5">
        <f t="shared" si="16"/>
        <v>11740.118392286166</v>
      </c>
      <c r="AH46" s="20">
        <f>Model_30y[[#This Row],[Mortgage Payment]]+Model_30y[[#This Row],[Total Upkeep]]+Model_30y[[#This Row],[Monthly Investment]]</f>
        <v>-3126.3454200120332</v>
      </c>
      <c r="AI46" s="5">
        <f>Model_Renter!D46*-1</f>
        <v>3076.9323240277449</v>
      </c>
      <c r="AJ46" s="5">
        <f t="shared" si="14"/>
        <v>-49.413095984288248</v>
      </c>
    </row>
    <row r="47" spans="1:36" x14ac:dyDescent="0.25">
      <c r="A47" s="17">
        <f t="shared" si="7"/>
        <v>45</v>
      </c>
      <c r="B47" s="17">
        <f t="shared" si="4"/>
        <v>4</v>
      </c>
      <c r="C47" s="23">
        <f>IFERROR(PPMT(Assumptions!$E$17, A47, 180, Assumptions!$D$8), 0)</f>
        <v>-1466.6629534315618</v>
      </c>
      <c r="D47" s="38">
        <f>IFERROR(IPMT(Assumptions!$E$17,A47,180,Assumptions!$D$8), 0)</f>
        <v>-1374.9700583671349</v>
      </c>
      <c r="E47" s="2">
        <f t="shared" si="8"/>
        <v>-2841.6330117986968</v>
      </c>
      <c r="F47" s="2">
        <f>IF(I46&gt;1, Assumptions!$E$19, 0)*-1</f>
        <v>-2841.6330117986968</v>
      </c>
      <c r="G47" s="24">
        <f t="shared" si="9"/>
        <v>1</v>
      </c>
      <c r="H47" s="20">
        <f t="shared" si="15"/>
        <v>59421.522775557765</v>
      </c>
      <c r="I47" s="2">
        <f>MAX(Assumptions!$D$8-SUM(Model_15y!H47), 0)</f>
        <v>280578.47722444223</v>
      </c>
      <c r="J47" s="2">
        <f>J46*(1+(Assumptions!$E$51))</f>
        <v>510327.29998899775</v>
      </c>
      <c r="K47" s="22">
        <f t="shared" si="0"/>
        <v>229748.82276455552</v>
      </c>
      <c r="L47" s="5">
        <f t="shared" si="10"/>
        <v>144421.52277555774</v>
      </c>
      <c r="M47" s="63">
        <f>L47/Assumptions!$D$6</f>
        <v>0.33981534770719468</v>
      </c>
      <c r="N47" s="24">
        <f t="shared" si="17"/>
        <v>0</v>
      </c>
      <c r="O47" s="22">
        <f>N47*Assumptions!$E$25*-1</f>
        <v>0</v>
      </c>
      <c r="P47" s="5">
        <f>Assumptions!$E$35*J47*-1</f>
        <v>-1051.1906820082545</v>
      </c>
      <c r="Q47" s="5">
        <f>J47*Assumptions!$E$36*-1</f>
        <v>-423.33594613224142</v>
      </c>
      <c r="R47" s="5">
        <f>R35+R35*Assumptions!$D$51</f>
        <v>-376.13165625000005</v>
      </c>
      <c r="S47" s="5">
        <f>S35+(S35*Assumptions!$D$51)</f>
        <v>0</v>
      </c>
      <c r="T47" s="5">
        <f t="shared" si="5"/>
        <v>0</v>
      </c>
      <c r="U47" s="22">
        <f t="shared" si="1"/>
        <v>-1850.658284390496</v>
      </c>
      <c r="V47" s="5">
        <f>MAX(Assumptions!$E$18:$E$19)-U47</f>
        <v>4692.2912961891925</v>
      </c>
      <c r="W47" s="5">
        <f t="shared" si="2"/>
        <v>-2841.6330117986968</v>
      </c>
      <c r="X47" s="5">
        <f t="shared" si="6"/>
        <v>-1850.658284390496</v>
      </c>
      <c r="Y47" s="5">
        <f>D47*Assumptions!$D$44*-1</f>
        <v>206.24550875507023</v>
      </c>
      <c r="Z47" s="5">
        <f t="shared" si="3"/>
        <v>206.24550875507001</v>
      </c>
      <c r="AA47" s="5">
        <f t="shared" si="12"/>
        <v>11740.118392286166</v>
      </c>
      <c r="AB47" s="3">
        <f>Assumptions!$E$45</f>
        <v>6.9899151946608562E-3</v>
      </c>
      <c r="AC47" s="5">
        <f t="shared" si="13"/>
        <v>12028.426332978594</v>
      </c>
      <c r="AD47" s="4">
        <f>AC47*Assumptions!$E$43</f>
        <v>10.772363920831847</v>
      </c>
      <c r="AE47" s="2">
        <f>AD47*Assumptions!$D$44*-1</f>
        <v>-1.615854588124777</v>
      </c>
      <c r="AF47" s="2">
        <f>AC47*Assumptions!$E$46*-1</f>
        <v>-0.40087405616341998</v>
      </c>
      <c r="AG47" s="5">
        <f t="shared" si="16"/>
        <v>12026.409604334305</v>
      </c>
      <c r="AH47" s="20">
        <f>Model_30y[[#This Row],[Mortgage Payment]]+Model_30y[[#This Row],[Total Upkeep]]+Model_30y[[#This Row],[Monthly Investment]]</f>
        <v>-3132.642925126479</v>
      </c>
      <c r="AI47" s="5">
        <f>Model_Renter!D47*-1</f>
        <v>3076.9323240277449</v>
      </c>
      <c r="AJ47" s="5">
        <f t="shared" si="14"/>
        <v>-55.71060109873406</v>
      </c>
    </row>
    <row r="48" spans="1:36" x14ac:dyDescent="0.25">
      <c r="A48" s="17">
        <f t="shared" si="7"/>
        <v>46</v>
      </c>
      <c r="B48" s="17">
        <f t="shared" si="4"/>
        <v>4</v>
      </c>
      <c r="C48" s="23">
        <f>IFERROR(PPMT(Assumptions!$E$17, A48, 180, Assumptions!$D$8), 0)</f>
        <v>-1473.8129353295408</v>
      </c>
      <c r="D48" s="38">
        <f>IFERROR(IPMT(Assumptions!$E$17,A48,180,Assumptions!$D$8), 0)</f>
        <v>-1367.8200764691564</v>
      </c>
      <c r="E48" s="2">
        <f t="shared" si="8"/>
        <v>-2841.6330117986972</v>
      </c>
      <c r="F48" s="2">
        <f>IF(I47&gt;1, Assumptions!$E$19, 0)*-1</f>
        <v>-2841.6330117986968</v>
      </c>
      <c r="G48" s="24">
        <f t="shared" si="9"/>
        <v>1</v>
      </c>
      <c r="H48" s="20">
        <f t="shared" si="15"/>
        <v>60895.335710887302</v>
      </c>
      <c r="I48" s="2">
        <f>MAX(Assumptions!$D$8-SUM(Model_15y!H48), 0)</f>
        <v>279104.66428911267</v>
      </c>
      <c r="J48" s="2">
        <f>J47*(1+(Assumptions!$E$51))</f>
        <v>512406.43657932797</v>
      </c>
      <c r="K48" s="22">
        <f t="shared" si="0"/>
        <v>233301.7722902153</v>
      </c>
      <c r="L48" s="5">
        <f t="shared" si="10"/>
        <v>145895.33571088727</v>
      </c>
      <c r="M48" s="63">
        <f>L48/Assumptions!$D$6</f>
        <v>0.34328314284914652</v>
      </c>
      <c r="N48" s="24">
        <f t="shared" si="17"/>
        <v>0</v>
      </c>
      <c r="O48" s="22">
        <f>N48*Assumptions!$E$25*-1</f>
        <v>0</v>
      </c>
      <c r="P48" s="5">
        <f>Assumptions!$E$35*J48*-1</f>
        <v>-1055.4733629669738</v>
      </c>
      <c r="Q48" s="5">
        <f>J48*Assumptions!$E$36*-1</f>
        <v>-425.06066917885209</v>
      </c>
      <c r="R48" s="5">
        <f>R36+R36*Assumptions!$D$51</f>
        <v>-376.13165625000005</v>
      </c>
      <c r="S48" s="5">
        <f>S36+(S36*Assumptions!$D$51)</f>
        <v>0</v>
      </c>
      <c r="T48" s="5">
        <f t="shared" si="5"/>
        <v>0</v>
      </c>
      <c r="U48" s="22">
        <f t="shared" si="1"/>
        <v>-1856.665688395826</v>
      </c>
      <c r="V48" s="5">
        <f>MAX(Assumptions!$E$18:$E$19)-U48</f>
        <v>4698.298700194523</v>
      </c>
      <c r="W48" s="5">
        <f t="shared" si="2"/>
        <v>-2841.6330117986968</v>
      </c>
      <c r="X48" s="5">
        <f t="shared" si="6"/>
        <v>-1856.665688395826</v>
      </c>
      <c r="Y48" s="5">
        <f>D48*Assumptions!$D$44*-1</f>
        <v>205.17301147037347</v>
      </c>
      <c r="Z48" s="5">
        <f t="shared" si="3"/>
        <v>205.17301147037369</v>
      </c>
      <c r="AA48" s="5">
        <f t="shared" si="12"/>
        <v>12026.409604334305</v>
      </c>
      <c r="AB48" s="3">
        <f>Assumptions!$E$45</f>
        <v>6.9899151946608562E-3</v>
      </c>
      <c r="AC48" s="5">
        <f t="shared" si="13"/>
        <v>12315.646199035231</v>
      </c>
      <c r="AD48" s="4">
        <f>AC48*Assumptions!$E$43</f>
        <v>11.029590995829322</v>
      </c>
      <c r="AE48" s="2">
        <f>AD48*Assumptions!$D$44*-1</f>
        <v>-1.6544386493743983</v>
      </c>
      <c r="AF48" s="2">
        <f>AC48*Assumptions!$E$46*-1</f>
        <v>-0.4104462969145779</v>
      </c>
      <c r="AG48" s="5">
        <f t="shared" si="16"/>
        <v>12313.581314088942</v>
      </c>
      <c r="AH48" s="20">
        <f>Model_30y[[#This Row],[Mortgage Payment]]+Model_30y[[#This Row],[Total Upkeep]]+Model_30y[[#This Row],[Monthly Investment]]</f>
        <v>-3138.9665669088181</v>
      </c>
      <c r="AI48" s="5">
        <f>Model_Renter!D48*-1</f>
        <v>3076.9323240277449</v>
      </c>
      <c r="AJ48" s="5">
        <f t="shared" si="14"/>
        <v>-62.034242881073169</v>
      </c>
    </row>
    <row r="49" spans="1:36" x14ac:dyDescent="0.25">
      <c r="A49" s="17">
        <f t="shared" si="7"/>
        <v>47</v>
      </c>
      <c r="B49" s="17">
        <f t="shared" si="4"/>
        <v>4</v>
      </c>
      <c r="C49" s="23">
        <f>IFERROR(PPMT(Assumptions!$E$17, A49, 180, Assumptions!$D$8), 0)</f>
        <v>-1480.9977733892722</v>
      </c>
      <c r="D49" s="38">
        <f>IFERROR(IPMT(Assumptions!$E$17,A49,180,Assumptions!$D$8), 0)</f>
        <v>-1360.6352384094248</v>
      </c>
      <c r="E49" s="2">
        <f t="shared" si="8"/>
        <v>-2841.6330117986972</v>
      </c>
      <c r="F49" s="2">
        <f>IF(I48&gt;1, Assumptions!$E$19, 0)*-1</f>
        <v>-2841.6330117986968</v>
      </c>
      <c r="G49" s="24">
        <f t="shared" si="9"/>
        <v>1</v>
      </c>
      <c r="H49" s="20">
        <f t="shared" si="15"/>
        <v>62376.333484276576</v>
      </c>
      <c r="I49" s="2">
        <f>MAX(Assumptions!$D$8-SUM(Model_15y!H49), 0)</f>
        <v>277623.66651572345</v>
      </c>
      <c r="J49" s="2">
        <f>J48*(1+(Assumptions!$E$51))</f>
        <v>514494.04382949031</v>
      </c>
      <c r="K49" s="22">
        <f t="shared" si="0"/>
        <v>236870.37731376686</v>
      </c>
      <c r="L49" s="5">
        <f t="shared" si="10"/>
        <v>147376.33348427655</v>
      </c>
      <c r="M49" s="63">
        <f>L49/Assumptions!$D$6</f>
        <v>0.34676784349241541</v>
      </c>
      <c r="N49" s="24">
        <f t="shared" si="17"/>
        <v>0</v>
      </c>
      <c r="O49" s="22">
        <f>N49*Assumptions!$E$25*-1</f>
        <v>0</v>
      </c>
      <c r="P49" s="5">
        <f>Assumptions!$E$35*J49*-1</f>
        <v>-1059.7734920980449</v>
      </c>
      <c r="Q49" s="5">
        <f>J49*Assumptions!$E$36*-1</f>
        <v>-426.79241896064713</v>
      </c>
      <c r="R49" s="5">
        <f>R37+R37*Assumptions!$D$51</f>
        <v>-376.13165625000005</v>
      </c>
      <c r="S49" s="5">
        <f>S37+(S37*Assumptions!$D$51)</f>
        <v>0</v>
      </c>
      <c r="T49" s="5">
        <f t="shared" si="5"/>
        <v>0</v>
      </c>
      <c r="U49" s="22">
        <f t="shared" si="1"/>
        <v>-1862.6975673086922</v>
      </c>
      <c r="V49" s="5">
        <f>MAX(Assumptions!$E$18:$E$19)-U49</f>
        <v>4704.330579107389</v>
      </c>
      <c r="W49" s="5">
        <f t="shared" si="2"/>
        <v>-2841.6330117986968</v>
      </c>
      <c r="X49" s="5">
        <f t="shared" si="6"/>
        <v>-1862.6975673086922</v>
      </c>
      <c r="Y49" s="5">
        <f>D49*Assumptions!$D$44*-1</f>
        <v>204.09528576141372</v>
      </c>
      <c r="Z49" s="5">
        <f t="shared" si="3"/>
        <v>204.09528576141372</v>
      </c>
      <c r="AA49" s="5">
        <f t="shared" si="12"/>
        <v>12313.581314088942</v>
      </c>
      <c r="AB49" s="3">
        <f>Assumptions!$E$45</f>
        <v>6.9899151946608562E-3</v>
      </c>
      <c r="AC49" s="5">
        <f t="shared" si="13"/>
        <v>12603.747488978399</v>
      </c>
      <c r="AD49" s="4">
        <f>AC49*Assumptions!$E$43</f>
        <v>11.287607452464208</v>
      </c>
      <c r="AE49" s="2">
        <f>AD49*Assumptions!$D$44*-1</f>
        <v>-1.6931411178696312</v>
      </c>
      <c r="AF49" s="2">
        <f>AC49*Assumptions!$E$46*-1</f>
        <v>-0.42004791307685035</v>
      </c>
      <c r="AG49" s="5">
        <f t="shared" si="16"/>
        <v>12601.634299947453</v>
      </c>
      <c r="AH49" s="20">
        <f>Model_30y[[#This Row],[Mortgage Payment]]+Model_30y[[#This Row],[Total Upkeep]]+Model_30y[[#This Row],[Monthly Investment]]</f>
        <v>-3145.3164545302448</v>
      </c>
      <c r="AI49" s="5">
        <f>Model_Renter!D49*-1</f>
        <v>3076.9323240277449</v>
      </c>
      <c r="AJ49" s="5">
        <f t="shared" si="14"/>
        <v>-68.384130502499829</v>
      </c>
    </row>
    <row r="50" spans="1:36" x14ac:dyDescent="0.25">
      <c r="A50" s="17">
        <f t="shared" si="7"/>
        <v>48</v>
      </c>
      <c r="B50" s="17">
        <f t="shared" si="4"/>
        <v>4</v>
      </c>
      <c r="C50" s="23">
        <f>IFERROR(PPMT(Assumptions!$E$17, A50, 180, Assumptions!$D$8), 0)</f>
        <v>-1488.2176375345448</v>
      </c>
      <c r="D50" s="38">
        <f>IFERROR(IPMT(Assumptions!$E$17,A50,180,Assumptions!$D$8), 0)</f>
        <v>-1353.4153742641518</v>
      </c>
      <c r="E50" s="2">
        <f t="shared" si="8"/>
        <v>-2841.6330117986963</v>
      </c>
      <c r="F50" s="2">
        <f>IF(I49&gt;1, Assumptions!$E$19, 0)*-1</f>
        <v>-2841.6330117986968</v>
      </c>
      <c r="G50" s="24">
        <f t="shared" si="9"/>
        <v>1</v>
      </c>
      <c r="H50" s="20">
        <f t="shared" si="15"/>
        <v>63864.551121811121</v>
      </c>
      <c r="I50" s="2">
        <f>MAX(Assumptions!$D$8-SUM(Model_15y!H50), 0)</f>
        <v>276135.44887818885</v>
      </c>
      <c r="J50" s="2">
        <f>J49*(1+(Assumptions!$E$51))</f>
        <v>516590.15625000146</v>
      </c>
      <c r="K50" s="22">
        <f t="shared" si="0"/>
        <v>240454.7073718126</v>
      </c>
      <c r="L50" s="5">
        <f t="shared" si="10"/>
        <v>148864.55112181109</v>
      </c>
      <c r="M50" s="63">
        <f>L50/Assumptions!$D$6</f>
        <v>0.35026953205132022</v>
      </c>
      <c r="N50" s="24">
        <f t="shared" si="17"/>
        <v>0</v>
      </c>
      <c r="O50" s="22">
        <f>N50*Assumptions!$E$25*-1</f>
        <v>0</v>
      </c>
      <c r="P50" s="5">
        <f>Assumptions!$E$35*J50*-1</f>
        <v>-1064.0911404874817</v>
      </c>
      <c r="Q50" s="5">
        <f>J50*Assumptions!$E$36*-1</f>
        <v>-428.5312241054155</v>
      </c>
      <c r="R50" s="5">
        <f>R38+R38*Assumptions!$D$51</f>
        <v>-376.13165625000005</v>
      </c>
      <c r="S50" s="5">
        <f>S38+(S38*Assumptions!$D$51)</f>
        <v>0</v>
      </c>
      <c r="T50" s="5">
        <f t="shared" si="5"/>
        <v>0</v>
      </c>
      <c r="U50" s="22">
        <f t="shared" si="1"/>
        <v>-1868.7540208428973</v>
      </c>
      <c r="V50" s="5">
        <f>MAX(Assumptions!$E$18:$E$19)-U50</f>
        <v>4710.3870326415945</v>
      </c>
      <c r="W50" s="5">
        <f t="shared" si="2"/>
        <v>-2841.6330117986968</v>
      </c>
      <c r="X50" s="5">
        <f t="shared" si="6"/>
        <v>-1868.7540208428973</v>
      </c>
      <c r="Y50" s="5">
        <f>D50*Assumptions!$D$44*-1</f>
        <v>203.01230613962275</v>
      </c>
      <c r="Z50" s="5">
        <f t="shared" si="3"/>
        <v>203.01230613962321</v>
      </c>
      <c r="AA50" s="5">
        <f t="shared" si="12"/>
        <v>12601.634299947453</v>
      </c>
      <c r="AB50" s="3">
        <f>Assumptions!$E$45</f>
        <v>6.9899151946608562E-3</v>
      </c>
      <c r="AC50" s="5">
        <f t="shared" si="13"/>
        <v>12892.730961157837</v>
      </c>
      <c r="AD50" s="4">
        <f>AC50*Assumptions!$E$43</f>
        <v>11.546413969895953</v>
      </c>
      <c r="AE50" s="2">
        <f>AD50*Assumptions!$D$44*-1</f>
        <v>-1.7319620954843928</v>
      </c>
      <c r="AF50" s="2">
        <f>AC50*Assumptions!$E$46*-1</f>
        <v>-0.42967892992392892</v>
      </c>
      <c r="AG50" s="5">
        <f t="shared" si="16"/>
        <v>12890.569320132428</v>
      </c>
      <c r="AH50" s="20">
        <f>Model_30y[[#This Row],[Mortgage Payment]]+Model_30y[[#This Row],[Total Upkeep]]+Model_30y[[#This Row],[Monthly Investment]]</f>
        <v>-3151.6926976217774</v>
      </c>
      <c r="AI50" s="5">
        <f>Model_Renter!D50*-1</f>
        <v>3076.9323240277449</v>
      </c>
      <c r="AJ50" s="5">
        <f t="shared" si="14"/>
        <v>-74.760373594032444</v>
      </c>
    </row>
    <row r="51" spans="1:36" x14ac:dyDescent="0.25">
      <c r="A51" s="17">
        <f t="shared" si="7"/>
        <v>49</v>
      </c>
      <c r="B51" s="17">
        <f t="shared" si="4"/>
        <v>5</v>
      </c>
      <c r="C51" s="23">
        <f>IFERROR(PPMT(Assumptions!$E$17, A51, 180, Assumptions!$D$8), 0)</f>
        <v>-1495.4726985175259</v>
      </c>
      <c r="D51" s="38">
        <f>IFERROR(IPMT(Assumptions!$E$17,A51,180,Assumptions!$D$8), 0)</f>
        <v>-1346.1603132811713</v>
      </c>
      <c r="E51" s="2">
        <f t="shared" si="8"/>
        <v>-2841.6330117986972</v>
      </c>
      <c r="F51" s="2">
        <f>IF(I50&gt;1, Assumptions!$E$19, 0)*-1</f>
        <v>-2841.6330117986968</v>
      </c>
      <c r="G51" s="24">
        <f t="shared" si="9"/>
        <v>1</v>
      </c>
      <c r="H51" s="20">
        <f t="shared" si="15"/>
        <v>65360.02382032865</v>
      </c>
      <c r="I51" s="2">
        <f>MAX(Assumptions!$D$8-SUM(Model_15y!H51), 0)</f>
        <v>274639.97617967136</v>
      </c>
      <c r="J51" s="2">
        <f>J50*(1+(Assumptions!$E$51))</f>
        <v>518694.80849197821</v>
      </c>
      <c r="K51" s="22">
        <f t="shared" si="0"/>
        <v>244054.83231230685</v>
      </c>
      <c r="L51" s="5">
        <f t="shared" si="10"/>
        <v>150360.02382032861</v>
      </c>
      <c r="M51" s="63">
        <f>L51/Assumptions!$D$6</f>
        <v>0.35378829134194967</v>
      </c>
      <c r="N51" s="24">
        <f t="shared" si="17"/>
        <v>0</v>
      </c>
      <c r="O51" s="22">
        <f>N51*Assumptions!$E$25*-1</f>
        <v>0</v>
      </c>
      <c r="P51" s="5">
        <f>Assumptions!$E$35*J51*-1</f>
        <v>-1068.4263795109111</v>
      </c>
      <c r="Q51" s="5">
        <f>J51*Assumptions!$E$36*-1</f>
        <v>-430.27711335757931</v>
      </c>
      <c r="R51" s="5">
        <f>R39+R39*Assumptions!$D$51</f>
        <v>-394.93823906250003</v>
      </c>
      <c r="S51" s="5">
        <f>S39+(S39*Assumptions!$D$51)</f>
        <v>0</v>
      </c>
      <c r="T51" s="5">
        <f t="shared" si="5"/>
        <v>0</v>
      </c>
      <c r="U51" s="22">
        <f t="shared" si="1"/>
        <v>-1893.6417319309905</v>
      </c>
      <c r="V51" s="5">
        <f>MAX(Assumptions!$E$18:$E$19)-U51</f>
        <v>4735.2747437296875</v>
      </c>
      <c r="W51" s="5">
        <f t="shared" si="2"/>
        <v>-2841.6330117986968</v>
      </c>
      <c r="X51" s="5">
        <f t="shared" si="6"/>
        <v>-1893.6417319309905</v>
      </c>
      <c r="Y51" s="5">
        <f>D51*Assumptions!$D$44*-1</f>
        <v>201.92404699217568</v>
      </c>
      <c r="Z51" s="5">
        <f t="shared" si="3"/>
        <v>201.9240469921759</v>
      </c>
      <c r="AA51" s="5">
        <f t="shared" si="12"/>
        <v>12890.569320132428</v>
      </c>
      <c r="AB51" s="3">
        <f>Assumptions!$E$45</f>
        <v>6.9899151946608562E-3</v>
      </c>
      <c r="AC51" s="5">
        <f t="shared" si="13"/>
        <v>13182.597353483226</v>
      </c>
      <c r="AD51" s="4">
        <f>AC51*Assumptions!$E$43</f>
        <v>11.80601120897839</v>
      </c>
      <c r="AE51" s="2">
        <f>AD51*Assumptions!$D$44*-1</f>
        <v>-1.7709016813467584</v>
      </c>
      <c r="AF51" s="2">
        <f>AC51*Assumptions!$E$46*-1</f>
        <v>-0.43933937204829465</v>
      </c>
      <c r="AG51" s="5">
        <f t="shared" si="16"/>
        <v>13180.387112429831</v>
      </c>
      <c r="AH51" s="20">
        <f>Model_30y[[#This Row],[Mortgage Payment]]+Model_30y[[#This Row],[Total Upkeep]]+Model_30y[[#This Row],[Monthly Investment]]</f>
        <v>-3176.9019890887203</v>
      </c>
      <c r="AI51" s="5">
        <f>Model_Renter!D51*-1</f>
        <v>3192.0095929463828</v>
      </c>
      <c r="AJ51" s="5">
        <f t="shared" si="14"/>
        <v>15.107603857662525</v>
      </c>
    </row>
    <row r="52" spans="1:36" x14ac:dyDescent="0.25">
      <c r="A52" s="17">
        <f t="shared" si="7"/>
        <v>50</v>
      </c>
      <c r="B52" s="17">
        <f t="shared" si="4"/>
        <v>5</v>
      </c>
      <c r="C52" s="23">
        <f>IFERROR(PPMT(Assumptions!$E$17, A52, 180, Assumptions!$D$8), 0)</f>
        <v>-1502.7631279227987</v>
      </c>
      <c r="D52" s="38">
        <f>IFERROR(IPMT(Assumptions!$E$17,A52,180,Assumptions!$D$8), 0)</f>
        <v>-1338.869883875898</v>
      </c>
      <c r="E52" s="2">
        <f t="shared" si="8"/>
        <v>-2841.6330117986968</v>
      </c>
      <c r="F52" s="2">
        <f>IF(I51&gt;1, Assumptions!$E$19, 0)*-1</f>
        <v>-2841.6330117986968</v>
      </c>
      <c r="G52" s="24">
        <f t="shared" si="9"/>
        <v>1</v>
      </c>
      <c r="H52" s="20">
        <f t="shared" si="15"/>
        <v>66862.786948251451</v>
      </c>
      <c r="I52" s="2">
        <f>MAX(Assumptions!$D$8-SUM(Model_15y!H52), 0)</f>
        <v>273137.21305174858</v>
      </c>
      <c r="J52" s="2">
        <f>J51*(1+(Assumptions!$E$51))</f>
        <v>520808.03534771031</v>
      </c>
      <c r="K52" s="22">
        <f t="shared" si="0"/>
        <v>247670.82229596173</v>
      </c>
      <c r="L52" s="5">
        <f t="shared" si="10"/>
        <v>151862.78694825142</v>
      </c>
      <c r="M52" s="63">
        <f>L52/Assumptions!$D$6</f>
        <v>0.35732420458412101</v>
      </c>
      <c r="N52" s="24">
        <f t="shared" si="17"/>
        <v>0</v>
      </c>
      <c r="O52" s="22">
        <f>N52*Assumptions!$E$25*-1</f>
        <v>0</v>
      </c>
      <c r="P52" s="5">
        <f>Assumptions!$E$35*J52*-1</f>
        <v>-1072.779280834754</v>
      </c>
      <c r="Q52" s="5">
        <f>J52*Assumptions!$E$36*-1</f>
        <v>-432.03011557866898</v>
      </c>
      <c r="R52" s="5">
        <f>R40+R40*Assumptions!$D$51</f>
        <v>-394.93823906250003</v>
      </c>
      <c r="S52" s="5">
        <f>S40+(S40*Assumptions!$D$51)</f>
        <v>0</v>
      </c>
      <c r="T52" s="5">
        <f t="shared" si="5"/>
        <v>0</v>
      </c>
      <c r="U52" s="22">
        <f t="shared" si="1"/>
        <v>-1899.7476354759231</v>
      </c>
      <c r="V52" s="5">
        <f>MAX(Assumptions!$E$18:$E$19)-U52</f>
        <v>4741.3806472746201</v>
      </c>
      <c r="W52" s="5">
        <f t="shared" si="2"/>
        <v>-2841.6330117986968</v>
      </c>
      <c r="X52" s="5">
        <f t="shared" si="6"/>
        <v>-1899.7476354759231</v>
      </c>
      <c r="Y52" s="5">
        <f>D52*Assumptions!$D$44*-1</f>
        <v>200.8304825813847</v>
      </c>
      <c r="Z52" s="5">
        <f t="shared" si="3"/>
        <v>200.83048258138493</v>
      </c>
      <c r="AA52" s="5">
        <f t="shared" si="12"/>
        <v>13180.387112429831</v>
      </c>
      <c r="AB52" s="3">
        <f>Assumptions!$E$45</f>
        <v>6.9899151946608562E-3</v>
      </c>
      <c r="AC52" s="5">
        <f t="shared" si="13"/>
        <v>13473.347383159902</v>
      </c>
      <c r="AD52" s="4">
        <f>AC52*Assumptions!$E$43</f>
        <v>12.066399812023043</v>
      </c>
      <c r="AE52" s="2">
        <f>AD52*Assumptions!$D$44*-1</f>
        <v>-1.8099599718034565</v>
      </c>
      <c r="AF52" s="2">
        <f>AC52*Assumptions!$E$46*-1</f>
        <v>-0.44902926335241017</v>
      </c>
      <c r="AG52" s="5">
        <f t="shared" si="16"/>
        <v>13471.088393924747</v>
      </c>
      <c r="AH52" s="20">
        <f>Model_30y[[#This Row],[Mortgage Payment]]+Model_30y[[#This Row],[Total Upkeep]]+Model_30y[[#This Row],[Monthly Investment]]</f>
        <v>-3183.3312738626237</v>
      </c>
      <c r="AI52" s="5">
        <f>Model_Renter!D52*-1</f>
        <v>3192.0095929463828</v>
      </c>
      <c r="AJ52" s="5">
        <f t="shared" si="14"/>
        <v>8.6783190837591064</v>
      </c>
    </row>
    <row r="53" spans="1:36" x14ac:dyDescent="0.25">
      <c r="A53" s="17">
        <f t="shared" si="7"/>
        <v>51</v>
      </c>
      <c r="B53" s="17">
        <f t="shared" si="4"/>
        <v>5</v>
      </c>
      <c r="C53" s="23">
        <f>IFERROR(PPMT(Assumptions!$E$17, A53, 180, Assumptions!$D$8), 0)</f>
        <v>-1510.0890981714226</v>
      </c>
      <c r="D53" s="38">
        <f>IFERROR(IPMT(Assumptions!$E$17,A53,180,Assumptions!$D$8), 0)</f>
        <v>-1331.5439136272744</v>
      </c>
      <c r="E53" s="2">
        <f t="shared" si="8"/>
        <v>-2841.6330117986972</v>
      </c>
      <c r="F53" s="2">
        <f>IF(I52&gt;1, Assumptions!$E$19, 0)*-1</f>
        <v>-2841.6330117986968</v>
      </c>
      <c r="G53" s="24">
        <f t="shared" si="9"/>
        <v>1</v>
      </c>
      <c r="H53" s="20">
        <f t="shared" si="15"/>
        <v>68372.876046422869</v>
      </c>
      <c r="I53" s="2">
        <f>MAX(Assumptions!$D$8-SUM(Model_15y!H53), 0)</f>
        <v>271627.12395357713</v>
      </c>
      <c r="J53" s="2">
        <f>J52*(1+(Assumptions!$E$51))</f>
        <v>522929.87175123557</v>
      </c>
      <c r="K53" s="22">
        <f t="shared" si="0"/>
        <v>251302.74779765843</v>
      </c>
      <c r="L53" s="5">
        <f t="shared" si="10"/>
        <v>153372.87604642284</v>
      </c>
      <c r="M53" s="63">
        <f>L53/Assumptions!$D$6</f>
        <v>0.36087735540334787</v>
      </c>
      <c r="N53" s="24">
        <f t="shared" si="17"/>
        <v>0</v>
      </c>
      <c r="O53" s="22">
        <f>N53*Assumptions!$E$25*-1</f>
        <v>0</v>
      </c>
      <c r="P53" s="5">
        <f>Assumptions!$E$35*J53*-1</f>
        <v>-1077.1499164174079</v>
      </c>
      <c r="Q53" s="5">
        <f>J53*Assumptions!$E$36*-1</f>
        <v>-433.79025974780041</v>
      </c>
      <c r="R53" s="5">
        <f>R41+R41*Assumptions!$D$51</f>
        <v>-394.93823906250003</v>
      </c>
      <c r="S53" s="5">
        <f>S41+(S41*Assumptions!$D$51)</f>
        <v>0</v>
      </c>
      <c r="T53" s="5">
        <f t="shared" si="5"/>
        <v>0</v>
      </c>
      <c r="U53" s="22">
        <f t="shared" si="1"/>
        <v>-1905.8784152277085</v>
      </c>
      <c r="V53" s="5">
        <f>MAX(Assumptions!$E$18:$E$19)-U53</f>
        <v>4747.5114270264057</v>
      </c>
      <c r="W53" s="5">
        <f t="shared" si="2"/>
        <v>-2841.6330117986968</v>
      </c>
      <c r="X53" s="5">
        <f t="shared" si="6"/>
        <v>-1905.8784152277085</v>
      </c>
      <c r="Y53" s="5">
        <f>D53*Assumptions!$D$44*-1</f>
        <v>199.73158704409116</v>
      </c>
      <c r="Z53" s="5">
        <f t="shared" si="3"/>
        <v>199.73158704409161</v>
      </c>
      <c r="AA53" s="5">
        <f t="shared" si="12"/>
        <v>13471.088393924747</v>
      </c>
      <c r="AB53" s="3">
        <f>Assumptions!$E$45</f>
        <v>6.9899151946608562E-3</v>
      </c>
      <c r="AC53" s="5">
        <f t="shared" si="13"/>
        <v>13764.981746422152</v>
      </c>
      <c r="AD53" s="4">
        <f>AC53*Assumptions!$E$43</f>
        <v>12.327580402560283</v>
      </c>
      <c r="AE53" s="2">
        <f>AD53*Assumptions!$D$44*-1</f>
        <v>-1.8491370603840425</v>
      </c>
      <c r="AF53" s="2">
        <f>AC53*Assumptions!$E$46*-1</f>
        <v>-0.45874862703983149</v>
      </c>
      <c r="AG53" s="5">
        <f t="shared" si="16"/>
        <v>13762.673860734729</v>
      </c>
      <c r="AH53" s="20">
        <f>Model_30y[[#This Row],[Mortgage Payment]]+Model_30y[[#This Row],[Total Upkeep]]+Model_30y[[#This Row],[Monthly Investment]]</f>
        <v>-3189.7872457782619</v>
      </c>
      <c r="AI53" s="5">
        <f>Model_Renter!D53*-1</f>
        <v>3192.0095929463828</v>
      </c>
      <c r="AJ53" s="5">
        <f t="shared" si="14"/>
        <v>2.2223471681209048</v>
      </c>
    </row>
    <row r="54" spans="1:36" x14ac:dyDescent="0.25">
      <c r="A54" s="17">
        <f t="shared" si="7"/>
        <v>52</v>
      </c>
      <c r="B54" s="17">
        <f t="shared" si="4"/>
        <v>5</v>
      </c>
      <c r="C54" s="23">
        <f>IFERROR(PPMT(Assumptions!$E$17, A54, 180, Assumptions!$D$8), 0)</f>
        <v>-1517.450782525008</v>
      </c>
      <c r="D54" s="38">
        <f>IFERROR(IPMT(Assumptions!$E$17,A54,180,Assumptions!$D$8), 0)</f>
        <v>-1324.1822292736888</v>
      </c>
      <c r="E54" s="2">
        <f t="shared" si="8"/>
        <v>-2841.6330117986968</v>
      </c>
      <c r="F54" s="2">
        <f>IF(I53&gt;1, Assumptions!$E$19, 0)*-1</f>
        <v>-2841.6330117986968</v>
      </c>
      <c r="G54" s="24">
        <f t="shared" si="9"/>
        <v>1</v>
      </c>
      <c r="H54" s="20">
        <f t="shared" si="15"/>
        <v>69890.326828947873</v>
      </c>
      <c r="I54" s="2">
        <f>MAX(Assumptions!$D$8-SUM(Model_15y!H54), 0)</f>
        <v>270109.67317105213</v>
      </c>
      <c r="J54" s="2">
        <f>J53*(1+(Assumptions!$E$51))</f>
        <v>525060.35277891741</v>
      </c>
      <c r="K54" s="22">
        <f t="shared" si="0"/>
        <v>254950.67960786528</v>
      </c>
      <c r="L54" s="5">
        <f t="shared" si="10"/>
        <v>154890.32682894784</v>
      </c>
      <c r="M54" s="63">
        <f>L54/Assumptions!$D$6</f>
        <v>0.36444782783281848</v>
      </c>
      <c r="N54" s="24">
        <f t="shared" si="17"/>
        <v>0</v>
      </c>
      <c r="O54" s="22">
        <f>N54*Assumptions!$E$25*-1</f>
        <v>0</v>
      </c>
      <c r="P54" s="5">
        <f>Assumptions!$E$35*J54*-1</f>
        <v>-1081.5383585104389</v>
      </c>
      <c r="Q54" s="5">
        <f>J54*Assumptions!$E$36*-1</f>
        <v>-435.55757496215386</v>
      </c>
      <c r="R54" s="5">
        <f>R42+R42*Assumptions!$D$51</f>
        <v>-394.93823906250003</v>
      </c>
      <c r="S54" s="5">
        <f>S42+(S42*Assumptions!$D$51)</f>
        <v>0</v>
      </c>
      <c r="T54" s="5">
        <f t="shared" si="5"/>
        <v>0</v>
      </c>
      <c r="U54" s="22">
        <f t="shared" si="1"/>
        <v>-1912.0341725350929</v>
      </c>
      <c r="V54" s="5">
        <f>MAX(Assumptions!$E$18:$E$19)-U54</f>
        <v>4753.6671843337899</v>
      </c>
      <c r="W54" s="5">
        <f t="shared" si="2"/>
        <v>-2841.6330117986968</v>
      </c>
      <c r="X54" s="5">
        <f t="shared" si="6"/>
        <v>-1912.0341725350929</v>
      </c>
      <c r="Y54" s="5">
        <f>D54*Assumptions!$D$44*-1</f>
        <v>198.62733439105332</v>
      </c>
      <c r="Z54" s="5">
        <f t="shared" si="3"/>
        <v>198.62733439105355</v>
      </c>
      <c r="AA54" s="5">
        <f t="shared" si="12"/>
        <v>13762.673860734729</v>
      </c>
      <c r="AB54" s="3">
        <f>Assumptions!$E$45</f>
        <v>6.9899151946608562E-3</v>
      </c>
      <c r="AC54" s="5">
        <f t="shared" si="13"/>
        <v>14057.501118264094</v>
      </c>
      <c r="AD54" s="4">
        <f>AC54*Assumptions!$E$43</f>
        <v>12.589553585098303</v>
      </c>
      <c r="AE54" s="2">
        <f>AD54*Assumptions!$D$44*-1</f>
        <v>-1.8884330377647454</v>
      </c>
      <c r="AF54" s="2">
        <f>AC54*Assumptions!$E$46*-1</f>
        <v>-0.46849748560623855</v>
      </c>
      <c r="AG54" s="5">
        <f t="shared" si="16"/>
        <v>14055.144187740723</v>
      </c>
      <c r="AH54" s="20">
        <f>Model_30y[[#This Row],[Mortgage Payment]]+Model_30y[[#This Row],[Total Upkeep]]+Model_30y[[#This Row],[Monthly Investment]]</f>
        <v>-3196.2700163256168</v>
      </c>
      <c r="AI54" s="5">
        <f>Model_Renter!D54*-1</f>
        <v>3192.0095929463828</v>
      </c>
      <c r="AJ54" s="5">
        <f t="shared" si="14"/>
        <v>-4.2604233792339983</v>
      </c>
    </row>
    <row r="55" spans="1:36" x14ac:dyDescent="0.25">
      <c r="A55" s="17">
        <f t="shared" si="7"/>
        <v>53</v>
      </c>
      <c r="B55" s="17">
        <f t="shared" si="4"/>
        <v>5</v>
      </c>
      <c r="C55" s="23">
        <f>IFERROR(PPMT(Assumptions!$E$17, A55, 180, Assumptions!$D$8), 0)</f>
        <v>-1524.8483550898177</v>
      </c>
      <c r="D55" s="38">
        <f>IFERROR(IPMT(Assumptions!$E$17,A55,180,Assumptions!$D$8), 0)</f>
        <v>-1316.7846567088793</v>
      </c>
      <c r="E55" s="2">
        <f t="shared" si="8"/>
        <v>-2841.6330117986972</v>
      </c>
      <c r="F55" s="2">
        <f>IF(I54&gt;1, Assumptions!$E$19, 0)*-1</f>
        <v>-2841.6330117986968</v>
      </c>
      <c r="G55" s="24">
        <f t="shared" si="9"/>
        <v>1</v>
      </c>
      <c r="H55" s="20">
        <f t="shared" si="15"/>
        <v>71415.175184037696</v>
      </c>
      <c r="I55" s="2">
        <f>MAX(Assumptions!$D$8-SUM(Model_15y!H55), 0)</f>
        <v>268584.82481596229</v>
      </c>
      <c r="J55" s="2">
        <f>J54*(1+(Assumptions!$E$51))</f>
        <v>527199.51365002478</v>
      </c>
      <c r="K55" s="22">
        <f t="shared" si="0"/>
        <v>258614.68883406249</v>
      </c>
      <c r="L55" s="5">
        <f t="shared" si="10"/>
        <v>156415.17518403765</v>
      </c>
      <c r="M55" s="63">
        <f>L55/Assumptions!$D$6</f>
        <v>0.36803570631538274</v>
      </c>
      <c r="N55" s="24">
        <f t="shared" si="17"/>
        <v>0</v>
      </c>
      <c r="O55" s="22">
        <f>N55*Assumptions!$E$25*-1</f>
        <v>0</v>
      </c>
      <c r="P55" s="5">
        <f>Assumptions!$E$35*J55*-1</f>
        <v>-1085.9446796597742</v>
      </c>
      <c r="Q55" s="5">
        <f>J55*Assumptions!$E$36*-1</f>
        <v>-437.33209043745535</v>
      </c>
      <c r="R55" s="5">
        <f>R43+R43*Assumptions!$D$51</f>
        <v>-394.93823906250003</v>
      </c>
      <c r="S55" s="5">
        <f>S43+(S43*Assumptions!$D$51)</f>
        <v>0</v>
      </c>
      <c r="T55" s="5">
        <f t="shared" si="5"/>
        <v>0</v>
      </c>
      <c r="U55" s="22">
        <f t="shared" si="1"/>
        <v>-1918.2150091597296</v>
      </c>
      <c r="V55" s="5">
        <f>MAX(Assumptions!$E$18:$E$19)-U55</f>
        <v>4759.8480209584268</v>
      </c>
      <c r="W55" s="5">
        <f t="shared" si="2"/>
        <v>-2841.6330117986968</v>
      </c>
      <c r="X55" s="5">
        <f t="shared" si="6"/>
        <v>-1918.2150091597296</v>
      </c>
      <c r="Y55" s="5">
        <f>D55*Assumptions!$D$44*-1</f>
        <v>197.5176985063319</v>
      </c>
      <c r="Z55" s="5">
        <f t="shared" si="3"/>
        <v>197.51769850633235</v>
      </c>
      <c r="AA55" s="5">
        <f t="shared" si="12"/>
        <v>14055.144187740723</v>
      </c>
      <c r="AB55" s="3">
        <f>Assumptions!$E$45</f>
        <v>6.9899151946608562E-3</v>
      </c>
      <c r="AC55" s="5">
        <f t="shared" si="13"/>
        <v>14350.906152168092</v>
      </c>
      <c r="AD55" s="4">
        <f>AC55*Assumptions!$E$43</f>
        <v>12.852319944879898</v>
      </c>
      <c r="AE55" s="2">
        <f>AD55*Assumptions!$D$44*-1</f>
        <v>-1.9278479917319846</v>
      </c>
      <c r="AF55" s="2">
        <f>AC55*Assumptions!$E$46*-1</f>
        <v>-0.47827586083038442</v>
      </c>
      <c r="AG55" s="5">
        <f t="shared" si="16"/>
        <v>14348.50002831553</v>
      </c>
      <c r="AH55" s="20">
        <f>Model_30y[[#This Row],[Mortgage Payment]]+Model_30y[[#This Row],[Total Upkeep]]+Model_30y[[#This Row],[Monthly Investment]]</f>
        <v>-3202.7796974643679</v>
      </c>
      <c r="AI55" s="5">
        <f>Model_Renter!D55*-1</f>
        <v>3192.0095929463828</v>
      </c>
      <c r="AJ55" s="5">
        <f t="shared" si="14"/>
        <v>-10.770104517985146</v>
      </c>
    </row>
    <row r="56" spans="1:36" x14ac:dyDescent="0.25">
      <c r="A56" s="17">
        <f t="shared" si="7"/>
        <v>54</v>
      </c>
      <c r="B56" s="17">
        <f t="shared" si="4"/>
        <v>5</v>
      </c>
      <c r="C56" s="23">
        <f>IFERROR(PPMT(Assumptions!$E$17, A56, 180, Assumptions!$D$8), 0)</f>
        <v>-1532.2819908208803</v>
      </c>
      <c r="D56" s="38">
        <f>IFERROR(IPMT(Assumptions!$E$17,A56,180,Assumptions!$D$8), 0)</f>
        <v>-1309.3510209778167</v>
      </c>
      <c r="E56" s="2">
        <f t="shared" si="8"/>
        <v>-2841.6330117986972</v>
      </c>
      <c r="F56" s="2">
        <f>IF(I55&gt;1, Assumptions!$E$19, 0)*-1</f>
        <v>-2841.6330117986968</v>
      </c>
      <c r="G56" s="24">
        <f t="shared" si="9"/>
        <v>1</v>
      </c>
      <c r="H56" s="20">
        <f t="shared" si="15"/>
        <v>72947.457174858573</v>
      </c>
      <c r="I56" s="2">
        <f>MAX(Assumptions!$D$8-SUM(Model_15y!H56), 0)</f>
        <v>267052.54282514146</v>
      </c>
      <c r="J56" s="2">
        <f>J55*(1+(Assumptions!$E$51))</f>
        <v>529347.38972731424</v>
      </c>
      <c r="K56" s="22">
        <f t="shared" si="0"/>
        <v>262294.84690217278</v>
      </c>
      <c r="L56" s="5">
        <f t="shared" si="10"/>
        <v>157947.45717485854</v>
      </c>
      <c r="M56" s="63">
        <f>L56/Assumptions!$D$6</f>
        <v>0.3716410757055495</v>
      </c>
      <c r="N56" s="24">
        <f t="shared" si="17"/>
        <v>0</v>
      </c>
      <c r="O56" s="22">
        <f>N56*Assumptions!$E$25*-1</f>
        <v>0</v>
      </c>
      <c r="P56" s="5">
        <f>Assumptions!$E$35*J56*-1</f>
        <v>-1090.3689527069025</v>
      </c>
      <c r="Q56" s="5">
        <f>J56*Assumptions!$E$36*-1</f>
        <v>-439.11383550845926</v>
      </c>
      <c r="R56" s="5">
        <f>R44+R44*Assumptions!$D$51</f>
        <v>-394.93823906250003</v>
      </c>
      <c r="S56" s="5">
        <f>S44+(S44*Assumptions!$D$51)</f>
        <v>0</v>
      </c>
      <c r="T56" s="5">
        <f t="shared" si="5"/>
        <v>0</v>
      </c>
      <c r="U56" s="22">
        <f t="shared" si="1"/>
        <v>-1924.4210272778619</v>
      </c>
      <c r="V56" s="5">
        <f>MAX(Assumptions!$E$18:$E$19)-U56</f>
        <v>4766.0540390765582</v>
      </c>
      <c r="W56" s="5">
        <f t="shared" si="2"/>
        <v>-2841.6330117986968</v>
      </c>
      <c r="X56" s="5">
        <f t="shared" si="6"/>
        <v>-1924.4210272778619</v>
      </c>
      <c r="Y56" s="5">
        <f>D56*Assumptions!$D$44*-1</f>
        <v>196.40265314667249</v>
      </c>
      <c r="Z56" s="5">
        <f t="shared" si="3"/>
        <v>196.40265314667204</v>
      </c>
      <c r="AA56" s="5">
        <f t="shared" si="12"/>
        <v>14348.50002831553</v>
      </c>
      <c r="AB56" s="3">
        <f>Assumptions!$E$45</f>
        <v>6.9899151946608562E-3</v>
      </c>
      <c r="AC56" s="5">
        <f t="shared" si="13"/>
        <v>14645.197479830716</v>
      </c>
      <c r="AD56" s="4">
        <f>AC56*Assumptions!$E$43</f>
        <v>13.11588004763704</v>
      </c>
      <c r="AE56" s="2">
        <f>AD56*Assumptions!$D$44*-1</f>
        <v>-1.9673820071455559</v>
      </c>
      <c r="AF56" s="2">
        <f>AC56*Assumptions!$E$46*-1</f>
        <v>-0.48808377376496204</v>
      </c>
      <c r="AG56" s="5">
        <f t="shared" si="16"/>
        <v>14642.742014049805</v>
      </c>
      <c r="AH56" s="20">
        <f>Model_30y[[#This Row],[Mortgage Payment]]+Model_30y[[#This Row],[Total Upkeep]]+Model_30y[[#This Row],[Monthly Investment]]</f>
        <v>-3209.3164016258938</v>
      </c>
      <c r="AI56" s="5">
        <f>Model_Renter!D56*-1</f>
        <v>3192.0095929463828</v>
      </c>
      <c r="AJ56" s="5">
        <f t="shared" si="14"/>
        <v>-17.30680867951105</v>
      </c>
    </row>
    <row r="57" spans="1:36" x14ac:dyDescent="0.25">
      <c r="A57" s="17">
        <f t="shared" si="7"/>
        <v>55</v>
      </c>
      <c r="B57" s="17">
        <f t="shared" si="4"/>
        <v>5</v>
      </c>
      <c r="C57" s="23">
        <f>IFERROR(PPMT(Assumptions!$E$17, A57, 180, Assumptions!$D$8), 0)</f>
        <v>-1539.751865526132</v>
      </c>
      <c r="D57" s="38">
        <f>IFERROR(IPMT(Assumptions!$E$17,A57,180,Assumptions!$D$8), 0)</f>
        <v>-1301.8811462725646</v>
      </c>
      <c r="E57" s="2">
        <f t="shared" si="8"/>
        <v>-2841.6330117986963</v>
      </c>
      <c r="F57" s="2">
        <f>IF(I56&gt;1, Assumptions!$E$19, 0)*-1</f>
        <v>-2841.6330117986968</v>
      </c>
      <c r="G57" s="24">
        <f t="shared" si="9"/>
        <v>1</v>
      </c>
      <c r="H57" s="20">
        <f t="shared" si="15"/>
        <v>74487.209040384711</v>
      </c>
      <c r="I57" s="2">
        <f>MAX(Assumptions!$D$8-SUM(Model_15y!H57), 0)</f>
        <v>265512.79095961526</v>
      </c>
      <c r="J57" s="2">
        <f>J56*(1+(Assumptions!$E$51))</f>
        <v>531504.01651761448</v>
      </c>
      <c r="K57" s="22">
        <f t="shared" si="0"/>
        <v>265991.22555799922</v>
      </c>
      <c r="L57" s="5">
        <f t="shared" si="10"/>
        <v>159487.20904038468</v>
      </c>
      <c r="M57" s="63">
        <f>L57/Assumptions!$D$6</f>
        <v>0.37526402127149339</v>
      </c>
      <c r="N57" s="24">
        <f t="shared" si="17"/>
        <v>0</v>
      </c>
      <c r="O57" s="22">
        <f>N57*Assumptions!$E$25*-1</f>
        <v>0</v>
      </c>
      <c r="P57" s="5">
        <f>Assumptions!$E$35*J57*-1</f>
        <v>-1094.8112507900776</v>
      </c>
      <c r="Q57" s="5">
        <f>J57*Assumptions!$E$36*-1</f>
        <v>-440.90283962943334</v>
      </c>
      <c r="R57" s="5">
        <f>R45+R45*Assumptions!$D$51</f>
        <v>-394.93823906250003</v>
      </c>
      <c r="S57" s="5">
        <f>S45+(S45*Assumptions!$D$51)</f>
        <v>0</v>
      </c>
      <c r="T57" s="5">
        <f t="shared" si="5"/>
        <v>0</v>
      </c>
      <c r="U57" s="22">
        <f t="shared" si="1"/>
        <v>-1930.6523294820111</v>
      </c>
      <c r="V57" s="5">
        <f>MAX(Assumptions!$E$18:$E$19)-U57</f>
        <v>4772.2853412807081</v>
      </c>
      <c r="W57" s="5">
        <f t="shared" si="2"/>
        <v>-2841.6330117986968</v>
      </c>
      <c r="X57" s="5">
        <f t="shared" si="6"/>
        <v>-1930.6523294820111</v>
      </c>
      <c r="Y57" s="5">
        <f>D57*Assumptions!$D$44*-1</f>
        <v>195.28217194088469</v>
      </c>
      <c r="Z57" s="5">
        <f t="shared" si="3"/>
        <v>195.28217194088492</v>
      </c>
      <c r="AA57" s="5">
        <f t="shared" si="12"/>
        <v>14642.742014049805</v>
      </c>
      <c r="AB57" s="3">
        <f>Assumptions!$E$45</f>
        <v>6.9899151946608562E-3</v>
      </c>
      <c r="AC57" s="5">
        <f t="shared" si="13"/>
        <v>14940.375710886197</v>
      </c>
      <c r="AD57" s="4">
        <f>AC57*Assumptions!$E$43</f>
        <v>13.38023443934321</v>
      </c>
      <c r="AE57" s="2">
        <f>AD57*Assumptions!$D$44*-1</f>
        <v>-2.0070351659014816</v>
      </c>
      <c r="AF57" s="2">
        <f>AC57*Assumptions!$E$46*-1</f>
        <v>-0.49792124472738775</v>
      </c>
      <c r="AG57" s="5">
        <f t="shared" si="16"/>
        <v>14937.870754475569</v>
      </c>
      <c r="AH57" s="20">
        <f>Model_30y[[#This Row],[Mortgage Payment]]+Model_30y[[#This Row],[Total Upkeep]]+Model_30y[[#This Row],[Monthly Investment]]</f>
        <v>-3215.8802417152792</v>
      </c>
      <c r="AI57" s="5">
        <f>Model_Renter!D57*-1</f>
        <v>3192.0095929463828</v>
      </c>
      <c r="AJ57" s="5">
        <f t="shared" si="14"/>
        <v>-23.870648768896444</v>
      </c>
    </row>
    <row r="58" spans="1:36" x14ac:dyDescent="0.25">
      <c r="A58" s="17">
        <f t="shared" si="7"/>
        <v>56</v>
      </c>
      <c r="B58" s="17">
        <f t="shared" si="4"/>
        <v>5</v>
      </c>
      <c r="C58" s="23">
        <f>IFERROR(PPMT(Assumptions!$E$17, A58, 180, Assumptions!$D$8), 0)</f>
        <v>-1547.2581558705722</v>
      </c>
      <c r="D58" s="38">
        <f>IFERROR(IPMT(Assumptions!$E$17,A58,180,Assumptions!$D$8), 0)</f>
        <v>-1294.374855928125</v>
      </c>
      <c r="E58" s="2">
        <f t="shared" si="8"/>
        <v>-2841.6330117986972</v>
      </c>
      <c r="F58" s="2">
        <f>IF(I57&gt;1, Assumptions!$E$19, 0)*-1</f>
        <v>-2841.6330117986968</v>
      </c>
      <c r="G58" s="24">
        <f t="shared" si="9"/>
        <v>1</v>
      </c>
      <c r="H58" s="20">
        <f t="shared" si="15"/>
        <v>76034.467196255282</v>
      </c>
      <c r="I58" s="2">
        <f>MAX(Assumptions!$D$8-SUM(Model_15y!H58), 0)</f>
        <v>263965.53280374472</v>
      </c>
      <c r="J58" s="2">
        <f>J57*(1+(Assumptions!$E$51))</f>
        <v>533669.42967241351</v>
      </c>
      <c r="K58" s="22">
        <f t="shared" si="0"/>
        <v>269703.89686866879</v>
      </c>
      <c r="L58" s="5">
        <f t="shared" si="10"/>
        <v>161034.46719625525</v>
      </c>
      <c r="M58" s="63">
        <f>L58/Assumptions!$D$6</f>
        <v>0.3789046286970712</v>
      </c>
      <c r="N58" s="24">
        <f t="shared" si="17"/>
        <v>0</v>
      </c>
      <c r="O58" s="22">
        <f>N58*Assumptions!$E$25*-1</f>
        <v>0</v>
      </c>
      <c r="P58" s="5">
        <f>Assumptions!$E$35*J58*-1</f>
        <v>-1099.2716473455271</v>
      </c>
      <c r="Q58" s="5">
        <f>J58*Assumptions!$E$36*-1</f>
        <v>-442.69913237464573</v>
      </c>
      <c r="R58" s="5">
        <f>R46+R46*Assumptions!$D$51</f>
        <v>-394.93823906250003</v>
      </c>
      <c r="S58" s="5">
        <f>S46+(S46*Assumptions!$D$51)</f>
        <v>0</v>
      </c>
      <c r="T58" s="5">
        <f t="shared" si="5"/>
        <v>0</v>
      </c>
      <c r="U58" s="22">
        <f t="shared" si="1"/>
        <v>-1936.9090187826728</v>
      </c>
      <c r="V58" s="5">
        <f>MAX(Assumptions!$E$18:$E$19)-U58</f>
        <v>4778.5420305813695</v>
      </c>
      <c r="W58" s="5">
        <f t="shared" si="2"/>
        <v>-2841.6330117986968</v>
      </c>
      <c r="X58" s="5">
        <f t="shared" si="6"/>
        <v>-1936.9090187826728</v>
      </c>
      <c r="Y58" s="5">
        <f>D58*Assumptions!$D$44*-1</f>
        <v>194.15622838921874</v>
      </c>
      <c r="Z58" s="5">
        <f t="shared" si="3"/>
        <v>194.15622838921874</v>
      </c>
      <c r="AA58" s="5">
        <f t="shared" si="12"/>
        <v>14937.870754475569</v>
      </c>
      <c r="AB58" s="3">
        <f>Assumptions!$E$45</f>
        <v>6.9899151946608562E-3</v>
      </c>
      <c r="AC58" s="5">
        <f t="shared" si="13"/>
        <v>15236.441432627376</v>
      </c>
      <c r="AD58" s="4">
        <f>AC58*Assumptions!$E$43</f>
        <v>13.645383645963486</v>
      </c>
      <c r="AE58" s="2">
        <f>AD58*Assumptions!$D$44*-1</f>
        <v>-2.0468075468945228</v>
      </c>
      <c r="AF58" s="2">
        <f>AC58*Assumptions!$E$46*-1</f>
        <v>-0.50778829329050157</v>
      </c>
      <c r="AG58" s="5">
        <f t="shared" si="16"/>
        <v>15233.886836787191</v>
      </c>
      <c r="AH58" s="20">
        <f>Model_30y[[#This Row],[Mortgage Payment]]+Model_30y[[#This Row],[Total Upkeep]]+Model_30y[[#This Row],[Monthly Investment]]</f>
        <v>-3222.4713311133351</v>
      </c>
      <c r="AI58" s="5">
        <f>Model_Renter!D58*-1</f>
        <v>3192.0095929463828</v>
      </c>
      <c r="AJ58" s="5">
        <f t="shared" si="14"/>
        <v>-30.461738166952273</v>
      </c>
    </row>
    <row r="59" spans="1:36" x14ac:dyDescent="0.25">
      <c r="A59" s="17">
        <f t="shared" si="7"/>
        <v>57</v>
      </c>
      <c r="B59" s="17">
        <f t="shared" si="4"/>
        <v>5</v>
      </c>
      <c r="C59" s="23">
        <f>IFERROR(PPMT(Assumptions!$E$17, A59, 180, Assumptions!$D$8), 0)</f>
        <v>-1554.8010393804411</v>
      </c>
      <c r="D59" s="38">
        <f>IFERROR(IPMT(Assumptions!$E$17,A59,180,Assumptions!$D$8), 0)</f>
        <v>-1286.8319724182559</v>
      </c>
      <c r="E59" s="2">
        <f t="shared" si="8"/>
        <v>-2841.6330117986972</v>
      </c>
      <c r="F59" s="2">
        <f>IF(I58&gt;1, Assumptions!$E$19, 0)*-1</f>
        <v>-2841.6330117986968</v>
      </c>
      <c r="G59" s="24">
        <f t="shared" si="9"/>
        <v>1</v>
      </c>
      <c r="H59" s="20">
        <f t="shared" si="15"/>
        <v>77589.268235635725</v>
      </c>
      <c r="I59" s="2">
        <f>MAX(Assumptions!$D$8-SUM(Model_15y!H59), 0)</f>
        <v>262410.73176436429</v>
      </c>
      <c r="J59" s="2">
        <f>J58*(1+(Assumptions!$E$51))</f>
        <v>535843.66498844791</v>
      </c>
      <c r="K59" s="22">
        <f t="shared" si="0"/>
        <v>273432.93322408362</v>
      </c>
      <c r="L59" s="5">
        <f t="shared" si="10"/>
        <v>162589.26823563568</v>
      </c>
      <c r="M59" s="63">
        <f>L59/Assumptions!$D$6</f>
        <v>0.38256298408384865</v>
      </c>
      <c r="N59" s="24">
        <f t="shared" si="17"/>
        <v>0</v>
      </c>
      <c r="O59" s="22">
        <f>N59*Assumptions!$E$25*-1</f>
        <v>0</v>
      </c>
      <c r="P59" s="5">
        <f>Assumptions!$E$35*J59*-1</f>
        <v>-1103.7502161086677</v>
      </c>
      <c r="Q59" s="5">
        <f>J59*Assumptions!$E$36*-1</f>
        <v>-444.50274343885371</v>
      </c>
      <c r="R59" s="5">
        <f>R47+R47*Assumptions!$D$51</f>
        <v>-394.93823906250003</v>
      </c>
      <c r="S59" s="5">
        <f>S47+(S47*Assumptions!$D$51)</f>
        <v>0</v>
      </c>
      <c r="T59" s="5">
        <f t="shared" si="5"/>
        <v>0</v>
      </c>
      <c r="U59" s="22">
        <f t="shared" si="1"/>
        <v>-1943.1911986100215</v>
      </c>
      <c r="V59" s="5">
        <f>MAX(Assumptions!$E$18:$E$19)-U59</f>
        <v>4784.8242104087185</v>
      </c>
      <c r="W59" s="5">
        <f t="shared" si="2"/>
        <v>-2841.6330117986968</v>
      </c>
      <c r="X59" s="5">
        <f t="shared" si="6"/>
        <v>-1943.1911986100215</v>
      </c>
      <c r="Y59" s="5">
        <f>D59*Assumptions!$D$44*-1</f>
        <v>193.02479586273839</v>
      </c>
      <c r="Z59" s="5">
        <f t="shared" si="3"/>
        <v>193.02479586273861</v>
      </c>
      <c r="AA59" s="5">
        <f t="shared" si="12"/>
        <v>15233.886836787191</v>
      </c>
      <c r="AB59" s="3">
        <f>Assumptions!$E$45</f>
        <v>6.9899151946608562E-3</v>
      </c>
      <c r="AC59" s="5">
        <f t="shared" si="13"/>
        <v>15533.395209724133</v>
      </c>
      <c r="AD59" s="4">
        <f>AC59*Assumptions!$E$43</f>
        <v>13.91132817320238</v>
      </c>
      <c r="AE59" s="2">
        <f>AD59*Assumptions!$D$44*-1</f>
        <v>-2.086699225980357</v>
      </c>
      <c r="AF59" s="2">
        <f>AC59*Assumptions!$E$46*-1</f>
        <v>-0.51768493827318296</v>
      </c>
      <c r="AG59" s="5">
        <f t="shared" si="16"/>
        <v>15530.79082555988</v>
      </c>
      <c r="AH59" s="20">
        <f>Model_30y[[#This Row],[Mortgage Payment]]+Model_30y[[#This Row],[Total Upkeep]]+Model_30y[[#This Row],[Monthly Investment]]</f>
        <v>-3229.0897836786226</v>
      </c>
      <c r="AI59" s="5">
        <f>Model_Renter!D59*-1</f>
        <v>3192.0095929463828</v>
      </c>
      <c r="AJ59" s="5">
        <f t="shared" si="14"/>
        <v>-37.080190732239771</v>
      </c>
    </row>
    <row r="60" spans="1:36" x14ac:dyDescent="0.25">
      <c r="A60" s="17">
        <f t="shared" si="7"/>
        <v>58</v>
      </c>
      <c r="B60" s="17">
        <f t="shared" si="4"/>
        <v>5</v>
      </c>
      <c r="C60" s="23">
        <f>IFERROR(PPMT(Assumptions!$E$17, A60, 180, Assumptions!$D$8), 0)</f>
        <v>-1562.3806944474206</v>
      </c>
      <c r="D60" s="38">
        <f>IFERROR(IPMT(Assumptions!$E$17,A60,180,Assumptions!$D$8), 0)</f>
        <v>-1279.2523173512766</v>
      </c>
      <c r="E60" s="2">
        <f t="shared" si="8"/>
        <v>-2841.6330117986972</v>
      </c>
      <c r="F60" s="2">
        <f>IF(I59&gt;1, Assumptions!$E$19, 0)*-1</f>
        <v>-2841.6330117986968</v>
      </c>
      <c r="G60" s="24">
        <f t="shared" si="9"/>
        <v>1</v>
      </c>
      <c r="H60" s="20">
        <f t="shared" si="15"/>
        <v>79151.648930083145</v>
      </c>
      <c r="I60" s="2">
        <f>MAX(Assumptions!$D$8-SUM(Model_15y!H60), 0)</f>
        <v>260848.35106991685</v>
      </c>
      <c r="J60" s="2">
        <f>J59*(1+(Assumptions!$E$51))</f>
        <v>538026.75840829464</v>
      </c>
      <c r="K60" s="22">
        <f t="shared" si="0"/>
        <v>277178.40733837779</v>
      </c>
      <c r="L60" s="5">
        <f t="shared" si="10"/>
        <v>164151.64893008312</v>
      </c>
      <c r="M60" s="63">
        <f>L60/Assumptions!$D$6</f>
        <v>0.38623917395313673</v>
      </c>
      <c r="N60" s="24">
        <f t="shared" si="17"/>
        <v>0</v>
      </c>
      <c r="O60" s="22">
        <f>N60*Assumptions!$E$25*-1</f>
        <v>0</v>
      </c>
      <c r="P60" s="5">
        <f>Assumptions!$E$35*J60*-1</f>
        <v>-1108.2470311153231</v>
      </c>
      <c r="Q60" s="5">
        <f>J60*Assumptions!$E$36*-1</f>
        <v>-446.3137026377949</v>
      </c>
      <c r="R60" s="5">
        <f>R48+R48*Assumptions!$D$51</f>
        <v>-394.93823906250003</v>
      </c>
      <c r="S60" s="5">
        <f>S48+(S48*Assumptions!$D$51)</f>
        <v>0</v>
      </c>
      <c r="T60" s="5">
        <f t="shared" si="5"/>
        <v>0</v>
      </c>
      <c r="U60" s="22">
        <f t="shared" si="1"/>
        <v>-1949.4989728156181</v>
      </c>
      <c r="V60" s="5">
        <f>MAX(Assumptions!$E$18:$E$19)-U60</f>
        <v>4791.1319846143151</v>
      </c>
      <c r="W60" s="5">
        <f t="shared" si="2"/>
        <v>-2841.6330117986968</v>
      </c>
      <c r="X60" s="5">
        <f t="shared" si="6"/>
        <v>-1949.4989728156181</v>
      </c>
      <c r="Y60" s="5">
        <f>D60*Assumptions!$D$44*-1</f>
        <v>191.88784760269149</v>
      </c>
      <c r="Z60" s="5">
        <f t="shared" si="3"/>
        <v>191.88784760269172</v>
      </c>
      <c r="AA60" s="5">
        <f t="shared" si="12"/>
        <v>15530.79082555988</v>
      </c>
      <c r="AB60" s="3">
        <f>Assumptions!$E$45</f>
        <v>6.9899151946608562E-3</v>
      </c>
      <c r="AC60" s="5">
        <f t="shared" si="13"/>
        <v>15831.237583939252</v>
      </c>
      <c r="AD60" s="4">
        <f>AC60*Assumptions!$E$43</f>
        <v>14.178068506249366</v>
      </c>
      <c r="AE60" s="2">
        <f>AD60*Assumptions!$D$44*-1</f>
        <v>-2.1267102759374046</v>
      </c>
      <c r="AF60" s="2">
        <f>AC60*Assumptions!$E$46*-1</f>
        <v>-0.52761119773088139</v>
      </c>
      <c r="AG60" s="5">
        <f t="shared" si="16"/>
        <v>15828.583262465583</v>
      </c>
      <c r="AH60" s="20">
        <f>Model_30y[[#This Row],[Mortgage Payment]]+Model_30y[[#This Row],[Total Upkeep]]+Model_30y[[#This Row],[Monthly Investment]]</f>
        <v>-3235.735713749491</v>
      </c>
      <c r="AI60" s="5">
        <f>Model_Renter!D60*-1</f>
        <v>3192.0095929463828</v>
      </c>
      <c r="AJ60" s="5">
        <f t="shared" si="14"/>
        <v>-43.726120803108188</v>
      </c>
    </row>
    <row r="61" spans="1:36" x14ac:dyDescent="0.25">
      <c r="A61" s="17">
        <f t="shared" si="7"/>
        <v>59</v>
      </c>
      <c r="B61" s="17">
        <f t="shared" si="4"/>
        <v>5</v>
      </c>
      <c r="C61" s="23">
        <f>IFERROR(PPMT(Assumptions!$E$17, A61, 180, Assumptions!$D$8), 0)</f>
        <v>-1569.9973003328519</v>
      </c>
      <c r="D61" s="38">
        <f>IFERROR(IPMT(Assumptions!$E$17,A61,180,Assumptions!$D$8), 0)</f>
        <v>-1271.6357114658449</v>
      </c>
      <c r="E61" s="2">
        <f t="shared" si="8"/>
        <v>-2841.6330117986968</v>
      </c>
      <c r="F61" s="2">
        <f>IF(I60&gt;1, Assumptions!$E$19, 0)*-1</f>
        <v>-2841.6330117986968</v>
      </c>
      <c r="G61" s="24">
        <f t="shared" si="9"/>
        <v>1</v>
      </c>
      <c r="H61" s="20">
        <f t="shared" si="15"/>
        <v>80721.646230415994</v>
      </c>
      <c r="I61" s="2">
        <f>MAX(Assumptions!$D$8-SUM(Model_15y!H61), 0)</f>
        <v>259278.35376958401</v>
      </c>
      <c r="J61" s="2">
        <f>J60*(1+(Assumptions!$E$51))</f>
        <v>540218.74602096505</v>
      </c>
      <c r="K61" s="22">
        <f t="shared" si="0"/>
        <v>280940.39225138107</v>
      </c>
      <c r="L61" s="5">
        <f t="shared" si="10"/>
        <v>165721.64623041596</v>
      </c>
      <c r="M61" s="63">
        <f>L61/Assumptions!$D$6</f>
        <v>0.38993328524803755</v>
      </c>
      <c r="N61" s="24">
        <f t="shared" si="17"/>
        <v>0</v>
      </c>
      <c r="O61" s="22">
        <f>N61*Assumptions!$E$25*-1</f>
        <v>0</v>
      </c>
      <c r="P61" s="5">
        <f>Assumptions!$E$35*J61*-1</f>
        <v>-1112.7621667029475</v>
      </c>
      <c r="Q61" s="5">
        <f>J61*Assumptions!$E$36*-1</f>
        <v>-448.13203990867964</v>
      </c>
      <c r="R61" s="5">
        <f>R49+R49*Assumptions!$D$51</f>
        <v>-394.93823906250003</v>
      </c>
      <c r="S61" s="5">
        <f>S49+(S49*Assumptions!$D$51)</f>
        <v>0</v>
      </c>
      <c r="T61" s="5">
        <f t="shared" si="5"/>
        <v>0</v>
      </c>
      <c r="U61" s="22">
        <f t="shared" si="1"/>
        <v>-1955.8324456741273</v>
      </c>
      <c r="V61" s="5">
        <f>MAX(Assumptions!$E$18:$E$19)-U61</f>
        <v>4797.4654574728238</v>
      </c>
      <c r="W61" s="5">
        <f t="shared" si="2"/>
        <v>-2841.6330117986968</v>
      </c>
      <c r="X61" s="5">
        <f t="shared" si="6"/>
        <v>-1955.8324456741273</v>
      </c>
      <c r="Y61" s="5">
        <f>D61*Assumptions!$D$44*-1</f>
        <v>190.74535671987672</v>
      </c>
      <c r="Z61" s="5">
        <f t="shared" si="3"/>
        <v>190.7453567198765</v>
      </c>
      <c r="AA61" s="5">
        <f t="shared" si="12"/>
        <v>15828.583262465583</v>
      </c>
      <c r="AB61" s="3">
        <f>Assumptions!$E$45</f>
        <v>6.9899151946608562E-3</v>
      </c>
      <c r="AC61" s="5">
        <f t="shared" si="13"/>
        <v>16129.969073841723</v>
      </c>
      <c r="AD61" s="4">
        <f>AC61*Assumptions!$E$43</f>
        <v>14.445605109522127</v>
      </c>
      <c r="AE61" s="2">
        <f>AD61*Assumptions!$D$44*-1</f>
        <v>-2.1668407664283191</v>
      </c>
      <c r="AF61" s="2">
        <f>AC61*Assumptions!$E$46*-1</f>
        <v>-0.53756708894606176</v>
      </c>
      <c r="AG61" s="5">
        <f t="shared" si="16"/>
        <v>16127.264665986349</v>
      </c>
      <c r="AH61" s="20">
        <f>Model_30y[[#This Row],[Mortgage Payment]]+Model_30y[[#This Row],[Total Upkeep]]+Model_30y[[#This Row],[Monthly Investment]]</f>
        <v>-3242.4092361461171</v>
      </c>
      <c r="AI61" s="5">
        <f>Model_Renter!D61*-1</f>
        <v>3192.0095929463828</v>
      </c>
      <c r="AJ61" s="5">
        <f t="shared" si="14"/>
        <v>-50.399643199734328</v>
      </c>
    </row>
    <row r="62" spans="1:36" x14ac:dyDescent="0.25">
      <c r="A62" s="17">
        <f t="shared" si="7"/>
        <v>60</v>
      </c>
      <c r="B62" s="17">
        <f t="shared" si="4"/>
        <v>5</v>
      </c>
      <c r="C62" s="23">
        <f>IFERROR(PPMT(Assumptions!$E$17, A62, 180, Assumptions!$D$8), 0)</f>
        <v>-1577.6510371719746</v>
      </c>
      <c r="D62" s="38">
        <f>IFERROR(IPMT(Assumptions!$E$17,A62,180,Assumptions!$D$8), 0)</f>
        <v>-1263.9819746267224</v>
      </c>
      <c r="E62" s="2">
        <f t="shared" si="8"/>
        <v>-2841.6330117986972</v>
      </c>
      <c r="F62" s="2">
        <f>IF(I61&gt;1, Assumptions!$E$19, 0)*-1</f>
        <v>-2841.6330117986968</v>
      </c>
      <c r="G62" s="24">
        <f t="shared" si="9"/>
        <v>1</v>
      </c>
      <c r="H62" s="20">
        <f t="shared" si="15"/>
        <v>82299.297267587972</v>
      </c>
      <c r="I62" s="2">
        <f>MAX(Assumptions!$D$8-SUM(Model_15y!H62), 0)</f>
        <v>257700.70273241203</v>
      </c>
      <c r="J62" s="2">
        <f>J61*(1+(Assumptions!$E$51))</f>
        <v>542419.66406250175</v>
      </c>
      <c r="K62" s="22">
        <f t="shared" si="0"/>
        <v>284718.96133008972</v>
      </c>
      <c r="L62" s="5">
        <f t="shared" si="10"/>
        <v>167299.29726758794</v>
      </c>
      <c r="M62" s="63">
        <f>L62/Assumptions!$D$6</f>
        <v>0.39364540533550102</v>
      </c>
      <c r="N62" s="24">
        <f t="shared" si="17"/>
        <v>0</v>
      </c>
      <c r="O62" s="22">
        <f>N62*Assumptions!$E$25*-1</f>
        <v>0</v>
      </c>
      <c r="P62" s="5">
        <f>Assumptions!$E$35*J62*-1</f>
        <v>-1117.2956975118561</v>
      </c>
      <c r="Q62" s="5">
        <f>J62*Assumptions!$E$36*-1</f>
        <v>-449.95778531068646</v>
      </c>
      <c r="R62" s="5">
        <f>R50+R50*Assumptions!$D$51</f>
        <v>-394.93823906250003</v>
      </c>
      <c r="S62" s="5">
        <f>S50+(S50*Assumptions!$D$51)</f>
        <v>0</v>
      </c>
      <c r="T62" s="5">
        <f t="shared" si="5"/>
        <v>0</v>
      </c>
      <c r="U62" s="22">
        <f t="shared" si="1"/>
        <v>-1962.1917218850426</v>
      </c>
      <c r="V62" s="5">
        <f>MAX(Assumptions!$E$18:$E$19)-U62</f>
        <v>4803.8247336837394</v>
      </c>
      <c r="W62" s="5">
        <f t="shared" si="2"/>
        <v>-2841.6330117986968</v>
      </c>
      <c r="X62" s="5">
        <f t="shared" si="6"/>
        <v>-1962.1917218850426</v>
      </c>
      <c r="Y62" s="5">
        <f>D62*Assumptions!$D$44*-1</f>
        <v>189.59729619400835</v>
      </c>
      <c r="Z62" s="5">
        <f t="shared" si="3"/>
        <v>189.59729619400835</v>
      </c>
      <c r="AA62" s="5">
        <f t="shared" si="12"/>
        <v>16127.264665986349</v>
      </c>
      <c r="AB62" s="3">
        <f>Assumptions!$E$45</f>
        <v>6.9899151946608562E-3</v>
      </c>
      <c r="AC62" s="5">
        <f t="shared" si="13"/>
        <v>16429.590174517452</v>
      </c>
      <c r="AD62" s="4">
        <f>AC62*Assumptions!$E$43</f>
        <v>14.71393842640747</v>
      </c>
      <c r="AE62" s="2">
        <f>AD62*Assumptions!$D$44*-1</f>
        <v>-2.2070907639611206</v>
      </c>
      <c r="AF62" s="2">
        <f>AC62*Assumptions!$E$46*-1</f>
        <v>-0.54755262841856267</v>
      </c>
      <c r="AG62" s="5">
        <f t="shared" si="16"/>
        <v>16426.835531125074</v>
      </c>
      <c r="AH62" s="20">
        <f>Model_30y[[#This Row],[Mortgage Payment]]+Model_30y[[#This Row],[Total Upkeep]]+Model_30y[[#This Row],[Monthly Investment]]</f>
        <v>-3249.1104661725631</v>
      </c>
      <c r="AI62" s="5">
        <f>Model_Renter!D62*-1</f>
        <v>3192.0095929463828</v>
      </c>
      <c r="AJ62" s="5">
        <f t="shared" si="14"/>
        <v>-57.100873226180283</v>
      </c>
    </row>
    <row r="63" spans="1:36" x14ac:dyDescent="0.25">
      <c r="A63" s="17">
        <f t="shared" si="7"/>
        <v>61</v>
      </c>
      <c r="B63" s="17">
        <f t="shared" si="4"/>
        <v>6</v>
      </c>
      <c r="C63" s="23">
        <f>IFERROR(PPMT(Assumptions!$E$17, A63, 180, Assumptions!$D$8), 0)</f>
        <v>-1585.3420859781877</v>
      </c>
      <c r="D63" s="38">
        <f>IFERROR(IPMT(Assumptions!$E$17,A63,180,Assumptions!$D$8), 0)</f>
        <v>-1256.2909258205088</v>
      </c>
      <c r="E63" s="2">
        <f t="shared" si="8"/>
        <v>-2841.6330117986963</v>
      </c>
      <c r="F63" s="2">
        <f>IF(I62&gt;1, Assumptions!$E$19, 0)*-1</f>
        <v>-2841.6330117986968</v>
      </c>
      <c r="G63" s="24">
        <f t="shared" si="9"/>
        <v>1</v>
      </c>
      <c r="H63" s="20">
        <f t="shared" si="15"/>
        <v>83884.639353566163</v>
      </c>
      <c r="I63" s="2">
        <f>MAX(Assumptions!$D$8-SUM(Model_15y!H63), 0)</f>
        <v>256115.36064643384</v>
      </c>
      <c r="J63" s="2">
        <f>J62*(1+(Assumptions!$E$51))</f>
        <v>544629.54891657736</v>
      </c>
      <c r="K63" s="22">
        <f t="shared" si="0"/>
        <v>288514.18827014352</v>
      </c>
      <c r="L63" s="5">
        <f t="shared" si="10"/>
        <v>168884.63935356613</v>
      </c>
      <c r="M63" s="63">
        <f>L63/Assumptions!$D$6</f>
        <v>0.39737562200839088</v>
      </c>
      <c r="N63" s="24">
        <f t="shared" si="17"/>
        <v>0</v>
      </c>
      <c r="O63" s="22">
        <f>N63*Assumptions!$E$25*-1</f>
        <v>0</v>
      </c>
      <c r="P63" s="5">
        <f>Assumptions!$E$35*J63*-1</f>
        <v>-1121.8476984864571</v>
      </c>
      <c r="Q63" s="5">
        <f>J63*Assumptions!$E$36*-1</f>
        <v>-451.79096902545848</v>
      </c>
      <c r="R63" s="5">
        <f>R51+R51*Assumptions!$D$51</f>
        <v>-414.68515101562502</v>
      </c>
      <c r="S63" s="5">
        <f>S51+(S51*Assumptions!$D$51)</f>
        <v>0</v>
      </c>
      <c r="T63" s="5">
        <f t="shared" si="5"/>
        <v>0</v>
      </c>
      <c r="U63" s="22">
        <f t="shared" si="1"/>
        <v>-1988.3238185275407</v>
      </c>
      <c r="V63" s="5">
        <f>MAX(Assumptions!$E$18:$E$19)-U63</f>
        <v>4829.9568303262377</v>
      </c>
      <c r="W63" s="5">
        <f t="shared" si="2"/>
        <v>-2841.6330117986968</v>
      </c>
      <c r="X63" s="5">
        <f t="shared" si="6"/>
        <v>-1988.3238185275407</v>
      </c>
      <c r="Y63" s="5">
        <f>D63*Assumptions!$D$44*-1</f>
        <v>188.44363887307631</v>
      </c>
      <c r="Z63" s="5">
        <f t="shared" si="3"/>
        <v>188.44363887307654</v>
      </c>
      <c r="AA63" s="5">
        <f t="shared" si="12"/>
        <v>16426.835531125074</v>
      </c>
      <c r="AB63" s="3">
        <f>Assumptions!$E$45</f>
        <v>6.9899151946608562E-3</v>
      </c>
      <c r="AC63" s="5">
        <f t="shared" si="13"/>
        <v>16730.101357277355</v>
      </c>
      <c r="AD63" s="4">
        <f>AC63*Assumptions!$E$43</f>
        <v>14.983068878999905</v>
      </c>
      <c r="AE63" s="2">
        <f>AD63*Assumptions!$D$44*-1</f>
        <v>-2.2474603318499855</v>
      </c>
      <c r="AF63" s="2">
        <f>AC63*Assumptions!$E$46*-1</f>
        <v>-0.55756783185586867</v>
      </c>
      <c r="AG63" s="5">
        <f t="shared" si="16"/>
        <v>16727.296329113651</v>
      </c>
      <c r="AH63" s="20">
        <f>Model_30y[[#This Row],[Mortgage Payment]]+Model_30y[[#This Row],[Total Upkeep]]+Model_30y[[#This Row],[Monthly Investment]]</f>
        <v>-3275.5864315719591</v>
      </c>
      <c r="AI63" s="5">
        <f>Model_Renter!D63*-1</f>
        <v>3311.390751722578</v>
      </c>
      <c r="AJ63" s="5">
        <f t="shared" si="14"/>
        <v>35.804320150618878</v>
      </c>
    </row>
    <row r="64" spans="1:36" x14ac:dyDescent="0.25">
      <c r="A64" s="17">
        <f t="shared" si="7"/>
        <v>62</v>
      </c>
      <c r="B64" s="17">
        <f t="shared" si="4"/>
        <v>6</v>
      </c>
      <c r="C64" s="23">
        <f>IFERROR(PPMT(Assumptions!$E$17, A64, 180, Assumptions!$D$8), 0)</f>
        <v>-1593.0706286473317</v>
      </c>
      <c r="D64" s="38">
        <f>IFERROR(IPMT(Assumptions!$E$17,A64,180,Assumptions!$D$8), 0)</f>
        <v>-1248.5623831513653</v>
      </c>
      <c r="E64" s="2">
        <f t="shared" si="8"/>
        <v>-2841.6330117986972</v>
      </c>
      <c r="F64" s="2">
        <f>IF(I63&gt;1, Assumptions!$E$19, 0)*-1</f>
        <v>-2841.6330117986968</v>
      </c>
      <c r="G64" s="24">
        <f t="shared" si="9"/>
        <v>1</v>
      </c>
      <c r="H64" s="20">
        <f t="shared" si="15"/>
        <v>85477.709982213491</v>
      </c>
      <c r="I64" s="2">
        <f>MAX(Assumptions!$D$8-SUM(Model_15y!H64), 0)</f>
        <v>254522.29001778649</v>
      </c>
      <c r="J64" s="2">
        <f>J63*(1+(Assumptions!$E$51))</f>
        <v>546848.43711509602</v>
      </c>
      <c r="K64" s="22">
        <f t="shared" si="0"/>
        <v>292326.14709730953</v>
      </c>
      <c r="L64" s="5">
        <f t="shared" si="10"/>
        <v>170477.70998221348</v>
      </c>
      <c r="M64" s="63">
        <f>L64/Assumptions!$D$6</f>
        <v>0.4011240234875611</v>
      </c>
      <c r="N64" s="24">
        <f t="shared" si="17"/>
        <v>0</v>
      </c>
      <c r="O64" s="22">
        <f>N64*Assumptions!$E$25*-1</f>
        <v>0</v>
      </c>
      <c r="P64" s="5">
        <f>Assumptions!$E$35*J64*-1</f>
        <v>-1126.4182448764921</v>
      </c>
      <c r="Q64" s="5">
        <f>J64*Assumptions!$E$36*-1</f>
        <v>-453.63162135760263</v>
      </c>
      <c r="R64" s="5">
        <f>R52+R52*Assumptions!$D$51</f>
        <v>-414.68515101562502</v>
      </c>
      <c r="S64" s="5">
        <f>S52+(S52*Assumptions!$D$51)</f>
        <v>0</v>
      </c>
      <c r="T64" s="5">
        <f t="shared" si="5"/>
        <v>0</v>
      </c>
      <c r="U64" s="22">
        <f t="shared" si="1"/>
        <v>-1994.7350172497197</v>
      </c>
      <c r="V64" s="5">
        <f>MAX(Assumptions!$E$18:$E$19)-U64</f>
        <v>4836.3680290484162</v>
      </c>
      <c r="W64" s="5">
        <f t="shared" si="2"/>
        <v>-2841.6330117986968</v>
      </c>
      <c r="X64" s="5">
        <f t="shared" si="6"/>
        <v>-1994.7350172497197</v>
      </c>
      <c r="Y64" s="5">
        <f>D64*Assumptions!$D$44*-1</f>
        <v>187.28435747270478</v>
      </c>
      <c r="Z64" s="5">
        <f t="shared" si="3"/>
        <v>187.28435747270456</v>
      </c>
      <c r="AA64" s="5">
        <f t="shared" si="12"/>
        <v>16727.296329113651</v>
      </c>
      <c r="AB64" s="3">
        <f>Assumptions!$E$45</f>
        <v>6.9899151946608562E-3</v>
      </c>
      <c r="AC64" s="5">
        <f t="shared" si="13"/>
        <v>17031.503069362821</v>
      </c>
      <c r="AD64" s="4">
        <f>AC64*Assumptions!$E$43</f>
        <v>15.25299686783786</v>
      </c>
      <c r="AE64" s="2">
        <f>AD64*Assumptions!$D$44*-1</f>
        <v>-2.2879495301756787</v>
      </c>
      <c r="AF64" s="2">
        <f>AC64*Assumptions!$E$46*-1</f>
        <v>-0.56761271416329351</v>
      </c>
      <c r="AG64" s="5">
        <f t="shared" si="16"/>
        <v>17028.647507118483</v>
      </c>
      <c r="AH64" s="20">
        <f>Model_30y[[#This Row],[Mortgage Payment]]+Model_30y[[#This Row],[Total Upkeep]]+Model_30y[[#This Row],[Monthly Investment]]</f>
        <v>-3282.343424716074</v>
      </c>
      <c r="AI64" s="5">
        <f>Model_Renter!D64*-1</f>
        <v>3311.390751722578</v>
      </c>
      <c r="AJ64" s="5">
        <f t="shared" si="14"/>
        <v>29.04732700650402</v>
      </c>
    </row>
    <row r="65" spans="1:36" x14ac:dyDescent="0.25">
      <c r="A65" s="17">
        <f t="shared" si="7"/>
        <v>63</v>
      </c>
      <c r="B65" s="17">
        <f t="shared" si="4"/>
        <v>6</v>
      </c>
      <c r="C65" s="23">
        <f>IFERROR(PPMT(Assumptions!$E$17, A65, 180, Assumptions!$D$8), 0)</f>
        <v>-1600.8368479619874</v>
      </c>
      <c r="D65" s="38">
        <f>IFERROR(IPMT(Assumptions!$E$17,A65,180,Assumptions!$D$8), 0)</f>
        <v>-1240.7961638367094</v>
      </c>
      <c r="E65" s="2">
        <f t="shared" si="8"/>
        <v>-2841.6330117986968</v>
      </c>
      <c r="F65" s="2">
        <f>IF(I64&gt;1, Assumptions!$E$19, 0)*-1</f>
        <v>-2841.6330117986968</v>
      </c>
      <c r="G65" s="24">
        <f t="shared" si="9"/>
        <v>1</v>
      </c>
      <c r="H65" s="20">
        <f t="shared" si="15"/>
        <v>87078.546830175474</v>
      </c>
      <c r="I65" s="2">
        <f>MAX(Assumptions!$D$8-SUM(Model_15y!H65), 0)</f>
        <v>252921.45316982453</v>
      </c>
      <c r="J65" s="2">
        <f>J64*(1+(Assumptions!$E$51))</f>
        <v>549076.36533879756</v>
      </c>
      <c r="K65" s="22">
        <f t="shared" si="0"/>
        <v>296154.91216897301</v>
      </c>
      <c r="L65" s="5">
        <f t="shared" si="10"/>
        <v>172078.54683017547</v>
      </c>
      <c r="M65" s="63">
        <f>L65/Assumptions!$D$6</f>
        <v>0.40489069842394226</v>
      </c>
      <c r="N65" s="24">
        <f t="shared" si="17"/>
        <v>0</v>
      </c>
      <c r="O65" s="22">
        <f>N65*Assumptions!$E$25*-1</f>
        <v>0</v>
      </c>
      <c r="P65" s="5">
        <f>Assumptions!$E$35*J65*-1</f>
        <v>-1131.0074122382787</v>
      </c>
      <c r="Q65" s="5">
        <f>J65*Assumptions!$E$36*-1</f>
        <v>-455.47977273519058</v>
      </c>
      <c r="R65" s="5">
        <f>R53+R53*Assumptions!$D$51</f>
        <v>-414.68515101562502</v>
      </c>
      <c r="S65" s="5">
        <f>S53+(S53*Assumptions!$D$51)</f>
        <v>0</v>
      </c>
      <c r="T65" s="5">
        <f t="shared" si="5"/>
        <v>0</v>
      </c>
      <c r="U65" s="22">
        <f t="shared" si="1"/>
        <v>-2001.1723359890943</v>
      </c>
      <c r="V65" s="5">
        <f>MAX(Assumptions!$E$18:$E$19)-U65</f>
        <v>4842.8053477877911</v>
      </c>
      <c r="W65" s="5">
        <f t="shared" si="2"/>
        <v>-2841.6330117986968</v>
      </c>
      <c r="X65" s="5">
        <f t="shared" si="6"/>
        <v>-2001.1723359890943</v>
      </c>
      <c r="Y65" s="5">
        <f>D65*Assumptions!$D$44*-1</f>
        <v>186.1194245755064</v>
      </c>
      <c r="Z65" s="5">
        <f t="shared" si="3"/>
        <v>186.1194245755064</v>
      </c>
      <c r="AA65" s="5">
        <f t="shared" si="12"/>
        <v>17028.647507118483</v>
      </c>
      <c r="AB65" s="3">
        <f>Assumptions!$E$45</f>
        <v>6.9899151946608562E-3</v>
      </c>
      <c r="AC65" s="5">
        <f t="shared" si="13"/>
        <v>17333.79573364852</v>
      </c>
      <c r="AD65" s="4">
        <f>AC65*Assumptions!$E$43</f>
        <v>15.523722771637532</v>
      </c>
      <c r="AE65" s="2">
        <f>AD65*Assumptions!$D$44*-1</f>
        <v>-2.3285584157456296</v>
      </c>
      <c r="AF65" s="2">
        <f>AC65*Assumptions!$E$46*-1</f>
        <v>-0.57768728943407599</v>
      </c>
      <c r="AG65" s="5">
        <f t="shared" si="16"/>
        <v>17330.889487943339</v>
      </c>
      <c r="AH65" s="20">
        <f>Model_30y[[#This Row],[Mortgage Payment]]+Model_30y[[#This Row],[Total Upkeep]]+Model_30y[[#This Row],[Monthly Investment]]</f>
        <v>-3289.1284743261476</v>
      </c>
      <c r="AI65" s="5">
        <f>Model_Renter!D65*-1</f>
        <v>3311.390751722578</v>
      </c>
      <c r="AJ65" s="5">
        <f t="shared" si="14"/>
        <v>22.262277396430363</v>
      </c>
    </row>
    <row r="66" spans="1:36" x14ac:dyDescent="0.25">
      <c r="A66" s="17">
        <f t="shared" si="7"/>
        <v>64</v>
      </c>
      <c r="B66" s="17">
        <f t="shared" si="4"/>
        <v>6</v>
      </c>
      <c r="C66" s="23">
        <f>IFERROR(PPMT(Assumptions!$E$17, A66, 180, Assumptions!$D$8), 0)</f>
        <v>-1608.6409275958019</v>
      </c>
      <c r="D66" s="38">
        <f>IFERROR(IPMT(Assumptions!$E$17,A66,180,Assumptions!$D$8), 0)</f>
        <v>-1232.9920842028948</v>
      </c>
      <c r="E66" s="2">
        <f t="shared" si="8"/>
        <v>-2841.6330117986968</v>
      </c>
      <c r="F66" s="2">
        <f>IF(I65&gt;1, Assumptions!$E$19, 0)*-1</f>
        <v>-2841.6330117986968</v>
      </c>
      <c r="G66" s="24">
        <f t="shared" si="9"/>
        <v>1</v>
      </c>
      <c r="H66" s="20">
        <f t="shared" si="15"/>
        <v>88687.187757771273</v>
      </c>
      <c r="I66" s="2">
        <f>MAX(Assumptions!$D$8-SUM(Model_15y!H66), 0)</f>
        <v>251312.81224222871</v>
      </c>
      <c r="J66" s="2">
        <f>J65*(1+(Assumptions!$E$51))</f>
        <v>551313.3704178636</v>
      </c>
      <c r="K66" s="22">
        <f t="shared" ref="K66:K129" si="18">J66-I66</f>
        <v>300000.55817563488</v>
      </c>
      <c r="L66" s="5">
        <f t="shared" si="10"/>
        <v>173687.18775777129</v>
      </c>
      <c r="M66" s="63">
        <f>L66/Assumptions!$D$6</f>
        <v>0.40867573590063833</v>
      </c>
      <c r="N66" s="24">
        <f t="shared" si="17"/>
        <v>0</v>
      </c>
      <c r="O66" s="22">
        <f>N66*Assumptions!$E$25*-1</f>
        <v>0</v>
      </c>
      <c r="P66" s="5">
        <f>Assumptions!$E$35*J66*-1</f>
        <v>-1135.6152764359615</v>
      </c>
      <c r="Q66" s="5">
        <f>J66*Assumptions!$E$36*-1</f>
        <v>-457.33545371026179</v>
      </c>
      <c r="R66" s="5">
        <f>R54+R54*Assumptions!$D$51</f>
        <v>-414.68515101562502</v>
      </c>
      <c r="S66" s="5">
        <f>S54+(S54*Assumptions!$D$51)</f>
        <v>0</v>
      </c>
      <c r="T66" s="5">
        <f t="shared" si="5"/>
        <v>0</v>
      </c>
      <c r="U66" s="22">
        <f t="shared" ref="U66:U129" si="19">SUM(P66:T66)</f>
        <v>-2007.6358811618484</v>
      </c>
      <c r="V66" s="5">
        <f>MAX(Assumptions!$E$18:$E$19)-U66</f>
        <v>4849.2688929605447</v>
      </c>
      <c r="W66" s="5">
        <f t="shared" ref="W66:W129" si="20">F66</f>
        <v>-2841.6330117986968</v>
      </c>
      <c r="X66" s="5">
        <f t="shared" si="6"/>
        <v>-2007.6358811618484</v>
      </c>
      <c r="Y66" s="5">
        <f>D66*Assumptions!$D$44*-1</f>
        <v>184.94881263043422</v>
      </c>
      <c r="Z66" s="5">
        <f t="shared" ref="Z66:Z129" si="21">SUM(V66:Y66)</f>
        <v>184.94881263043376</v>
      </c>
      <c r="AA66" s="5">
        <f t="shared" si="12"/>
        <v>17330.889487943339</v>
      </c>
      <c r="AB66" s="3">
        <f>Assumptions!$E$45</f>
        <v>6.9899151946608562E-3</v>
      </c>
      <c r="AC66" s="5">
        <f t="shared" si="13"/>
        <v>17636.979748342539</v>
      </c>
      <c r="AD66" s="4">
        <f>AC66*Assumptions!$E$43</f>
        <v>15.795246947024324</v>
      </c>
      <c r="AE66" s="2">
        <f>AD66*Assumptions!$D$44*-1</f>
        <v>-2.3692870420536485</v>
      </c>
      <c r="AF66" s="2">
        <f>AC66*Assumptions!$E$46*-1</f>
        <v>-0.58779157093938617</v>
      </c>
      <c r="AG66" s="5">
        <f t="shared" si="16"/>
        <v>17634.022669729547</v>
      </c>
      <c r="AH66" s="20">
        <f>Model_30y[[#This Row],[Mortgage Payment]]+Model_30y[[#This Row],[Total Upkeep]]+Model_30y[[#This Row],[Monthly Investment]]</f>
        <v>-3295.9416976624771</v>
      </c>
      <c r="AI66" s="5">
        <f>Model_Renter!D66*-1</f>
        <v>3311.390751722578</v>
      </c>
      <c r="AJ66" s="5">
        <f t="shared" si="14"/>
        <v>15.449054060100934</v>
      </c>
    </row>
    <row r="67" spans="1:36" x14ac:dyDescent="0.25">
      <c r="A67" s="17">
        <f t="shared" si="7"/>
        <v>65</v>
      </c>
      <c r="B67" s="17">
        <f t="shared" ref="B67:B130" si="22">ROUNDUP(A67/12,0)</f>
        <v>6</v>
      </c>
      <c r="C67" s="23">
        <f>IFERROR(PPMT(Assumptions!$E$17, A67, 180, Assumptions!$D$8), 0)</f>
        <v>-1616.4830521178317</v>
      </c>
      <c r="D67" s="38">
        <f>IFERROR(IPMT(Assumptions!$E$17,A67,180,Assumptions!$D$8), 0)</f>
        <v>-1225.1499596808653</v>
      </c>
      <c r="E67" s="2">
        <f t="shared" si="8"/>
        <v>-2841.6330117986972</v>
      </c>
      <c r="F67" s="2">
        <f>IF(I66&gt;1, Assumptions!$E$19, 0)*-1</f>
        <v>-2841.6330117986968</v>
      </c>
      <c r="G67" s="24">
        <f t="shared" ref="G67:G130" si="23">IF(E67-F67&lt;1, 1, 0)</f>
        <v>1</v>
      </c>
      <c r="H67" s="20">
        <f t="shared" si="15"/>
        <v>90303.67080988911</v>
      </c>
      <c r="I67" s="2">
        <f>MAX(Assumptions!$D$8-SUM(Model_15y!H67), 0)</f>
        <v>249696.3291901109</v>
      </c>
      <c r="J67" s="2">
        <f>J66*(1+(Assumptions!$E$51))</f>
        <v>553559.48933252634</v>
      </c>
      <c r="K67" s="22">
        <f t="shared" si="18"/>
        <v>303863.16014241544</v>
      </c>
      <c r="L67" s="5">
        <f t="shared" si="10"/>
        <v>175303.67080988912</v>
      </c>
      <c r="M67" s="63">
        <f>L67/Assumptions!$D$6</f>
        <v>0.41247922543503324</v>
      </c>
      <c r="N67" s="24">
        <f t="shared" si="17"/>
        <v>0</v>
      </c>
      <c r="O67" s="22">
        <f>N67*Assumptions!$E$25*-1</f>
        <v>0</v>
      </c>
      <c r="P67" s="5">
        <f>Assumptions!$E$35*J67*-1</f>
        <v>-1140.2419136427636</v>
      </c>
      <c r="Q67" s="5">
        <f>J67*Assumptions!$E$36*-1</f>
        <v>-459.19869495932841</v>
      </c>
      <c r="R67" s="5">
        <f>R55+R55*Assumptions!$D$51</f>
        <v>-414.68515101562502</v>
      </c>
      <c r="S67" s="5">
        <f>S55+(S55*Assumptions!$D$51)</f>
        <v>0</v>
      </c>
      <c r="T67" s="5">
        <f t="shared" ref="T67:T130" si="24">O67</f>
        <v>0</v>
      </c>
      <c r="U67" s="22">
        <f t="shared" si="19"/>
        <v>-2014.125759617717</v>
      </c>
      <c r="V67" s="5">
        <f>MAX(Assumptions!$E$18:$E$19)-U67</f>
        <v>4855.7587714164138</v>
      </c>
      <c r="W67" s="5">
        <f t="shared" si="20"/>
        <v>-2841.6330117986968</v>
      </c>
      <c r="X67" s="5">
        <f t="shared" ref="X67:X130" si="25">U67</f>
        <v>-2014.125759617717</v>
      </c>
      <c r="Y67" s="5">
        <f>D67*Assumptions!$D$44*-1</f>
        <v>183.77249395212979</v>
      </c>
      <c r="Z67" s="5">
        <f t="shared" si="21"/>
        <v>183.77249395212979</v>
      </c>
      <c r="AA67" s="5">
        <f t="shared" si="12"/>
        <v>17634.022669729547</v>
      </c>
      <c r="AB67" s="3">
        <f>Assumptions!$E$45</f>
        <v>6.9899151946608562E-3</v>
      </c>
      <c r="AC67" s="5">
        <f t="shared" si="13"/>
        <v>17941.055486683814</v>
      </c>
      <c r="AD67" s="4">
        <f>AC67*Assumptions!$E$43</f>
        <v>16.067569728261887</v>
      </c>
      <c r="AE67" s="2">
        <f>AD67*Assumptions!$D$44*-1</f>
        <v>-2.410135459239283</v>
      </c>
      <c r="AF67" s="2">
        <f>AC67*Assumptions!$E$46*-1</f>
        <v>-0.59792557111824152</v>
      </c>
      <c r="AG67" s="5">
        <f t="shared" si="16"/>
        <v>17938.047425653458</v>
      </c>
      <c r="AH67" s="20">
        <f>Model_30y[[#This Row],[Mortgage Payment]]+Model_30y[[#This Row],[Total Upkeep]]+Model_30y[[#This Row],[Monthly Investment]]</f>
        <v>-3302.7832124796364</v>
      </c>
      <c r="AI67" s="5">
        <f>Model_Renter!D67*-1</f>
        <v>3311.390751722578</v>
      </c>
      <c r="AJ67" s="5">
        <f t="shared" ref="AJ67:AJ130" si="26">SUM(AH67:AI67)</f>
        <v>8.6075392429415842</v>
      </c>
    </row>
    <row r="68" spans="1:36" x14ac:dyDescent="0.25">
      <c r="A68" s="17">
        <f t="shared" ref="A68:A131" si="27">A67+1</f>
        <v>66</v>
      </c>
      <c r="B68" s="17">
        <f t="shared" si="22"/>
        <v>6</v>
      </c>
      <c r="C68" s="23">
        <f>IFERROR(PPMT(Assumptions!$E$17, A68, 180, Assumptions!$D$8), 0)</f>
        <v>-1624.363406996906</v>
      </c>
      <c r="D68" s="38">
        <f>IFERROR(IPMT(Assumptions!$E$17,A68,180,Assumptions!$D$8), 0)</f>
        <v>-1217.269604801791</v>
      </c>
      <c r="E68" s="2">
        <f t="shared" ref="E68:E131" si="28">SUM(C68:D68)</f>
        <v>-2841.6330117986972</v>
      </c>
      <c r="F68" s="2">
        <f>IF(I67&gt;1, Assumptions!$E$19, 0)*-1</f>
        <v>-2841.6330117986968</v>
      </c>
      <c r="G68" s="24">
        <f t="shared" si="23"/>
        <v>1</v>
      </c>
      <c r="H68" s="20">
        <f t="shared" ref="H68:H131" si="29">H67+C68*-1</f>
        <v>91928.034216886022</v>
      </c>
      <c r="I68" s="2">
        <f>MAX(Assumptions!$D$8-SUM(Model_15y!H68), 0)</f>
        <v>248071.96578311396</v>
      </c>
      <c r="J68" s="2">
        <f>J67*(1+(Assumptions!$E$51))</f>
        <v>555814.75921368017</v>
      </c>
      <c r="K68" s="22">
        <f t="shared" si="18"/>
        <v>307742.79343056621</v>
      </c>
      <c r="L68" s="5">
        <f t="shared" ref="L68:L131" si="30">L67+C68*-1</f>
        <v>176928.03421688604</v>
      </c>
      <c r="M68" s="63">
        <f>L68/Assumptions!$D$6</f>
        <v>0.41630125698090831</v>
      </c>
      <c r="N68" s="24">
        <f t="shared" si="17"/>
        <v>0</v>
      </c>
      <c r="O68" s="22">
        <f>N68*Assumptions!$E$25*-1</f>
        <v>0</v>
      </c>
      <c r="P68" s="5">
        <f>Assumptions!$E$35*J68*-1</f>
        <v>-1144.8874003422482</v>
      </c>
      <c r="Q68" s="5">
        <f>J68*Assumptions!$E$36*-1</f>
        <v>-461.06952728388245</v>
      </c>
      <c r="R68" s="5">
        <f>R56+R56*Assumptions!$D$51</f>
        <v>-414.68515101562502</v>
      </c>
      <c r="S68" s="5">
        <f>S56+(S56*Assumptions!$D$51)</f>
        <v>0</v>
      </c>
      <c r="T68" s="5">
        <f t="shared" si="24"/>
        <v>0</v>
      </c>
      <c r="U68" s="22">
        <f t="shared" si="19"/>
        <v>-2020.6420786417557</v>
      </c>
      <c r="V68" s="5">
        <f>MAX(Assumptions!$E$18:$E$19)-U68</f>
        <v>4862.2750904404529</v>
      </c>
      <c r="W68" s="5">
        <f t="shared" si="20"/>
        <v>-2841.6330117986968</v>
      </c>
      <c r="X68" s="5">
        <f t="shared" si="25"/>
        <v>-2020.6420786417557</v>
      </c>
      <c r="Y68" s="5">
        <f>D68*Assumptions!$D$44*-1</f>
        <v>182.59044072026865</v>
      </c>
      <c r="Z68" s="5">
        <f t="shared" si="21"/>
        <v>182.5904407202691</v>
      </c>
      <c r="AA68" s="5">
        <f t="shared" ref="AA68:AA131" si="31">AG67</f>
        <v>17938.047425653458</v>
      </c>
      <c r="AB68" s="3">
        <f>Assumptions!$E$45</f>
        <v>6.9899151946608562E-3</v>
      </c>
      <c r="AC68" s="5">
        <f t="shared" ref="AC68:AC131" si="32">(AA68+Z68)+(AA68*AB68)</f>
        <v>18246.023296636849</v>
      </c>
      <c r="AD68" s="4">
        <f>AC68*Assumptions!$E$43</f>
        <v>16.340691426978701</v>
      </c>
      <c r="AE68" s="2">
        <f>AD68*Assumptions!$D$44*-1</f>
        <v>-2.451103714046805</v>
      </c>
      <c r="AF68" s="2">
        <f>AC68*Assumptions!$E$46*-1</f>
        <v>-0.6080893015673331</v>
      </c>
      <c r="AG68" s="5">
        <f t="shared" ref="AG68:AG131" si="33">AC68+SUM(AE68:AF68)</f>
        <v>18242.964103621234</v>
      </c>
      <c r="AH68" s="20">
        <f>Model_30y[[#This Row],[Mortgage Payment]]+Model_30y[[#This Row],[Total Upkeep]]+Model_30y[[#This Row],[Monthly Investment]]</f>
        <v>-3309.6531370285893</v>
      </c>
      <c r="AI68" s="5">
        <f>Model_Renter!D68*-1</f>
        <v>3311.390751722578</v>
      </c>
      <c r="AJ68" s="5">
        <f t="shared" si="26"/>
        <v>1.7376146939886894</v>
      </c>
    </row>
    <row r="69" spans="1:36" x14ac:dyDescent="0.25">
      <c r="A69" s="17">
        <f t="shared" si="27"/>
        <v>67</v>
      </c>
      <c r="B69" s="17">
        <f t="shared" si="22"/>
        <v>6</v>
      </c>
      <c r="C69" s="23">
        <f>IFERROR(PPMT(Assumptions!$E$17, A69, 180, Assumptions!$D$8), 0)</f>
        <v>-1632.282178606016</v>
      </c>
      <c r="D69" s="38">
        <f>IFERROR(IPMT(Assumptions!$E$17,A69,180,Assumptions!$D$8), 0)</f>
        <v>-1209.3508331926807</v>
      </c>
      <c r="E69" s="2">
        <f t="shared" si="28"/>
        <v>-2841.6330117986968</v>
      </c>
      <c r="F69" s="2">
        <f>IF(I68&gt;1, Assumptions!$E$19, 0)*-1</f>
        <v>-2841.6330117986968</v>
      </c>
      <c r="G69" s="24">
        <f t="shared" si="23"/>
        <v>1</v>
      </c>
      <c r="H69" s="20">
        <f t="shared" si="29"/>
        <v>93560.316395492046</v>
      </c>
      <c r="I69" s="2">
        <f>MAX(Assumptions!$D$8-SUM(Model_15y!H69), 0)</f>
        <v>246439.68360450794</v>
      </c>
      <c r="J69" s="2">
        <f>J68*(1+(Assumptions!$E$51))</f>
        <v>558079.21734349546</v>
      </c>
      <c r="K69" s="22">
        <f t="shared" si="18"/>
        <v>311639.53373898752</v>
      </c>
      <c r="L69" s="5">
        <f t="shared" si="30"/>
        <v>178560.31639549206</v>
      </c>
      <c r="M69" s="63">
        <f>L69/Assumptions!$D$6</f>
        <v>0.42014192093056957</v>
      </c>
      <c r="N69" s="24">
        <f t="shared" si="17"/>
        <v>0</v>
      </c>
      <c r="O69" s="22">
        <f>N69*Assumptions!$E$25*-1</f>
        <v>0</v>
      </c>
      <c r="P69" s="5">
        <f>Assumptions!$E$35*J69*-1</f>
        <v>-1149.5518133295818</v>
      </c>
      <c r="Q69" s="5">
        <f>J69*Assumptions!$E$36*-1</f>
        <v>-462.94798161090523</v>
      </c>
      <c r="R69" s="5">
        <f>R57+R57*Assumptions!$D$51</f>
        <v>-414.68515101562502</v>
      </c>
      <c r="S69" s="5">
        <f>S57+(S57*Assumptions!$D$51)</f>
        <v>0</v>
      </c>
      <c r="T69" s="5">
        <f t="shared" si="24"/>
        <v>0</v>
      </c>
      <c r="U69" s="22">
        <f t="shared" si="19"/>
        <v>-2027.184945956112</v>
      </c>
      <c r="V69" s="5">
        <f>MAX(Assumptions!$E$18:$E$19)-U69</f>
        <v>4868.817957754809</v>
      </c>
      <c r="W69" s="5">
        <f t="shared" si="20"/>
        <v>-2841.6330117986968</v>
      </c>
      <c r="X69" s="5">
        <f t="shared" si="25"/>
        <v>-2027.184945956112</v>
      </c>
      <c r="Y69" s="5">
        <f>D69*Assumptions!$D$44*-1</f>
        <v>181.40262497890211</v>
      </c>
      <c r="Z69" s="5">
        <f t="shared" si="21"/>
        <v>181.40262497890234</v>
      </c>
      <c r="AA69" s="5">
        <f t="shared" si="31"/>
        <v>18242.964103621234</v>
      </c>
      <c r="AB69" s="3">
        <f>Assumptions!$E$45</f>
        <v>6.9899151946608562E-3</v>
      </c>
      <c r="AC69" s="5">
        <f t="shared" si="32"/>
        <v>18551.883500583692</v>
      </c>
      <c r="AD69" s="4">
        <f>AC69*Assumptions!$E$43</f>
        <v>16.614612331892232</v>
      </c>
      <c r="AE69" s="2">
        <f>AD69*Assumptions!$D$44*-1</f>
        <v>-2.4921918497838349</v>
      </c>
      <c r="AF69" s="2">
        <f>AC69*Assumptions!$E$46*-1</f>
        <v>-0.61828277303075929</v>
      </c>
      <c r="AG69" s="5">
        <f t="shared" si="33"/>
        <v>18548.773025960876</v>
      </c>
      <c r="AH69" s="20">
        <f>Model_30y[[#This Row],[Mortgage Payment]]+Model_30y[[#This Row],[Total Upkeep]]+Model_30y[[#This Row],[Monthly Investment]]</f>
        <v>-3316.5515900587993</v>
      </c>
      <c r="AI69" s="5">
        <f>Model_Renter!D69*-1</f>
        <v>3311.390751722578</v>
      </c>
      <c r="AJ69" s="5">
        <f t="shared" si="26"/>
        <v>-5.1608383362213317</v>
      </c>
    </row>
    <row r="70" spans="1:36" x14ac:dyDescent="0.25">
      <c r="A70" s="17">
        <f t="shared" si="27"/>
        <v>68</v>
      </c>
      <c r="B70" s="17">
        <f t="shared" si="22"/>
        <v>6</v>
      </c>
      <c r="C70" s="23">
        <f>IFERROR(PPMT(Assumptions!$E$17, A70, 180, Assumptions!$D$8), 0)</f>
        <v>-1640.2395542267204</v>
      </c>
      <c r="D70" s="38">
        <f>IFERROR(IPMT(Assumptions!$E$17,A70,180,Assumptions!$D$8), 0)</f>
        <v>-1201.3934575719766</v>
      </c>
      <c r="E70" s="2">
        <f t="shared" si="28"/>
        <v>-2841.6330117986972</v>
      </c>
      <c r="F70" s="2">
        <f>IF(I69&gt;1, Assumptions!$E$19, 0)*-1</f>
        <v>-2841.6330117986968</v>
      </c>
      <c r="G70" s="24">
        <f t="shared" si="23"/>
        <v>1</v>
      </c>
      <c r="H70" s="20">
        <f t="shared" si="29"/>
        <v>95200.555949718764</v>
      </c>
      <c r="I70" s="2">
        <f>MAX(Assumptions!$D$8-SUM(Model_15y!H70), 0)</f>
        <v>244799.44405028125</v>
      </c>
      <c r="J70" s="2">
        <f>J69*(1+(Assumptions!$E$51))</f>
        <v>560352.90115603444</v>
      </c>
      <c r="K70" s="22">
        <f t="shared" si="18"/>
        <v>315553.45710575319</v>
      </c>
      <c r="L70" s="5">
        <f t="shared" si="30"/>
        <v>180200.55594971878</v>
      </c>
      <c r="M70" s="63">
        <f>L70/Assumptions!$D$6</f>
        <v>0.42400130811698539</v>
      </c>
      <c r="N70" s="24">
        <f t="shared" si="17"/>
        <v>0</v>
      </c>
      <c r="O70" s="22">
        <f>N70*Assumptions!$E$25*-1</f>
        <v>0</v>
      </c>
      <c r="P70" s="5">
        <f>Assumptions!$E$35*J70*-1</f>
        <v>-1154.2352297128041</v>
      </c>
      <c r="Q70" s="5">
        <f>J70*Assumptions!$E$36*-1</f>
        <v>-464.8340889933782</v>
      </c>
      <c r="R70" s="5">
        <f>R58+R58*Assumptions!$D$51</f>
        <v>-414.68515101562502</v>
      </c>
      <c r="S70" s="5">
        <f>S58+(S58*Assumptions!$D$51)</f>
        <v>0</v>
      </c>
      <c r="T70" s="5">
        <f t="shared" si="24"/>
        <v>0</v>
      </c>
      <c r="U70" s="22">
        <f t="shared" si="19"/>
        <v>-2033.7544697218073</v>
      </c>
      <c r="V70" s="5">
        <f>MAX(Assumptions!$E$18:$E$19)-U70</f>
        <v>4875.3874815205036</v>
      </c>
      <c r="W70" s="5">
        <f t="shared" si="20"/>
        <v>-2841.6330117986968</v>
      </c>
      <c r="X70" s="5">
        <f t="shared" si="25"/>
        <v>-2033.7544697218073</v>
      </c>
      <c r="Y70" s="5">
        <f>D70*Assumptions!$D$44*-1</f>
        <v>180.20901863579647</v>
      </c>
      <c r="Z70" s="5">
        <f t="shared" si="21"/>
        <v>180.20901863579601</v>
      </c>
      <c r="AA70" s="5">
        <f t="shared" si="31"/>
        <v>18548.773025960876</v>
      </c>
      <c r="AB70" s="3">
        <f>Assumptions!$E$45</f>
        <v>6.9899151946608562E-3</v>
      </c>
      <c r="AC70" s="5">
        <f t="shared" si="32"/>
        <v>18858.636395013153</v>
      </c>
      <c r="AD70" s="4">
        <f>AC70*Assumptions!$E$43</f>
        <v>16.889332708530592</v>
      </c>
      <c r="AE70" s="2">
        <f>AD70*Assumptions!$D$44*-1</f>
        <v>-2.5333999062795889</v>
      </c>
      <c r="AF70" s="2">
        <f>AC70*Assumptions!$E$46*-1</f>
        <v>-0.62850599538966911</v>
      </c>
      <c r="AG70" s="5">
        <f t="shared" si="33"/>
        <v>18855.474489111482</v>
      </c>
      <c r="AH70" s="20">
        <f>Model_30y[[#This Row],[Mortgage Payment]]+Model_30y[[#This Row],[Total Upkeep]]+Model_30y[[#This Row],[Monthly Investment]]</f>
        <v>-3323.4786908203573</v>
      </c>
      <c r="AI70" s="5">
        <f>Model_Renter!D70*-1</f>
        <v>3311.390751722578</v>
      </c>
      <c r="AJ70" s="5">
        <f t="shared" si="26"/>
        <v>-12.087939097779326</v>
      </c>
    </row>
    <row r="71" spans="1:36" x14ac:dyDescent="0.25">
      <c r="A71" s="17">
        <f t="shared" si="27"/>
        <v>69</v>
      </c>
      <c r="B71" s="17">
        <f t="shared" si="22"/>
        <v>6</v>
      </c>
      <c r="C71" s="23">
        <f>IFERROR(PPMT(Assumptions!$E$17, A71, 180, Assumptions!$D$8), 0)</f>
        <v>-1648.2357220535755</v>
      </c>
      <c r="D71" s="38">
        <f>IFERROR(IPMT(Assumptions!$E$17,A71,180,Assumptions!$D$8), 0)</f>
        <v>-1193.3972897451213</v>
      </c>
      <c r="E71" s="2">
        <f t="shared" si="28"/>
        <v>-2841.6330117986968</v>
      </c>
      <c r="F71" s="2">
        <f>IF(I70&gt;1, Assumptions!$E$19, 0)*-1</f>
        <v>-2841.6330117986968</v>
      </c>
      <c r="G71" s="24">
        <f t="shared" si="23"/>
        <v>1</v>
      </c>
      <c r="H71" s="20">
        <f t="shared" si="29"/>
        <v>96848.791671772342</v>
      </c>
      <c r="I71" s="2">
        <f>MAX(Assumptions!$D$8-SUM(Model_15y!H71), 0)</f>
        <v>243151.20832822766</v>
      </c>
      <c r="J71" s="2">
        <f>J70*(1+(Assumptions!$E$51))</f>
        <v>562635.84823787061</v>
      </c>
      <c r="K71" s="22">
        <f t="shared" si="18"/>
        <v>319484.63990964298</v>
      </c>
      <c r="L71" s="5">
        <f t="shared" si="30"/>
        <v>181848.79167177234</v>
      </c>
      <c r="M71" s="63">
        <f>L71/Assumptions!$D$6</f>
        <v>0.42787950981593492</v>
      </c>
      <c r="N71" s="24">
        <f t="shared" si="17"/>
        <v>0</v>
      </c>
      <c r="O71" s="22">
        <f>N71*Assumptions!$E$25*-1</f>
        <v>0</v>
      </c>
      <c r="P71" s="5">
        <f>Assumptions!$E$35*J71*-1</f>
        <v>-1158.9377269141019</v>
      </c>
      <c r="Q71" s="5">
        <f>J71*Assumptions!$E$36*-1</f>
        <v>-466.72788061079666</v>
      </c>
      <c r="R71" s="5">
        <f>R59+R59*Assumptions!$D$51</f>
        <v>-414.68515101562502</v>
      </c>
      <c r="S71" s="5">
        <f>S59+(S59*Assumptions!$D$51)</f>
        <v>0</v>
      </c>
      <c r="T71" s="5">
        <f t="shared" si="24"/>
        <v>0</v>
      </c>
      <c r="U71" s="22">
        <f t="shared" si="19"/>
        <v>-2040.3507585405234</v>
      </c>
      <c r="V71" s="5">
        <f>MAX(Assumptions!$E$18:$E$19)-U71</f>
        <v>4881.9837703392204</v>
      </c>
      <c r="W71" s="5">
        <f t="shared" si="20"/>
        <v>-2841.6330117986968</v>
      </c>
      <c r="X71" s="5">
        <f t="shared" si="25"/>
        <v>-2040.3507585405234</v>
      </c>
      <c r="Y71" s="5">
        <f>D71*Assumptions!$D$44*-1</f>
        <v>179.00959346176819</v>
      </c>
      <c r="Z71" s="5">
        <f t="shared" si="21"/>
        <v>179.00959346176842</v>
      </c>
      <c r="AA71" s="5">
        <f t="shared" si="31"/>
        <v>18855.474489111482</v>
      </c>
      <c r="AB71" s="3">
        <f>Assumptions!$E$45</f>
        <v>6.9899151946608562E-3</v>
      </c>
      <c r="AC71" s="5">
        <f t="shared" si="32"/>
        <v>19166.28225020723</v>
      </c>
      <c r="AD71" s="4">
        <f>AC71*Assumptions!$E$43</f>
        <v>17.164852798951721</v>
      </c>
      <c r="AE71" s="2">
        <f>AD71*Assumptions!$D$44*-1</f>
        <v>-2.5747279198427582</v>
      </c>
      <c r="AF71" s="2">
        <f>AC71*Assumptions!$E$46*-1</f>
        <v>-0.63875897765181133</v>
      </c>
      <c r="AG71" s="5">
        <f t="shared" si="33"/>
        <v>19163.068763309737</v>
      </c>
      <c r="AH71" s="20">
        <f>Model_30y[[#This Row],[Mortgage Payment]]+Model_30y[[#This Row],[Total Upkeep]]+Model_30y[[#This Row],[Monthly Investment]]</f>
        <v>-3330.4345590661128</v>
      </c>
      <c r="AI71" s="5">
        <f>Model_Renter!D71*-1</f>
        <v>3311.390751722578</v>
      </c>
      <c r="AJ71" s="5">
        <f t="shared" si="26"/>
        <v>-19.043807343534809</v>
      </c>
    </row>
    <row r="72" spans="1:36" x14ac:dyDescent="0.25">
      <c r="A72" s="17">
        <f t="shared" si="27"/>
        <v>70</v>
      </c>
      <c r="B72" s="17">
        <f t="shared" si="22"/>
        <v>6</v>
      </c>
      <c r="C72" s="23">
        <f>IFERROR(PPMT(Assumptions!$E$17, A72, 180, Assumptions!$D$8), 0)</f>
        <v>-1656.2708711985865</v>
      </c>
      <c r="D72" s="38">
        <f>IFERROR(IPMT(Assumptions!$E$17,A72,180,Assumptions!$D$8), 0)</f>
        <v>-1185.3621406001103</v>
      </c>
      <c r="E72" s="2">
        <f t="shared" si="28"/>
        <v>-2841.6330117986968</v>
      </c>
      <c r="F72" s="2">
        <f>IF(I71&gt;1, Assumptions!$E$19, 0)*-1</f>
        <v>-2841.6330117986968</v>
      </c>
      <c r="G72" s="24">
        <f t="shared" si="23"/>
        <v>1</v>
      </c>
      <c r="H72" s="20">
        <f t="shared" si="29"/>
        <v>98505.062542970933</v>
      </c>
      <c r="I72" s="2">
        <f>MAX(Assumptions!$D$8-SUM(Model_15y!H72), 0)</f>
        <v>241494.93745702907</v>
      </c>
      <c r="J72" s="2">
        <f>J71*(1+(Assumptions!$E$51))</f>
        <v>564928.09632870974</v>
      </c>
      <c r="K72" s="22">
        <f t="shared" si="18"/>
        <v>323433.15887168067</v>
      </c>
      <c r="L72" s="5">
        <f t="shared" si="30"/>
        <v>183505.06254297093</v>
      </c>
      <c r="M72" s="63">
        <f>L72/Assumptions!$D$6</f>
        <v>0.43177661774816689</v>
      </c>
      <c r="N72" s="24">
        <f t="shared" si="17"/>
        <v>0</v>
      </c>
      <c r="O72" s="22">
        <f>N72*Assumptions!$E$25*-1</f>
        <v>0</v>
      </c>
      <c r="P72" s="5">
        <f>Assumptions!$E$35*J72*-1</f>
        <v>-1163.65938267109</v>
      </c>
      <c r="Q72" s="5">
        <f>J72*Assumptions!$E$36*-1</f>
        <v>-468.62938776968497</v>
      </c>
      <c r="R72" s="5">
        <f>R60+R60*Assumptions!$D$51</f>
        <v>-414.68515101562502</v>
      </c>
      <c r="S72" s="5">
        <f>S60+(S60*Assumptions!$D$51)</f>
        <v>0</v>
      </c>
      <c r="T72" s="5">
        <f t="shared" si="24"/>
        <v>0</v>
      </c>
      <c r="U72" s="22">
        <f t="shared" si="19"/>
        <v>-2046.9739214563999</v>
      </c>
      <c r="V72" s="5">
        <f>MAX(Assumptions!$E$18:$E$19)-U72</f>
        <v>4888.6069332550969</v>
      </c>
      <c r="W72" s="5">
        <f t="shared" si="20"/>
        <v>-2841.6330117986968</v>
      </c>
      <c r="X72" s="5">
        <f t="shared" si="25"/>
        <v>-2046.9739214563999</v>
      </c>
      <c r="Y72" s="5">
        <f>D72*Assumptions!$D$44*-1</f>
        <v>177.80432109001654</v>
      </c>
      <c r="Z72" s="5">
        <f t="shared" si="21"/>
        <v>177.80432109001677</v>
      </c>
      <c r="AA72" s="5">
        <f t="shared" si="31"/>
        <v>19163.068763309737</v>
      </c>
      <c r="AB72" s="3">
        <f>Assumptions!$E$45</f>
        <v>6.9899151946608562E-3</v>
      </c>
      <c r="AC72" s="5">
        <f t="shared" si="32"/>
        <v>19474.821309924744</v>
      </c>
      <c r="AD72" s="4">
        <f>AC72*Assumptions!$E$43</f>
        <v>17.441172821460043</v>
      </c>
      <c r="AE72" s="2">
        <f>AD72*Assumptions!$D$44*-1</f>
        <v>-2.6161759232190063</v>
      </c>
      <c r="AF72" s="2">
        <f>AC72*Assumptions!$E$46*-1</f>
        <v>-0.64904172794099069</v>
      </c>
      <c r="AG72" s="5">
        <f t="shared" si="33"/>
        <v>19471.556092273586</v>
      </c>
      <c r="AH72" s="20">
        <f>Model_30y[[#This Row],[Mortgage Payment]]+Model_30y[[#This Row],[Total Upkeep]]+Model_30y[[#This Row],[Monthly Investment]]</f>
        <v>-3337.4193150538199</v>
      </c>
      <c r="AI72" s="5">
        <f>Model_Renter!D72*-1</f>
        <v>3311.390751722578</v>
      </c>
      <c r="AJ72" s="5">
        <f t="shared" si="26"/>
        <v>-26.028563331241912</v>
      </c>
    </row>
    <row r="73" spans="1:36" x14ac:dyDescent="0.25">
      <c r="A73" s="17">
        <f t="shared" si="27"/>
        <v>71</v>
      </c>
      <c r="B73" s="17">
        <f t="shared" si="22"/>
        <v>6</v>
      </c>
      <c r="C73" s="23">
        <f>IFERROR(PPMT(Assumptions!$E$17, A73, 180, Assumptions!$D$8), 0)</f>
        <v>-1664.3451916956797</v>
      </c>
      <c r="D73" s="38">
        <f>IFERROR(IPMT(Assumptions!$E$17,A73,180,Assumptions!$D$8), 0)</f>
        <v>-1177.2878201030173</v>
      </c>
      <c r="E73" s="2">
        <f t="shared" si="28"/>
        <v>-2841.6330117986972</v>
      </c>
      <c r="F73" s="2">
        <f>IF(I72&gt;1, Assumptions!$E$19, 0)*-1</f>
        <v>-2841.6330117986968</v>
      </c>
      <c r="G73" s="24">
        <f t="shared" si="23"/>
        <v>1</v>
      </c>
      <c r="H73" s="20">
        <f t="shared" si="29"/>
        <v>100169.40773466662</v>
      </c>
      <c r="I73" s="2">
        <f>MAX(Assumptions!$D$8-SUM(Model_15y!H73), 0)</f>
        <v>239830.5922653334</v>
      </c>
      <c r="J73" s="2">
        <f>J72*(1+(Assumptions!$E$51))</f>
        <v>567229.68332201371</v>
      </c>
      <c r="K73" s="22">
        <f t="shared" si="18"/>
        <v>327399.09105668031</v>
      </c>
      <c r="L73" s="5">
        <f t="shared" si="30"/>
        <v>185169.4077346666</v>
      </c>
      <c r="M73" s="63">
        <f>L73/Assumptions!$D$6</f>
        <v>0.43569272408156845</v>
      </c>
      <c r="N73" s="24">
        <f t="shared" si="17"/>
        <v>0</v>
      </c>
      <c r="O73" s="22">
        <f>N73*Assumptions!$E$25*-1</f>
        <v>0</v>
      </c>
      <c r="P73" s="5">
        <f>Assumptions!$E$35*J73*-1</f>
        <v>-1168.4002750380957</v>
      </c>
      <c r="Q73" s="5">
        <f>J73*Assumptions!$E$36*-1</f>
        <v>-470.538641904114</v>
      </c>
      <c r="R73" s="5">
        <f>R61+R61*Assumptions!$D$51</f>
        <v>-414.68515101562502</v>
      </c>
      <c r="S73" s="5">
        <f>S61+(S61*Assumptions!$D$51)</f>
        <v>0</v>
      </c>
      <c r="T73" s="5">
        <f t="shared" si="24"/>
        <v>0</v>
      </c>
      <c r="U73" s="22">
        <f t="shared" si="19"/>
        <v>-2053.624067957835</v>
      </c>
      <c r="V73" s="5">
        <f>MAX(Assumptions!$E$18:$E$19)-U73</f>
        <v>4895.2570797565313</v>
      </c>
      <c r="W73" s="5">
        <f t="shared" si="20"/>
        <v>-2841.6330117986968</v>
      </c>
      <c r="X73" s="5">
        <f t="shared" si="25"/>
        <v>-2053.624067957835</v>
      </c>
      <c r="Y73" s="5">
        <f>D73*Assumptions!$D$44*-1</f>
        <v>176.59317301545261</v>
      </c>
      <c r="Z73" s="5">
        <f t="shared" si="21"/>
        <v>176.59317301545215</v>
      </c>
      <c r="AA73" s="5">
        <f t="shared" si="31"/>
        <v>19471.556092273586</v>
      </c>
      <c r="AB73" s="3">
        <f>Assumptions!$E$45</f>
        <v>6.9899151946608562E-3</v>
      </c>
      <c r="AC73" s="5">
        <f t="shared" si="32"/>
        <v>19784.253791082112</v>
      </c>
      <c r="AD73" s="4">
        <f>AC73*Assumptions!$E$43</f>
        <v>17.718292970320586</v>
      </c>
      <c r="AE73" s="2">
        <f>AD73*Assumptions!$D$44*-1</f>
        <v>-2.6577439455480878</v>
      </c>
      <c r="AF73" s="2">
        <f>AC73*Assumptions!$E$46*-1</f>
        <v>-0.65935425348642906</v>
      </c>
      <c r="AG73" s="5">
        <f t="shared" si="33"/>
        <v>19780.936692883079</v>
      </c>
      <c r="AH73" s="20">
        <f>Model_30y[[#This Row],[Mortgage Payment]]+Model_30y[[#This Row],[Total Upkeep]]+Model_30y[[#This Row],[Monthly Investment]]</f>
        <v>-3344.4330795482883</v>
      </c>
      <c r="AI73" s="5">
        <f>Model_Renter!D73*-1</f>
        <v>3311.390751722578</v>
      </c>
      <c r="AJ73" s="5">
        <f t="shared" si="26"/>
        <v>-33.042327825710345</v>
      </c>
    </row>
    <row r="74" spans="1:36" x14ac:dyDescent="0.25">
      <c r="A74" s="17">
        <f t="shared" si="27"/>
        <v>72</v>
      </c>
      <c r="B74" s="17">
        <f t="shared" si="22"/>
        <v>6</v>
      </c>
      <c r="C74" s="23">
        <f>IFERROR(PPMT(Assumptions!$E$17, A74, 180, Assumptions!$D$8), 0)</f>
        <v>-1672.458874505196</v>
      </c>
      <c r="D74" s="38">
        <f>IFERROR(IPMT(Assumptions!$E$17,A74,180,Assumptions!$D$8), 0)</f>
        <v>-1169.1741372935007</v>
      </c>
      <c r="E74" s="2">
        <f t="shared" si="28"/>
        <v>-2841.6330117986968</v>
      </c>
      <c r="F74" s="2">
        <f>IF(I73&gt;1, Assumptions!$E$19, 0)*-1</f>
        <v>-2841.6330117986968</v>
      </c>
      <c r="G74" s="24">
        <f t="shared" si="23"/>
        <v>1</v>
      </c>
      <c r="H74" s="20">
        <f t="shared" si="29"/>
        <v>101841.86660917182</v>
      </c>
      <c r="I74" s="2">
        <f>MAX(Assumptions!$D$8-SUM(Model_15y!H74), 0)</f>
        <v>238158.13339082818</v>
      </c>
      <c r="J74" s="2">
        <f>J73*(1+(Assumptions!$E$51))</f>
        <v>569540.64726562728</v>
      </c>
      <c r="K74" s="22">
        <f t="shared" si="18"/>
        <v>331382.51387479913</v>
      </c>
      <c r="L74" s="5">
        <f t="shared" si="30"/>
        <v>186841.86660917179</v>
      </c>
      <c r="M74" s="63">
        <f>L74/Assumptions!$D$6</f>
        <v>0.43962792143334539</v>
      </c>
      <c r="N74" s="24">
        <f t="shared" si="17"/>
        <v>0</v>
      </c>
      <c r="O74" s="22">
        <f>N74*Assumptions!$E$25*-1</f>
        <v>0</v>
      </c>
      <c r="P74" s="5">
        <f>Assumptions!$E$35*J74*-1</f>
        <v>-1173.16048238745</v>
      </c>
      <c r="Q74" s="5">
        <f>J74*Assumptions!$E$36*-1</f>
        <v>-472.45567457622116</v>
      </c>
      <c r="R74" s="5">
        <f>R62+R62*Assumptions!$D$51</f>
        <v>-414.68515101562502</v>
      </c>
      <c r="S74" s="5">
        <f>S62+(S62*Assumptions!$D$51)</f>
        <v>0</v>
      </c>
      <c r="T74" s="5">
        <f t="shared" si="24"/>
        <v>0</v>
      </c>
      <c r="U74" s="22">
        <f t="shared" si="19"/>
        <v>-2060.3013079792963</v>
      </c>
      <c r="V74" s="5">
        <f>MAX(Assumptions!$E$18:$E$19)-U74</f>
        <v>4901.9343197779926</v>
      </c>
      <c r="W74" s="5">
        <f t="shared" si="20"/>
        <v>-2841.6330117986968</v>
      </c>
      <c r="X74" s="5">
        <f t="shared" si="25"/>
        <v>-2060.3013079792963</v>
      </c>
      <c r="Y74" s="5">
        <f>D74*Assumptions!$D$44*-1</f>
        <v>175.37612059402511</v>
      </c>
      <c r="Z74" s="5">
        <f t="shared" si="21"/>
        <v>175.37612059402466</v>
      </c>
      <c r="AA74" s="5">
        <f t="shared" si="31"/>
        <v>19780.936692883079</v>
      </c>
      <c r="AB74" s="3">
        <f>Assumptions!$E$45</f>
        <v>6.9899151946608562E-3</v>
      </c>
      <c r="AC74" s="5">
        <f t="shared" si="32"/>
        <v>20094.57988343131</v>
      </c>
      <c r="AD74" s="4">
        <f>AC74*Assumptions!$E$43</f>
        <v>17.996213415470574</v>
      </c>
      <c r="AE74" s="2">
        <f>AD74*Assumptions!$D$44*-1</f>
        <v>-2.6994320123205862</v>
      </c>
      <c r="AF74" s="2">
        <f>AC74*Assumptions!$E$46*-1</f>
        <v>-0.66969656061203298</v>
      </c>
      <c r="AG74" s="5">
        <f t="shared" si="33"/>
        <v>20091.210754858377</v>
      </c>
      <c r="AH74" s="20">
        <f>Model_30y[[#This Row],[Mortgage Payment]]+Model_30y[[#This Row],[Total Upkeep]]+Model_30y[[#This Row],[Monthly Investment]]</f>
        <v>-3351.4759738235434</v>
      </c>
      <c r="AI74" s="5">
        <f>Model_Renter!D74*-1</f>
        <v>3311.390751722578</v>
      </c>
      <c r="AJ74" s="5">
        <f t="shared" si="26"/>
        <v>-40.085222100965439</v>
      </c>
    </row>
    <row r="75" spans="1:36" x14ac:dyDescent="0.25">
      <c r="A75" s="17">
        <f t="shared" si="27"/>
        <v>73</v>
      </c>
      <c r="B75" s="17">
        <f t="shared" si="22"/>
        <v>7</v>
      </c>
      <c r="C75" s="23">
        <f>IFERROR(PPMT(Assumptions!$E$17, A75, 180, Assumptions!$D$8), 0)</f>
        <v>-1680.6121115184089</v>
      </c>
      <c r="D75" s="38">
        <f>IFERROR(IPMT(Assumptions!$E$17,A75,180,Assumptions!$D$8), 0)</f>
        <v>-1161.0209002802876</v>
      </c>
      <c r="E75" s="2">
        <f t="shared" si="28"/>
        <v>-2841.6330117986963</v>
      </c>
      <c r="F75" s="2">
        <f>IF(I74&gt;1, Assumptions!$E$19, 0)*-1</f>
        <v>-2841.6330117986968</v>
      </c>
      <c r="G75" s="24">
        <f t="shared" si="23"/>
        <v>1</v>
      </c>
      <c r="H75" s="20">
        <f t="shared" si="29"/>
        <v>103522.47872069023</v>
      </c>
      <c r="I75" s="2">
        <f>MAX(Assumptions!$D$8-SUM(Model_15y!H75), 0)</f>
        <v>236477.52127930976</v>
      </c>
      <c r="J75" s="2">
        <f>J74*(1+(Assumptions!$E$51))</f>
        <v>571861.02636240667</v>
      </c>
      <c r="K75" s="22">
        <f t="shared" si="18"/>
        <v>335383.50508309691</v>
      </c>
      <c r="L75" s="5">
        <f t="shared" si="30"/>
        <v>188522.47872069021</v>
      </c>
      <c r="M75" s="63">
        <f>L75/Assumptions!$D$6</f>
        <v>0.44358230287221229</v>
      </c>
      <c r="N75" s="24">
        <f t="shared" si="17"/>
        <v>0</v>
      </c>
      <c r="O75" s="22">
        <f>N75*Assumptions!$E$25*-1</f>
        <v>0</v>
      </c>
      <c r="P75" s="5">
        <f>Assumptions!$E$35*J75*-1</f>
        <v>-1177.940083410781</v>
      </c>
      <c r="Q75" s="5">
        <f>J75*Assumptions!$E$36*-1</f>
        <v>-474.38051747673177</v>
      </c>
      <c r="R75" s="5">
        <f>R63+R63*Assumptions!$D$51</f>
        <v>-435.41940856640628</v>
      </c>
      <c r="S75" s="5">
        <f>S63+(S63*Assumptions!$D$51)</f>
        <v>0</v>
      </c>
      <c r="T75" s="5">
        <f t="shared" si="24"/>
        <v>0</v>
      </c>
      <c r="U75" s="22">
        <f t="shared" si="19"/>
        <v>-2087.7400094539189</v>
      </c>
      <c r="V75" s="5">
        <f>MAX(Assumptions!$E$18:$E$19)-U75</f>
        <v>4929.3730212526152</v>
      </c>
      <c r="W75" s="5">
        <f t="shared" si="20"/>
        <v>-2841.6330117986968</v>
      </c>
      <c r="X75" s="5">
        <f t="shared" si="25"/>
        <v>-2087.7400094539189</v>
      </c>
      <c r="Y75" s="5">
        <f>D75*Assumptions!$D$44*-1</f>
        <v>174.15313504204315</v>
      </c>
      <c r="Z75" s="5">
        <f t="shared" si="21"/>
        <v>174.15313504204269</v>
      </c>
      <c r="AA75" s="5">
        <f t="shared" si="31"/>
        <v>20091.210754858377</v>
      </c>
      <c r="AB75" s="3">
        <f>Assumptions!$E$45</f>
        <v>6.9899151946608562E-3</v>
      </c>
      <c r="AC75" s="5">
        <f t="shared" si="32"/>
        <v>20405.799749234935</v>
      </c>
      <c r="AD75" s="4">
        <f>AC75*Assumptions!$E$43</f>
        <v>18.274934302228409</v>
      </c>
      <c r="AE75" s="2">
        <f>AD75*Assumptions!$D$44*-1</f>
        <v>-2.7412401453342614</v>
      </c>
      <c r="AF75" s="2">
        <f>AC75*Assumptions!$E$46*-1</f>
        <v>-0.68006865472556455</v>
      </c>
      <c r="AG75" s="5">
        <f t="shared" si="33"/>
        <v>20402.378440434873</v>
      </c>
      <c r="AH75" s="20">
        <f>Model_30y[[#This Row],[Mortgage Payment]]+Model_30y[[#This Row],[Total Upkeep]]+Model_30y[[#This Row],[Monthly Investment]]</f>
        <v>-3379.2823772157813</v>
      </c>
      <c r="AI75" s="5">
        <f>Model_Renter!D75*-1</f>
        <v>3435.2367658370026</v>
      </c>
      <c r="AJ75" s="5">
        <f t="shared" si="26"/>
        <v>55.954388621221369</v>
      </c>
    </row>
    <row r="76" spans="1:36" x14ac:dyDescent="0.25">
      <c r="A76" s="17">
        <f t="shared" si="27"/>
        <v>74</v>
      </c>
      <c r="B76" s="17">
        <f t="shared" si="22"/>
        <v>7</v>
      </c>
      <c r="C76" s="23">
        <f>IFERROR(PPMT(Assumptions!$E$17, A76, 180, Assumptions!$D$8), 0)</f>
        <v>-1688.8050955620613</v>
      </c>
      <c r="D76" s="38">
        <f>IFERROR(IPMT(Assumptions!$E$17,A76,180,Assumptions!$D$8), 0)</f>
        <v>-1152.8279162366355</v>
      </c>
      <c r="E76" s="2">
        <f t="shared" si="28"/>
        <v>-2841.6330117986968</v>
      </c>
      <c r="F76" s="2">
        <f>IF(I75&gt;1, Assumptions!$E$19, 0)*-1</f>
        <v>-2841.6330117986968</v>
      </c>
      <c r="G76" s="24">
        <f t="shared" si="23"/>
        <v>1</v>
      </c>
      <c r="H76" s="20">
        <f t="shared" si="29"/>
        <v>105211.28381625228</v>
      </c>
      <c r="I76" s="2">
        <f>MAX(Assumptions!$D$8-SUM(Model_15y!H76), 0)</f>
        <v>234788.71618374772</v>
      </c>
      <c r="J76" s="2">
        <f>J75*(1+(Assumptions!$E$51))</f>
        <v>574190.85897085129</v>
      </c>
      <c r="K76" s="22">
        <f t="shared" si="18"/>
        <v>339402.14278710354</v>
      </c>
      <c r="L76" s="5">
        <f t="shared" si="30"/>
        <v>190211.28381625228</v>
      </c>
      <c r="M76" s="63">
        <f>L76/Assumptions!$D$6</f>
        <v>0.4475559619205936</v>
      </c>
      <c r="N76" s="24">
        <f t="shared" si="17"/>
        <v>0</v>
      </c>
      <c r="O76" s="22">
        <f>N76*Assumptions!$E$25*-1</f>
        <v>0</v>
      </c>
      <c r="P76" s="5">
        <f>Assumptions!$E$35*J76*-1</f>
        <v>-1182.7391571203175</v>
      </c>
      <c r="Q76" s="5">
        <f>J76*Assumptions!$E$36*-1</f>
        <v>-476.31320242548315</v>
      </c>
      <c r="R76" s="5">
        <f>R64+R64*Assumptions!$D$51</f>
        <v>-435.41940856640628</v>
      </c>
      <c r="S76" s="5">
        <f>S64+(S64*Assumptions!$D$51)</f>
        <v>0</v>
      </c>
      <c r="T76" s="5">
        <f t="shared" si="24"/>
        <v>0</v>
      </c>
      <c r="U76" s="22">
        <f t="shared" si="19"/>
        <v>-2094.471768112207</v>
      </c>
      <c r="V76" s="5">
        <f>MAX(Assumptions!$E$18:$E$19)-U76</f>
        <v>4936.1047799109037</v>
      </c>
      <c r="W76" s="5">
        <f t="shared" si="20"/>
        <v>-2841.6330117986968</v>
      </c>
      <c r="X76" s="5">
        <f t="shared" si="25"/>
        <v>-2094.471768112207</v>
      </c>
      <c r="Y76" s="5">
        <f>D76*Assumptions!$D$44*-1</f>
        <v>172.92418743549533</v>
      </c>
      <c r="Z76" s="5">
        <f t="shared" si="21"/>
        <v>172.92418743549533</v>
      </c>
      <c r="AA76" s="5">
        <f t="shared" si="31"/>
        <v>20402.378440434873</v>
      </c>
      <c r="AB76" s="3">
        <f>Assumptions!$E$45</f>
        <v>6.9899151946608562E-3</v>
      </c>
      <c r="AC76" s="5">
        <f t="shared" si="32"/>
        <v>20717.913522938386</v>
      </c>
      <c r="AD76" s="4">
        <f>AC76*Assumptions!$E$43</f>
        <v>18.554455751000102</v>
      </c>
      <c r="AE76" s="2">
        <f>AD76*Assumptions!$D$44*-1</f>
        <v>-2.7831683626500152</v>
      </c>
      <c r="AF76" s="2">
        <f>AC76*Assumptions!$E$46*-1</f>
        <v>-0.69047054030771537</v>
      </c>
      <c r="AG76" s="5">
        <f t="shared" si="33"/>
        <v>20714.43988403543</v>
      </c>
      <c r="AH76" s="20">
        <f>Model_30y[[#This Row],[Mortgage Payment]]+Model_30y[[#This Row],[Total Upkeep]]+Model_30y[[#This Row],[Monthly Investment]]</f>
        <v>-3386.3838969224234</v>
      </c>
      <c r="AI76" s="5">
        <f>Model_Renter!D76*-1</f>
        <v>3435.2367658370026</v>
      </c>
      <c r="AJ76" s="5">
        <f t="shared" si="26"/>
        <v>48.852868914579176</v>
      </c>
    </row>
    <row r="77" spans="1:36" x14ac:dyDescent="0.25">
      <c r="A77" s="17">
        <f t="shared" si="27"/>
        <v>75</v>
      </c>
      <c r="B77" s="17">
        <f t="shared" si="22"/>
        <v>7</v>
      </c>
      <c r="C77" s="23">
        <f>IFERROR(PPMT(Assumptions!$E$17, A77, 180, Assumptions!$D$8), 0)</f>
        <v>-1697.0380204029263</v>
      </c>
      <c r="D77" s="38">
        <f>IFERROR(IPMT(Assumptions!$E$17,A77,180,Assumptions!$D$8), 0)</f>
        <v>-1144.5949913957706</v>
      </c>
      <c r="E77" s="2">
        <f t="shared" si="28"/>
        <v>-2841.6330117986972</v>
      </c>
      <c r="F77" s="2">
        <f>IF(I76&gt;1, Assumptions!$E$19, 0)*-1</f>
        <v>-2841.6330117986968</v>
      </c>
      <c r="G77" s="24">
        <f t="shared" si="23"/>
        <v>1</v>
      </c>
      <c r="H77" s="20">
        <f t="shared" si="29"/>
        <v>106908.3218366552</v>
      </c>
      <c r="I77" s="2">
        <f>MAX(Assumptions!$D$8-SUM(Model_15y!H77), 0)</f>
        <v>233091.6781633448</v>
      </c>
      <c r="J77" s="2">
        <f>J76*(1+(Assumptions!$E$51))</f>
        <v>576530.18360573787</v>
      </c>
      <c r="K77" s="22">
        <f t="shared" si="18"/>
        <v>343438.50544239307</v>
      </c>
      <c r="L77" s="5">
        <f t="shared" si="30"/>
        <v>191908.3218366552</v>
      </c>
      <c r="M77" s="63">
        <f>L77/Assumptions!$D$6</f>
        <v>0.45154899255683578</v>
      </c>
      <c r="N77" s="24">
        <f t="shared" si="17"/>
        <v>0</v>
      </c>
      <c r="O77" s="22">
        <f>N77*Assumptions!$E$25*-1</f>
        <v>0</v>
      </c>
      <c r="P77" s="5">
        <f>Assumptions!$E$35*J77*-1</f>
        <v>-1187.5577828501937</v>
      </c>
      <c r="Q77" s="5">
        <f>J77*Assumptions!$E$36*-1</f>
        <v>-478.25376137195047</v>
      </c>
      <c r="R77" s="5">
        <f>R65+R65*Assumptions!$D$51</f>
        <v>-435.41940856640628</v>
      </c>
      <c r="S77" s="5">
        <f>S65+(S65*Assumptions!$D$51)</f>
        <v>0</v>
      </c>
      <c r="T77" s="5">
        <f t="shared" si="24"/>
        <v>0</v>
      </c>
      <c r="U77" s="22">
        <f t="shared" si="19"/>
        <v>-2101.2309527885504</v>
      </c>
      <c r="V77" s="5">
        <f>MAX(Assumptions!$E$18:$E$19)-U77</f>
        <v>4942.8639645872472</v>
      </c>
      <c r="W77" s="5">
        <f t="shared" si="20"/>
        <v>-2841.6330117986968</v>
      </c>
      <c r="X77" s="5">
        <f t="shared" si="25"/>
        <v>-2101.2309527885504</v>
      </c>
      <c r="Y77" s="5">
        <f>D77*Assumptions!$D$44*-1</f>
        <v>171.68924870936559</v>
      </c>
      <c r="Z77" s="5">
        <f t="shared" si="21"/>
        <v>171.68924870936559</v>
      </c>
      <c r="AA77" s="5">
        <f t="shared" si="31"/>
        <v>20714.43988403543</v>
      </c>
      <c r="AB77" s="3">
        <f>Assumptions!$E$45</f>
        <v>6.9899151946608562E-3</v>
      </c>
      <c r="AC77" s="5">
        <f t="shared" si="32"/>
        <v>21030.921310839101</v>
      </c>
      <c r="AD77" s="4">
        <f>AC77*Assumptions!$E$43</f>
        <v>18.834777856983028</v>
      </c>
      <c r="AE77" s="2">
        <f>AD77*Assumptions!$D$44*-1</f>
        <v>-2.825216678547454</v>
      </c>
      <c r="AF77" s="2">
        <f>AC77*Assumptions!$E$46*-1</f>
        <v>-0.70090222090108423</v>
      </c>
      <c r="AG77" s="5">
        <f t="shared" si="33"/>
        <v>21027.395191939653</v>
      </c>
      <c r="AH77" s="20">
        <f>Model_30y[[#This Row],[Mortgage Payment]]+Model_30y[[#This Row],[Total Upkeep]]+Model_30y[[#This Row],[Monthly Investment]]</f>
        <v>-3393.5149133089913</v>
      </c>
      <c r="AI77" s="5">
        <f>Model_Renter!D77*-1</f>
        <v>3435.2367658370026</v>
      </c>
      <c r="AJ77" s="5">
        <f t="shared" si="26"/>
        <v>41.721852528011368</v>
      </c>
    </row>
    <row r="78" spans="1:36" x14ac:dyDescent="0.25">
      <c r="A78" s="17">
        <f t="shared" si="27"/>
        <v>76</v>
      </c>
      <c r="B78" s="17">
        <f t="shared" si="22"/>
        <v>7</v>
      </c>
      <c r="C78" s="23">
        <f>IFERROR(PPMT(Assumptions!$E$17, A78, 180, Assumptions!$D$8), 0)</f>
        <v>-1705.3110807523904</v>
      </c>
      <c r="D78" s="38">
        <f>IFERROR(IPMT(Assumptions!$E$17,A78,180,Assumptions!$D$8), 0)</f>
        <v>-1136.3219310463064</v>
      </c>
      <c r="E78" s="2">
        <f t="shared" si="28"/>
        <v>-2841.6330117986968</v>
      </c>
      <c r="F78" s="2">
        <f>IF(I77&gt;1, Assumptions!$E$19, 0)*-1</f>
        <v>-2841.6330117986968</v>
      </c>
      <c r="G78" s="24">
        <f t="shared" si="23"/>
        <v>1</v>
      </c>
      <c r="H78" s="20">
        <f t="shared" si="29"/>
        <v>108613.63291740759</v>
      </c>
      <c r="I78" s="2">
        <f>MAX(Assumptions!$D$8-SUM(Model_15y!H78), 0)</f>
        <v>231386.36708259239</v>
      </c>
      <c r="J78" s="2">
        <f>J77*(1+(Assumptions!$E$51))</f>
        <v>578879.03893875715</v>
      </c>
      <c r="K78" s="22">
        <f t="shared" si="18"/>
        <v>347492.67185616476</v>
      </c>
      <c r="L78" s="5">
        <f t="shared" si="30"/>
        <v>193613.63291740758</v>
      </c>
      <c r="M78" s="63">
        <f>L78/Assumptions!$D$6</f>
        <v>0.45556148921742962</v>
      </c>
      <c r="N78" s="24">
        <f t="shared" si="17"/>
        <v>0</v>
      </c>
      <c r="O78" s="22">
        <f>N78*Assumptions!$E$25*-1</f>
        <v>0</v>
      </c>
      <c r="P78" s="5">
        <f>Assumptions!$E$35*J78*-1</f>
        <v>-1192.3960402577602</v>
      </c>
      <c r="Q78" s="5">
        <f>J78*Assumptions!$E$36*-1</f>
        <v>-480.2022263957752</v>
      </c>
      <c r="R78" s="5">
        <f>R66+R66*Assumptions!$D$51</f>
        <v>-435.41940856640628</v>
      </c>
      <c r="S78" s="5">
        <f>S66+(S66*Assumptions!$D$51)</f>
        <v>0</v>
      </c>
      <c r="T78" s="5">
        <f t="shared" si="24"/>
        <v>0</v>
      </c>
      <c r="U78" s="22">
        <f t="shared" si="19"/>
        <v>-2108.0176752199418</v>
      </c>
      <c r="V78" s="5">
        <f>MAX(Assumptions!$E$18:$E$19)-U78</f>
        <v>4949.6506870186386</v>
      </c>
      <c r="W78" s="5">
        <f t="shared" si="20"/>
        <v>-2841.6330117986968</v>
      </c>
      <c r="X78" s="5">
        <f t="shared" si="25"/>
        <v>-2108.0176752199418</v>
      </c>
      <c r="Y78" s="5">
        <f>D78*Assumptions!$D$44*-1</f>
        <v>170.44828965694595</v>
      </c>
      <c r="Z78" s="5">
        <f t="shared" si="21"/>
        <v>170.44828965694595</v>
      </c>
      <c r="AA78" s="5">
        <f t="shared" si="31"/>
        <v>21027.395191939653</v>
      </c>
      <c r="AB78" s="3">
        <f>Assumptions!$E$45</f>
        <v>6.9899151946608562E-3</v>
      </c>
      <c r="AC78" s="5">
        <f t="shared" si="32"/>
        <v>21344.823190752875</v>
      </c>
      <c r="AD78" s="4">
        <f>AC78*Assumptions!$E$43</f>
        <v>19.115900689867107</v>
      </c>
      <c r="AE78" s="2">
        <f>AD78*Assumptions!$D$44*-1</f>
        <v>-2.8673851034800659</v>
      </c>
      <c r="AF78" s="2">
        <f>AC78*Assumptions!$E$46*-1</f>
        <v>-0.71136369909905528</v>
      </c>
      <c r="AG78" s="5">
        <f t="shared" si="33"/>
        <v>21341.244441950297</v>
      </c>
      <c r="AH78" s="20">
        <f>Model_30y[[#This Row],[Mortgage Payment]]+Model_30y[[#This Row],[Total Upkeep]]+Model_30y[[#This Row],[Monthly Investment]]</f>
        <v>-3400.6755497081845</v>
      </c>
      <c r="AI78" s="5">
        <f>Model_Renter!D78*-1</f>
        <v>3435.2367658370026</v>
      </c>
      <c r="AJ78" s="5">
        <f t="shared" si="26"/>
        <v>34.56121612881816</v>
      </c>
    </row>
    <row r="79" spans="1:36" x14ac:dyDescent="0.25">
      <c r="A79" s="17">
        <f t="shared" si="27"/>
        <v>77</v>
      </c>
      <c r="B79" s="17">
        <f t="shared" si="22"/>
        <v>7</v>
      </c>
      <c r="C79" s="23">
        <f>IFERROR(PPMT(Assumptions!$E$17, A79, 180, Assumptions!$D$8), 0)</f>
        <v>-1713.6244722710583</v>
      </c>
      <c r="D79" s="38">
        <f>IFERROR(IPMT(Assumptions!$E$17,A79,180,Assumptions!$D$8), 0)</f>
        <v>-1128.0085395276385</v>
      </c>
      <c r="E79" s="2">
        <f t="shared" si="28"/>
        <v>-2841.6330117986968</v>
      </c>
      <c r="F79" s="2">
        <f>IF(I78&gt;1, Assumptions!$E$19, 0)*-1</f>
        <v>-2841.6330117986968</v>
      </c>
      <c r="G79" s="24">
        <f t="shared" si="23"/>
        <v>1</v>
      </c>
      <c r="H79" s="20">
        <f t="shared" si="29"/>
        <v>110327.25738967865</v>
      </c>
      <c r="I79" s="2">
        <f>MAX(Assumptions!$D$8-SUM(Model_15y!H79), 0)</f>
        <v>229672.74261032135</v>
      </c>
      <c r="J79" s="2">
        <f>J78*(1+(Assumptions!$E$51))</f>
        <v>581237.46379915299</v>
      </c>
      <c r="K79" s="22">
        <f t="shared" si="18"/>
        <v>351564.72118883161</v>
      </c>
      <c r="L79" s="5">
        <f t="shared" si="30"/>
        <v>195327.25738967865</v>
      </c>
      <c r="M79" s="63">
        <f>L79/Assumptions!$D$6</f>
        <v>0.45959354679924386</v>
      </c>
      <c r="N79" s="24">
        <f t="shared" si="17"/>
        <v>0</v>
      </c>
      <c r="O79" s="22">
        <f>N79*Assumptions!$E$25*-1</f>
        <v>0</v>
      </c>
      <c r="P79" s="5">
        <f>Assumptions!$E$35*J79*-1</f>
        <v>-1197.2540093249024</v>
      </c>
      <c r="Q79" s="5">
        <f>J79*Assumptions!$E$36*-1</f>
        <v>-482.15862970729506</v>
      </c>
      <c r="R79" s="5">
        <f>R67+R67*Assumptions!$D$51</f>
        <v>-435.41940856640628</v>
      </c>
      <c r="S79" s="5">
        <f>S67+(S67*Assumptions!$D$51)</f>
        <v>0</v>
      </c>
      <c r="T79" s="5">
        <f t="shared" si="24"/>
        <v>0</v>
      </c>
      <c r="U79" s="22">
        <f t="shared" si="19"/>
        <v>-2114.8320475986038</v>
      </c>
      <c r="V79" s="5">
        <f>MAX(Assumptions!$E$18:$E$19)-U79</f>
        <v>4956.4650593973001</v>
      </c>
      <c r="W79" s="5">
        <f t="shared" si="20"/>
        <v>-2841.6330117986968</v>
      </c>
      <c r="X79" s="5">
        <f t="shared" si="25"/>
        <v>-2114.8320475986038</v>
      </c>
      <c r="Y79" s="5">
        <f>D79*Assumptions!$D$44*-1</f>
        <v>169.20128092914578</v>
      </c>
      <c r="Z79" s="5">
        <f t="shared" si="21"/>
        <v>169.20128092914533</v>
      </c>
      <c r="AA79" s="5">
        <f t="shared" si="31"/>
        <v>21341.244441950297</v>
      </c>
      <c r="AB79" s="3">
        <f>Assumptions!$E$45</f>
        <v>6.9899151946608562E-3</v>
      </c>
      <c r="AC79" s="5">
        <f t="shared" si="32"/>
        <v>21659.6192116772</v>
      </c>
      <c r="AD79" s="4">
        <f>AC79*Assumptions!$E$43</f>
        <v>19.397824293533297</v>
      </c>
      <c r="AE79" s="2">
        <f>AD79*Assumptions!$D$44*-1</f>
        <v>-2.9096736440299944</v>
      </c>
      <c r="AF79" s="2">
        <f>AC79*Assumptions!$E$46*-1</f>
        <v>-0.7218549765345792</v>
      </c>
      <c r="AG79" s="5">
        <f t="shared" si="33"/>
        <v>21655.987683056635</v>
      </c>
      <c r="AH79" s="20">
        <f>Model_30y[[#This Row],[Mortgage Payment]]+Model_30y[[#This Row],[Total Upkeep]]+Model_30y[[#This Row],[Monthly Investment]]</f>
        <v>-3407.8659299728683</v>
      </c>
      <c r="AI79" s="5">
        <f>Model_Renter!D79*-1</f>
        <v>3435.2367658370026</v>
      </c>
      <c r="AJ79" s="5">
        <f t="shared" si="26"/>
        <v>27.370835864134278</v>
      </c>
    </row>
    <row r="80" spans="1:36" x14ac:dyDescent="0.25">
      <c r="A80" s="17">
        <f t="shared" si="27"/>
        <v>78</v>
      </c>
      <c r="B80" s="17">
        <f t="shared" si="22"/>
        <v>7</v>
      </c>
      <c r="C80" s="23">
        <f>IFERROR(PPMT(Assumptions!$E$17, A80, 180, Assumptions!$D$8), 0)</f>
        <v>-1721.9783915733799</v>
      </c>
      <c r="D80" s="38">
        <f>IFERROR(IPMT(Assumptions!$E$17,A80,180,Assumptions!$D$8), 0)</f>
        <v>-1119.6546202253171</v>
      </c>
      <c r="E80" s="2">
        <f t="shared" si="28"/>
        <v>-2841.6330117986972</v>
      </c>
      <c r="F80" s="2">
        <f>IF(I79&gt;1, Assumptions!$E$19, 0)*-1</f>
        <v>-2841.6330117986968</v>
      </c>
      <c r="G80" s="24">
        <f t="shared" si="23"/>
        <v>1</v>
      </c>
      <c r="H80" s="20">
        <f t="shared" si="29"/>
        <v>112049.23578125203</v>
      </c>
      <c r="I80" s="2">
        <f>MAX(Assumptions!$D$8-SUM(Model_15y!H80), 0)</f>
        <v>227950.76421874797</v>
      </c>
      <c r="J80" s="2">
        <f>J79*(1+(Assumptions!$E$51))</f>
        <v>583605.49717436451</v>
      </c>
      <c r="K80" s="22">
        <f t="shared" si="18"/>
        <v>355654.73295561655</v>
      </c>
      <c r="L80" s="5">
        <f t="shared" si="30"/>
        <v>197049.23578125203</v>
      </c>
      <c r="M80" s="63">
        <f>L80/Assumptions!$D$6</f>
        <v>0.46364526066176948</v>
      </c>
      <c r="N80" s="24">
        <f t="shared" si="17"/>
        <v>0</v>
      </c>
      <c r="O80" s="22">
        <f>N80*Assumptions!$E$25*-1</f>
        <v>0</v>
      </c>
      <c r="P80" s="5">
        <f>Assumptions!$E$35*J80*-1</f>
        <v>-1202.1317703593613</v>
      </c>
      <c r="Q80" s="5">
        <f>J80*Assumptions!$E$36*-1</f>
        <v>-484.12300364807686</v>
      </c>
      <c r="R80" s="5">
        <f>R68+R68*Assumptions!$D$51</f>
        <v>-435.41940856640628</v>
      </c>
      <c r="S80" s="5">
        <f>S68+(S68*Assumptions!$D$51)</f>
        <v>0</v>
      </c>
      <c r="T80" s="5">
        <f t="shared" si="24"/>
        <v>0</v>
      </c>
      <c r="U80" s="22">
        <f t="shared" si="19"/>
        <v>-2121.6741825738445</v>
      </c>
      <c r="V80" s="5">
        <f>MAX(Assumptions!$E$18:$E$19)-U80</f>
        <v>4963.3071943725408</v>
      </c>
      <c r="W80" s="5">
        <f t="shared" si="20"/>
        <v>-2841.6330117986968</v>
      </c>
      <c r="X80" s="5">
        <f t="shared" si="25"/>
        <v>-2121.6741825738445</v>
      </c>
      <c r="Y80" s="5">
        <f>D80*Assumptions!$D$44*-1</f>
        <v>167.94819303379757</v>
      </c>
      <c r="Z80" s="5">
        <f t="shared" si="21"/>
        <v>167.94819303379711</v>
      </c>
      <c r="AA80" s="5">
        <f t="shared" si="31"/>
        <v>21655.987683056635</v>
      </c>
      <c r="AB80" s="3">
        <f>Assumptions!$E$45</f>
        <v>6.9899151946608562E-3</v>
      </c>
      <c r="AC80" s="5">
        <f t="shared" si="32"/>
        <v>21975.309393451618</v>
      </c>
      <c r="AD80" s="4">
        <f>AC80*Assumptions!$E$43</f>
        <v>19.680548685749407</v>
      </c>
      <c r="AE80" s="2">
        <f>AD80*Assumptions!$D$44*-1</f>
        <v>-2.952082302862411</v>
      </c>
      <c r="AF80" s="2">
        <f>AC80*Assumptions!$E$46*-1</f>
        <v>-0.73237605386885252</v>
      </c>
      <c r="AG80" s="5">
        <f t="shared" si="33"/>
        <v>21971.624935094886</v>
      </c>
      <c r="AH80" s="20">
        <f>Model_30y[[#This Row],[Mortgage Payment]]+Model_30y[[#This Row],[Total Upkeep]]+Model_30y[[#This Row],[Monthly Investment]]</f>
        <v>-3415.0861784782924</v>
      </c>
      <c r="AI80" s="5">
        <f>Model_Renter!D80*-1</f>
        <v>3435.2367658370026</v>
      </c>
      <c r="AJ80" s="5">
        <f t="shared" si="26"/>
        <v>20.150587358710254</v>
      </c>
    </row>
    <row r="81" spans="1:36" x14ac:dyDescent="0.25">
      <c r="A81" s="17">
        <f t="shared" si="27"/>
        <v>79</v>
      </c>
      <c r="B81" s="17">
        <f t="shared" si="22"/>
        <v>7</v>
      </c>
      <c r="C81" s="23">
        <f>IFERROR(PPMT(Assumptions!$E$17, A81, 180, Assumptions!$D$8), 0)</f>
        <v>-1730.3730362323001</v>
      </c>
      <c r="D81" s="38">
        <f>IFERROR(IPMT(Assumptions!$E$17,A81,180,Assumptions!$D$8), 0)</f>
        <v>-1111.2599755663969</v>
      </c>
      <c r="E81" s="2">
        <f t="shared" si="28"/>
        <v>-2841.6330117986972</v>
      </c>
      <c r="F81" s="2">
        <f>IF(I80&gt;1, Assumptions!$E$19, 0)*-1</f>
        <v>-2841.6330117986968</v>
      </c>
      <c r="G81" s="24">
        <f t="shared" si="23"/>
        <v>1</v>
      </c>
      <c r="H81" s="20">
        <f t="shared" si="29"/>
        <v>113779.60881748433</v>
      </c>
      <c r="I81" s="2">
        <f>MAX(Assumptions!$D$8-SUM(Model_15y!H81), 0)</f>
        <v>226220.39118251565</v>
      </c>
      <c r="J81" s="2">
        <f>J80*(1+(Assumptions!$E$51))</f>
        <v>585983.17821067048</v>
      </c>
      <c r="K81" s="22">
        <f t="shared" si="18"/>
        <v>359762.78702815482</v>
      </c>
      <c r="L81" s="5">
        <f t="shared" si="30"/>
        <v>198779.60881748435</v>
      </c>
      <c r="M81" s="63">
        <f>L81/Assumptions!$D$6</f>
        <v>0.46771672662937491</v>
      </c>
      <c r="N81" s="24">
        <f t="shared" si="17"/>
        <v>0</v>
      </c>
      <c r="O81" s="22">
        <f>N81*Assumptions!$E$25*-1</f>
        <v>0</v>
      </c>
      <c r="P81" s="5">
        <f>Assumptions!$E$35*J81*-1</f>
        <v>-1207.0294039960615</v>
      </c>
      <c r="Q81" s="5">
        <f>J81*Assumptions!$E$36*-1</f>
        <v>-486.09538069145071</v>
      </c>
      <c r="R81" s="5">
        <f>R69+R69*Assumptions!$D$51</f>
        <v>-435.41940856640628</v>
      </c>
      <c r="S81" s="5">
        <f>S69+(S69*Assumptions!$D$51)</f>
        <v>0</v>
      </c>
      <c r="T81" s="5">
        <f t="shared" si="24"/>
        <v>0</v>
      </c>
      <c r="U81" s="22">
        <f t="shared" si="19"/>
        <v>-2128.5441932539184</v>
      </c>
      <c r="V81" s="5">
        <f>MAX(Assumptions!$E$18:$E$19)-U81</f>
        <v>4970.1772050526151</v>
      </c>
      <c r="W81" s="5">
        <f t="shared" si="20"/>
        <v>-2841.6330117986968</v>
      </c>
      <c r="X81" s="5">
        <f t="shared" si="25"/>
        <v>-2128.5441932539184</v>
      </c>
      <c r="Y81" s="5">
        <f>D81*Assumptions!$D$44*-1</f>
        <v>166.68899633495951</v>
      </c>
      <c r="Z81" s="5">
        <f t="shared" si="21"/>
        <v>166.68899633495951</v>
      </c>
      <c r="AA81" s="5">
        <f t="shared" si="31"/>
        <v>21971.624935094886</v>
      </c>
      <c r="AB81" s="3">
        <f>Assumptions!$E$45</f>
        <v>6.9899151946608562E-3</v>
      </c>
      <c r="AC81" s="5">
        <f t="shared" si="32"/>
        <v>22291.893726415055</v>
      </c>
      <c r="AD81" s="4">
        <f>AC81*Assumptions!$E$43</f>
        <v>19.964073857863209</v>
      </c>
      <c r="AE81" s="2">
        <f>AD81*Assumptions!$D$44*-1</f>
        <v>-2.9946110786794811</v>
      </c>
      <c r="AF81" s="2">
        <f>AC81*Assumptions!$E$46*-1</f>
        <v>-0.74292693077989869</v>
      </c>
      <c r="AG81" s="5">
        <f t="shared" si="33"/>
        <v>22288.156188405595</v>
      </c>
      <c r="AH81" s="20">
        <f>Model_30y[[#This Row],[Mortgage Payment]]+Model_30y[[#This Row],[Total Upkeep]]+Model_30y[[#This Row],[Monthly Investment]]</f>
        <v>-3422.3364201243185</v>
      </c>
      <c r="AI81" s="5">
        <f>Model_Renter!D81*-1</f>
        <v>3435.2367658370026</v>
      </c>
      <c r="AJ81" s="5">
        <f t="shared" si="26"/>
        <v>12.900345712684157</v>
      </c>
    </row>
    <row r="82" spans="1:36" x14ac:dyDescent="0.25">
      <c r="A82" s="17">
        <f t="shared" si="27"/>
        <v>80</v>
      </c>
      <c r="B82" s="17">
        <f t="shared" si="22"/>
        <v>7</v>
      </c>
      <c r="C82" s="23">
        <f>IFERROR(PPMT(Assumptions!$E$17, A82, 180, Assumptions!$D$8), 0)</f>
        <v>-1738.8086047839324</v>
      </c>
      <c r="D82" s="38">
        <f>IFERROR(IPMT(Assumptions!$E$17,A82,180,Assumptions!$D$8), 0)</f>
        <v>-1102.8244070147643</v>
      </c>
      <c r="E82" s="2">
        <f t="shared" si="28"/>
        <v>-2841.6330117986968</v>
      </c>
      <c r="F82" s="2">
        <f>IF(I81&gt;1, Assumptions!$E$19, 0)*-1</f>
        <v>-2841.6330117986968</v>
      </c>
      <c r="G82" s="24">
        <f t="shared" si="23"/>
        <v>1</v>
      </c>
      <c r="H82" s="20">
        <f t="shared" si="29"/>
        <v>115518.41742226826</v>
      </c>
      <c r="I82" s="2">
        <f>MAX(Assumptions!$D$8-SUM(Model_15y!H82), 0)</f>
        <v>224481.58257773175</v>
      </c>
      <c r="J82" s="2">
        <f>J81*(1+(Assumptions!$E$51))</f>
        <v>588370.54621383641</v>
      </c>
      <c r="K82" s="22">
        <f t="shared" si="18"/>
        <v>363888.96363610466</v>
      </c>
      <c r="L82" s="5">
        <f t="shared" si="30"/>
        <v>200518.41742226828</v>
      </c>
      <c r="M82" s="63">
        <f>L82/Assumptions!$D$6</f>
        <v>0.47180804099357243</v>
      </c>
      <c r="N82" s="24">
        <f t="shared" ref="N82:N145" si="34">IF(M82&lt;0.2, 1, 0)</f>
        <v>0</v>
      </c>
      <c r="O82" s="22">
        <f>N82*Assumptions!$E$25*-1</f>
        <v>0</v>
      </c>
      <c r="P82" s="5">
        <f>Assumptions!$E$35*J82*-1</f>
        <v>-1211.9469911984447</v>
      </c>
      <c r="Q82" s="5">
        <f>J82*Assumptions!$E$36*-1</f>
        <v>-488.07579344304736</v>
      </c>
      <c r="R82" s="5">
        <f>R70+R70*Assumptions!$D$51</f>
        <v>-435.41940856640628</v>
      </c>
      <c r="S82" s="5">
        <f>S70+(S70*Assumptions!$D$51)</f>
        <v>0</v>
      </c>
      <c r="T82" s="5">
        <f t="shared" si="24"/>
        <v>0</v>
      </c>
      <c r="U82" s="22">
        <f t="shared" si="19"/>
        <v>-2135.4421932078985</v>
      </c>
      <c r="V82" s="5">
        <f>MAX(Assumptions!$E$18:$E$19)-U82</f>
        <v>4977.0752050065948</v>
      </c>
      <c r="W82" s="5">
        <f t="shared" si="20"/>
        <v>-2841.6330117986968</v>
      </c>
      <c r="X82" s="5">
        <f t="shared" si="25"/>
        <v>-2135.4421932078985</v>
      </c>
      <c r="Y82" s="5">
        <f>D82*Assumptions!$D$44*-1</f>
        <v>165.42366105221464</v>
      </c>
      <c r="Z82" s="5">
        <f t="shared" si="21"/>
        <v>165.42366105221419</v>
      </c>
      <c r="AA82" s="5">
        <f t="shared" si="31"/>
        <v>22288.156188405595</v>
      </c>
      <c r="AB82" s="3">
        <f>Assumptions!$E$45</f>
        <v>6.9899151946608562E-3</v>
      </c>
      <c r="AC82" s="5">
        <f t="shared" si="32"/>
        <v>22609.37217106012</v>
      </c>
      <c r="AD82" s="4">
        <f>AC82*Assumptions!$E$43</f>
        <v>20.248399774492853</v>
      </c>
      <c r="AE82" s="2">
        <f>AD82*Assumptions!$D$44*-1</f>
        <v>-3.0372599661739277</v>
      </c>
      <c r="AF82" s="2">
        <f>AC82*Assumptions!$E$46*-1</f>
        <v>-0.75350760595104604</v>
      </c>
      <c r="AG82" s="5">
        <f t="shared" si="33"/>
        <v>22605.581403487995</v>
      </c>
      <c r="AH82" s="20">
        <f>Model_30y[[#This Row],[Mortgage Payment]]+Model_30y[[#This Row],[Total Upkeep]]+Model_30y[[#This Row],[Monthly Investment]]</f>
        <v>-3429.6167803376602</v>
      </c>
      <c r="AI82" s="5">
        <f>Model_Renter!D82*-1</f>
        <v>3435.2367658370026</v>
      </c>
      <c r="AJ82" s="5">
        <f t="shared" si="26"/>
        <v>5.6199854993424196</v>
      </c>
    </row>
    <row r="83" spans="1:36" x14ac:dyDescent="0.25">
      <c r="A83" s="17">
        <f t="shared" si="27"/>
        <v>81</v>
      </c>
      <c r="B83" s="17">
        <f t="shared" si="22"/>
        <v>7</v>
      </c>
      <c r="C83" s="23">
        <f>IFERROR(PPMT(Assumptions!$E$17, A83, 180, Assumptions!$D$8), 0)</f>
        <v>-1747.2852967322542</v>
      </c>
      <c r="D83" s="38">
        <f>IFERROR(IPMT(Assumptions!$E$17,A83,180,Assumptions!$D$8), 0)</f>
        <v>-1094.3477150664428</v>
      </c>
      <c r="E83" s="2">
        <f t="shared" si="28"/>
        <v>-2841.6330117986972</v>
      </c>
      <c r="F83" s="2">
        <f>IF(I82&gt;1, Assumptions!$E$19, 0)*-1</f>
        <v>-2841.6330117986968</v>
      </c>
      <c r="G83" s="24">
        <f t="shared" si="23"/>
        <v>1</v>
      </c>
      <c r="H83" s="20">
        <f t="shared" si="29"/>
        <v>117265.70271900052</v>
      </c>
      <c r="I83" s="2">
        <f>MAX(Assumptions!$D$8-SUM(Model_15y!H83), 0)</f>
        <v>222734.29728099948</v>
      </c>
      <c r="J83" s="2">
        <f>J82*(1+(Assumptions!$E$51))</f>
        <v>590767.64064976433</v>
      </c>
      <c r="K83" s="22">
        <f t="shared" si="18"/>
        <v>368033.34336876485</v>
      </c>
      <c r="L83" s="5">
        <f t="shared" si="30"/>
        <v>202265.70271900052</v>
      </c>
      <c r="M83" s="63">
        <f>L83/Assumptions!$D$6</f>
        <v>0.47591930051529535</v>
      </c>
      <c r="N83" s="24">
        <f t="shared" si="34"/>
        <v>0</v>
      </c>
      <c r="O83" s="22">
        <f>N83*Assumptions!$E$25*-1</f>
        <v>0</v>
      </c>
      <c r="P83" s="5">
        <f>Assumptions!$E$35*J83*-1</f>
        <v>-1216.8846132598073</v>
      </c>
      <c r="Q83" s="5">
        <f>J83*Assumptions!$E$36*-1</f>
        <v>-490.06427464133668</v>
      </c>
      <c r="R83" s="5">
        <f>R71+R71*Assumptions!$D$51</f>
        <v>-435.41940856640628</v>
      </c>
      <c r="S83" s="5">
        <f>S71+(S71*Assumptions!$D$51)</f>
        <v>0</v>
      </c>
      <c r="T83" s="5">
        <f t="shared" si="24"/>
        <v>0</v>
      </c>
      <c r="U83" s="22">
        <f t="shared" si="19"/>
        <v>-2142.3682964675504</v>
      </c>
      <c r="V83" s="5">
        <f>MAX(Assumptions!$E$18:$E$19)-U83</f>
        <v>4984.0013082662472</v>
      </c>
      <c r="W83" s="5">
        <f t="shared" si="20"/>
        <v>-2841.6330117986968</v>
      </c>
      <c r="X83" s="5">
        <f t="shared" si="25"/>
        <v>-2142.3682964675504</v>
      </c>
      <c r="Y83" s="5">
        <f>D83*Assumptions!$D$44*-1</f>
        <v>164.1521572599664</v>
      </c>
      <c r="Z83" s="5">
        <f t="shared" si="21"/>
        <v>164.1521572599664</v>
      </c>
      <c r="AA83" s="5">
        <f t="shared" si="31"/>
        <v>22605.581403487995</v>
      </c>
      <c r="AB83" s="3">
        <f>Assumptions!$E$45</f>
        <v>6.9899151946608562E-3</v>
      </c>
      <c r="AC83" s="5">
        <f t="shared" si="32"/>
        <v>22927.744657684347</v>
      </c>
      <c r="AD83" s="4">
        <f>AC83*Assumptions!$E$43</f>
        <v>20.533526373214521</v>
      </c>
      <c r="AE83" s="2">
        <f>AD83*Assumptions!$D$44*-1</f>
        <v>-3.0800289559821779</v>
      </c>
      <c r="AF83" s="2">
        <f>AC83*Assumptions!$E$46*-1</f>
        <v>-0.76411807705930479</v>
      </c>
      <c r="AG83" s="5">
        <f t="shared" si="33"/>
        <v>22923.900510651307</v>
      </c>
      <c r="AH83" s="20">
        <f>Model_30y[[#This Row],[Mortgage Payment]]+Model_30y[[#This Row],[Total Upkeep]]+Model_30y[[#This Row],[Monthly Investment]]</f>
        <v>-3436.9273850741265</v>
      </c>
      <c r="AI83" s="5">
        <f>Model_Renter!D83*-1</f>
        <v>3435.2367658370026</v>
      </c>
      <c r="AJ83" s="5">
        <f t="shared" si="26"/>
        <v>-1.6906192371238831</v>
      </c>
    </row>
    <row r="84" spans="1:36" x14ac:dyDescent="0.25">
      <c r="A84" s="17">
        <f t="shared" si="27"/>
        <v>82</v>
      </c>
      <c r="B84" s="17">
        <f t="shared" si="22"/>
        <v>7</v>
      </c>
      <c r="C84" s="23">
        <f>IFERROR(PPMT(Assumptions!$E$17, A84, 180, Assumptions!$D$8), 0)</f>
        <v>-1755.8033125538238</v>
      </c>
      <c r="D84" s="38">
        <f>IFERROR(IPMT(Assumptions!$E$17,A84,180,Assumptions!$D$8), 0)</f>
        <v>-1085.8296992448729</v>
      </c>
      <c r="E84" s="2">
        <f t="shared" si="28"/>
        <v>-2841.6330117986968</v>
      </c>
      <c r="F84" s="2">
        <f>IF(I83&gt;1, Assumptions!$E$19, 0)*-1</f>
        <v>-2841.6330117986968</v>
      </c>
      <c r="G84" s="24">
        <f t="shared" si="23"/>
        <v>1</v>
      </c>
      <c r="H84" s="20">
        <f t="shared" si="29"/>
        <v>119021.50603155434</v>
      </c>
      <c r="I84" s="2">
        <f>MAX(Assumptions!$D$8-SUM(Model_15y!H84), 0)</f>
        <v>220978.49396844566</v>
      </c>
      <c r="J84" s="2">
        <f>J83*(1+(Assumptions!$E$51))</f>
        <v>593174.50114514539</v>
      </c>
      <c r="K84" s="22">
        <f t="shared" si="18"/>
        <v>372196.0071766997</v>
      </c>
      <c r="L84" s="5">
        <f t="shared" si="30"/>
        <v>204021.50603155434</v>
      </c>
      <c r="M84" s="63">
        <f>L84/Assumptions!$D$6</f>
        <v>0.48005060242718667</v>
      </c>
      <c r="N84" s="24">
        <f t="shared" si="34"/>
        <v>0</v>
      </c>
      <c r="O84" s="22">
        <f>N84*Assumptions!$E$25*-1</f>
        <v>0</v>
      </c>
      <c r="P84" s="5">
        <f>Assumptions!$E$35*J84*-1</f>
        <v>-1221.842351804645</v>
      </c>
      <c r="Q84" s="5">
        <f>J84*Assumptions!$E$36*-1</f>
        <v>-492.06085715816931</v>
      </c>
      <c r="R84" s="5">
        <f>R72+R72*Assumptions!$D$51</f>
        <v>-435.41940856640628</v>
      </c>
      <c r="S84" s="5">
        <f>S72+(S72*Assumptions!$D$51)</f>
        <v>0</v>
      </c>
      <c r="T84" s="5">
        <f t="shared" si="24"/>
        <v>0</v>
      </c>
      <c r="U84" s="22">
        <f t="shared" si="19"/>
        <v>-2149.3226175292207</v>
      </c>
      <c r="V84" s="5">
        <f>MAX(Assumptions!$E$18:$E$19)-U84</f>
        <v>4990.9556293279174</v>
      </c>
      <c r="W84" s="5">
        <f t="shared" si="20"/>
        <v>-2841.6330117986968</v>
      </c>
      <c r="X84" s="5">
        <f t="shared" si="25"/>
        <v>-2149.3226175292207</v>
      </c>
      <c r="Y84" s="5">
        <f>D84*Assumptions!$D$44*-1</f>
        <v>162.87445488673094</v>
      </c>
      <c r="Z84" s="5">
        <f t="shared" si="21"/>
        <v>162.87445488673094</v>
      </c>
      <c r="AA84" s="5">
        <f t="shared" si="31"/>
        <v>22923.900510651307</v>
      </c>
      <c r="AB84" s="3">
        <f>Assumptions!$E$45</f>
        <v>6.9899151946608562E-3</v>
      </c>
      <c r="AC84" s="5">
        <f t="shared" si="32"/>
        <v>23247.011086038336</v>
      </c>
      <c r="AD84" s="4">
        <f>AC84*Assumptions!$E$43</f>
        <v>20.819453564247308</v>
      </c>
      <c r="AE84" s="2">
        <f>AD84*Assumptions!$D$44*-1</f>
        <v>-3.1229180346370962</v>
      </c>
      <c r="AF84" s="2">
        <f>AC84*Assumptions!$E$46*-1</f>
        <v>-0.77475834076364081</v>
      </c>
      <c r="AG84" s="5">
        <f t="shared" si="33"/>
        <v>23243.113409662936</v>
      </c>
      <c r="AH84" s="20">
        <f>Model_30y[[#This Row],[Mortgage Payment]]+Model_30y[[#This Row],[Total Upkeep]]+Model_30y[[#This Row],[Monthly Investment]]</f>
        <v>-3444.2683608208808</v>
      </c>
      <c r="AI84" s="5">
        <f>Model_Renter!D84*-1</f>
        <v>3435.2367658370026</v>
      </c>
      <c r="AJ84" s="5">
        <f t="shared" si="26"/>
        <v>-9.0315949838782217</v>
      </c>
    </row>
    <row r="85" spans="1:36" x14ac:dyDescent="0.25">
      <c r="A85" s="17">
        <f t="shared" si="27"/>
        <v>83</v>
      </c>
      <c r="B85" s="17">
        <f t="shared" si="22"/>
        <v>7</v>
      </c>
      <c r="C85" s="23">
        <f>IFERROR(PPMT(Assumptions!$E$17, A85, 180, Assumptions!$D$8), 0)</f>
        <v>-1764.362853702524</v>
      </c>
      <c r="D85" s="38">
        <f>IFERROR(IPMT(Assumptions!$E$17,A85,180,Assumptions!$D$8), 0)</f>
        <v>-1077.270158096173</v>
      </c>
      <c r="E85" s="2">
        <f t="shared" si="28"/>
        <v>-2841.6330117986972</v>
      </c>
      <c r="F85" s="2">
        <f>IF(I84&gt;1, Assumptions!$E$19, 0)*-1</f>
        <v>-2841.6330117986968</v>
      </c>
      <c r="G85" s="24">
        <f t="shared" si="23"/>
        <v>1</v>
      </c>
      <c r="H85" s="20">
        <f t="shared" si="29"/>
        <v>120785.86888525686</v>
      </c>
      <c r="I85" s="2">
        <f>MAX(Assumptions!$D$8-SUM(Model_15y!H85), 0)</f>
        <v>219214.13111474313</v>
      </c>
      <c r="J85" s="2">
        <f>J84*(1+(Assumptions!$E$51))</f>
        <v>595591.16748811456</v>
      </c>
      <c r="K85" s="22">
        <f t="shared" si="18"/>
        <v>376377.03637337143</v>
      </c>
      <c r="L85" s="5">
        <f t="shared" si="30"/>
        <v>205785.86888525687</v>
      </c>
      <c r="M85" s="63">
        <f>L85/Assumptions!$D$6</f>
        <v>0.48420204443589854</v>
      </c>
      <c r="N85" s="24">
        <f t="shared" si="34"/>
        <v>0</v>
      </c>
      <c r="O85" s="22">
        <f>N85*Assumptions!$E$25*-1</f>
        <v>0</v>
      </c>
      <c r="P85" s="5">
        <f>Assumptions!$E$35*J85*-1</f>
        <v>-1226.8202887900011</v>
      </c>
      <c r="Q85" s="5">
        <f>J85*Assumptions!$E$36*-1</f>
        <v>-494.06557399931984</v>
      </c>
      <c r="R85" s="5">
        <f>R73+R73*Assumptions!$D$51</f>
        <v>-435.41940856640628</v>
      </c>
      <c r="S85" s="5">
        <f>S73+(S73*Assumptions!$D$51)</f>
        <v>0</v>
      </c>
      <c r="T85" s="5">
        <f t="shared" si="24"/>
        <v>0</v>
      </c>
      <c r="U85" s="22">
        <f t="shared" si="19"/>
        <v>-2156.3052713557272</v>
      </c>
      <c r="V85" s="5">
        <f>MAX(Assumptions!$E$18:$E$19)-U85</f>
        <v>4997.9382831544244</v>
      </c>
      <c r="W85" s="5">
        <f t="shared" si="20"/>
        <v>-2841.6330117986968</v>
      </c>
      <c r="X85" s="5">
        <f t="shared" si="25"/>
        <v>-2156.3052713557272</v>
      </c>
      <c r="Y85" s="5">
        <f>D85*Assumptions!$D$44*-1</f>
        <v>161.59052371442593</v>
      </c>
      <c r="Z85" s="5">
        <f t="shared" si="21"/>
        <v>161.59052371442638</v>
      </c>
      <c r="AA85" s="5">
        <f t="shared" si="31"/>
        <v>23243.113409662936</v>
      </c>
      <c r="AB85" s="3">
        <f>Assumptions!$E$45</f>
        <v>6.9899151946608562E-3</v>
      </c>
      <c r="AC85" s="5">
        <f t="shared" si="32"/>
        <v>23567.17132497079</v>
      </c>
      <c r="AD85" s="4">
        <f>AC85*Assumptions!$E$43</f>
        <v>21.10618123013532</v>
      </c>
      <c r="AE85" s="2">
        <f>AD85*Assumptions!$D$44*-1</f>
        <v>-3.1659271845202981</v>
      </c>
      <c r="AF85" s="2">
        <f>AC85*Assumptions!$E$46*-1</f>
        <v>-0.78542839269314535</v>
      </c>
      <c r="AG85" s="5">
        <f t="shared" si="33"/>
        <v>23563.219969393576</v>
      </c>
      <c r="AH85" s="20">
        <f>Model_30y[[#This Row],[Mortgage Payment]]+Model_30y[[#This Row],[Total Upkeep]]+Model_30y[[#This Row],[Monthly Investment]]</f>
        <v>-3451.6398345987081</v>
      </c>
      <c r="AI85" s="5">
        <f>Model_Renter!D85*-1</f>
        <v>3435.2367658370026</v>
      </c>
      <c r="AJ85" s="5">
        <f t="shared" si="26"/>
        <v>-16.403068761705526</v>
      </c>
    </row>
    <row r="86" spans="1:36" x14ac:dyDescent="0.25">
      <c r="A86" s="17">
        <f t="shared" si="27"/>
        <v>84</v>
      </c>
      <c r="B86" s="17">
        <f t="shared" si="22"/>
        <v>7</v>
      </c>
      <c r="C86" s="23">
        <f>IFERROR(PPMT(Assumptions!$E$17, A86, 180, Assumptions!$D$8), 0)</f>
        <v>-1772.9641226143235</v>
      </c>
      <c r="D86" s="38">
        <f>IFERROR(IPMT(Assumptions!$E$17,A86,180,Assumptions!$D$8), 0)</f>
        <v>-1068.668889184373</v>
      </c>
      <c r="E86" s="2">
        <f t="shared" si="28"/>
        <v>-2841.6330117986963</v>
      </c>
      <c r="F86" s="2">
        <f>IF(I85&gt;1, Assumptions!$E$19, 0)*-1</f>
        <v>-2841.6330117986968</v>
      </c>
      <c r="G86" s="24">
        <f t="shared" si="23"/>
        <v>1</v>
      </c>
      <c r="H86" s="20">
        <f t="shared" si="29"/>
        <v>122558.83300787119</v>
      </c>
      <c r="I86" s="2">
        <f>MAX(Assumptions!$D$8-SUM(Model_15y!H86), 0)</f>
        <v>217441.16699212883</v>
      </c>
      <c r="J86" s="2">
        <f>J85*(1+(Assumptions!$E$51))</f>
        <v>598017.67962890875</v>
      </c>
      <c r="K86" s="22">
        <f t="shared" si="18"/>
        <v>380576.51263677992</v>
      </c>
      <c r="L86" s="5">
        <f t="shared" si="30"/>
        <v>207558.8330078712</v>
      </c>
      <c r="M86" s="63">
        <f>L86/Assumptions!$D$6</f>
        <v>0.48837372472440282</v>
      </c>
      <c r="N86" s="24">
        <f t="shared" si="34"/>
        <v>0</v>
      </c>
      <c r="O86" s="22">
        <f>N86*Assumptions!$E$25*-1</f>
        <v>0</v>
      </c>
      <c r="P86" s="5">
        <f>Assumptions!$E$35*J86*-1</f>
        <v>-1231.8185065068226</v>
      </c>
      <c r="Q86" s="5">
        <f>J86*Assumptions!$E$36*-1</f>
        <v>-496.07845830503231</v>
      </c>
      <c r="R86" s="5">
        <f>R74+R74*Assumptions!$D$51</f>
        <v>-435.41940856640628</v>
      </c>
      <c r="S86" s="5">
        <f>S74+(S74*Assumptions!$D$51)</f>
        <v>0</v>
      </c>
      <c r="T86" s="5">
        <f t="shared" si="24"/>
        <v>0</v>
      </c>
      <c r="U86" s="22">
        <f t="shared" si="19"/>
        <v>-2163.3163733782612</v>
      </c>
      <c r="V86" s="5">
        <f>MAX(Assumptions!$E$18:$E$19)-U86</f>
        <v>5004.9493851769585</v>
      </c>
      <c r="W86" s="5">
        <f t="shared" si="20"/>
        <v>-2841.6330117986968</v>
      </c>
      <c r="X86" s="5">
        <f t="shared" si="25"/>
        <v>-2163.3163733782612</v>
      </c>
      <c r="Y86" s="5">
        <f>D86*Assumptions!$D$44*-1</f>
        <v>160.30033337765596</v>
      </c>
      <c r="Z86" s="5">
        <f t="shared" si="21"/>
        <v>160.30033337765641</v>
      </c>
      <c r="AA86" s="5">
        <f t="shared" si="31"/>
        <v>23563.219969393576</v>
      </c>
      <c r="AB86" s="3">
        <f>Assumptions!$E$45</f>
        <v>6.9899151946608562E-3</v>
      </c>
      <c r="AC86" s="5">
        <f t="shared" si="32"/>
        <v>23888.225212070436</v>
      </c>
      <c r="AD86" s="4">
        <f>AC86*Assumptions!$E$43</f>
        <v>21.393709225427006</v>
      </c>
      <c r="AE86" s="2">
        <f>AD86*Assumptions!$D$44*-1</f>
        <v>-3.2090563838140507</v>
      </c>
      <c r="AF86" s="2">
        <f>AC86*Assumptions!$E$46*-1</f>
        <v>-0.79612822743510181</v>
      </c>
      <c r="AG86" s="5">
        <f t="shared" si="33"/>
        <v>23884.220027459189</v>
      </c>
      <c r="AH86" s="20">
        <f>Model_30y[[#This Row],[Mortgage Payment]]+Model_30y[[#This Row],[Total Upkeep]]+Model_30y[[#This Row],[Monthly Investment]]</f>
        <v>-3459.0419339642904</v>
      </c>
      <c r="AI86" s="5">
        <f>Model_Renter!D86*-1</f>
        <v>3435.2367658370026</v>
      </c>
      <c r="AJ86" s="5">
        <f t="shared" si="26"/>
        <v>-23.805168127287743</v>
      </c>
    </row>
    <row r="87" spans="1:36" x14ac:dyDescent="0.25">
      <c r="A87" s="17">
        <f t="shared" si="27"/>
        <v>85</v>
      </c>
      <c r="B87" s="17">
        <f t="shared" si="22"/>
        <v>8</v>
      </c>
      <c r="C87" s="23">
        <f>IFERROR(PPMT(Assumptions!$E$17, A87, 180, Assumptions!$D$8), 0)</f>
        <v>-1781.6073227120685</v>
      </c>
      <c r="D87" s="38">
        <f>IFERROR(IPMT(Assumptions!$E$17,A87,180,Assumptions!$D$8), 0)</f>
        <v>-1060.0256890866283</v>
      </c>
      <c r="E87" s="2">
        <f t="shared" si="28"/>
        <v>-2841.6330117986968</v>
      </c>
      <c r="F87" s="2">
        <f>IF(I86&gt;1, Assumptions!$E$19, 0)*-1</f>
        <v>-2841.6330117986968</v>
      </c>
      <c r="G87" s="24">
        <f t="shared" si="23"/>
        <v>1</v>
      </c>
      <c r="H87" s="20">
        <f t="shared" si="29"/>
        <v>124340.44033058325</v>
      </c>
      <c r="I87" s="2">
        <f>MAX(Assumptions!$D$8-SUM(Model_15y!H87), 0)</f>
        <v>215659.55966941675</v>
      </c>
      <c r="J87" s="2">
        <f>J86*(1+(Assumptions!$E$51))</f>
        <v>600454.07768052712</v>
      </c>
      <c r="K87" s="22">
        <f t="shared" si="18"/>
        <v>384794.51801111037</v>
      </c>
      <c r="L87" s="5">
        <f t="shared" si="30"/>
        <v>209340.44033058328</v>
      </c>
      <c r="M87" s="63">
        <f>L87/Assumptions!$D$6</f>
        <v>0.49256574195431363</v>
      </c>
      <c r="N87" s="24">
        <f t="shared" si="34"/>
        <v>0</v>
      </c>
      <c r="O87" s="22">
        <f>N87*Assumptions!$E$25*-1</f>
        <v>0</v>
      </c>
      <c r="P87" s="5">
        <f>Assumptions!$E$35*J87*-1</f>
        <v>-1236.8370875813202</v>
      </c>
      <c r="Q87" s="5">
        <f>J87*Assumptions!$E$36*-1</f>
        <v>-498.09954335056847</v>
      </c>
      <c r="R87" s="5">
        <f>R75+R75*Assumptions!$D$51</f>
        <v>-457.19037899472659</v>
      </c>
      <c r="S87" s="5">
        <f>S75+(S75*Assumptions!$D$51)</f>
        <v>0</v>
      </c>
      <c r="T87" s="5">
        <f t="shared" si="24"/>
        <v>0</v>
      </c>
      <c r="U87" s="22">
        <f t="shared" si="19"/>
        <v>-2192.1270099266153</v>
      </c>
      <c r="V87" s="5">
        <f>MAX(Assumptions!$E$18:$E$19)-U87</f>
        <v>5033.7600217253121</v>
      </c>
      <c r="W87" s="5">
        <f t="shared" si="20"/>
        <v>-2841.6330117986968</v>
      </c>
      <c r="X87" s="5">
        <f t="shared" si="25"/>
        <v>-2192.1270099266153</v>
      </c>
      <c r="Y87" s="5">
        <f>D87*Assumptions!$D$44*-1</f>
        <v>159.00385336299425</v>
      </c>
      <c r="Z87" s="5">
        <f t="shared" si="21"/>
        <v>159.00385336299425</v>
      </c>
      <c r="AA87" s="5">
        <f t="shared" si="31"/>
        <v>23884.220027459189</v>
      </c>
      <c r="AB87" s="3">
        <f>Assumptions!$E$45</f>
        <v>6.9899151946608562E-3</v>
      </c>
      <c r="AC87" s="5">
        <f t="shared" si="32"/>
        <v>24210.172553304743</v>
      </c>
      <c r="AD87" s="4">
        <f>AC87*Assumptions!$E$43</f>
        <v>21.68203737635158</v>
      </c>
      <c r="AE87" s="2">
        <f>AD87*Assumptions!$D$44*-1</f>
        <v>-3.2523056064527371</v>
      </c>
      <c r="AF87" s="2">
        <f>AC87*Assumptions!$E$46*-1</f>
        <v>-0.80685783852294446</v>
      </c>
      <c r="AG87" s="5">
        <f t="shared" si="33"/>
        <v>24206.113389859765</v>
      </c>
      <c r="AH87" s="20">
        <f>Model_30y[[#This Row],[Mortgage Payment]]+Model_30y[[#This Row],[Total Upkeep]]+Model_30y[[#This Row],[Monthly Investment]]</f>
        <v>-3488.2457574408136</v>
      </c>
      <c r="AI87" s="5">
        <f>Model_Renter!D87*-1</f>
        <v>3563.7146208793069</v>
      </c>
      <c r="AJ87" s="5">
        <f t="shared" si="26"/>
        <v>75.468863438493372</v>
      </c>
    </row>
    <row r="88" spans="1:36" x14ac:dyDescent="0.25">
      <c r="A88" s="17">
        <f t="shared" si="27"/>
        <v>86</v>
      </c>
      <c r="B88" s="17">
        <f t="shared" si="22"/>
        <v>8</v>
      </c>
      <c r="C88" s="23">
        <f>IFERROR(PPMT(Assumptions!$E$17, A88, 180, Assumptions!$D$8), 0)</f>
        <v>-1790.29265841029</v>
      </c>
      <c r="D88" s="38">
        <f>IFERROR(IPMT(Assumptions!$E$17,A88,180,Assumptions!$D$8), 0)</f>
        <v>-1051.340353388407</v>
      </c>
      <c r="E88" s="2">
        <f t="shared" si="28"/>
        <v>-2841.6330117986972</v>
      </c>
      <c r="F88" s="2">
        <f>IF(I87&gt;1, Assumptions!$E$19, 0)*-1</f>
        <v>-2841.6330117986968</v>
      </c>
      <c r="G88" s="24">
        <f t="shared" si="23"/>
        <v>1</v>
      </c>
      <c r="H88" s="20">
        <f t="shared" si="29"/>
        <v>126130.73298899355</v>
      </c>
      <c r="I88" s="2">
        <f>MAX(Assumptions!$D$8-SUM(Model_15y!H88), 0)</f>
        <v>213869.26701100645</v>
      </c>
      <c r="J88" s="2">
        <f>J87*(1+(Assumptions!$E$51))</f>
        <v>602900.40191939403</v>
      </c>
      <c r="K88" s="22">
        <f t="shared" si="18"/>
        <v>389031.13490838755</v>
      </c>
      <c r="L88" s="5">
        <f t="shared" si="30"/>
        <v>211130.73298899358</v>
      </c>
      <c r="M88" s="63">
        <f>L88/Assumptions!$D$6</f>
        <v>0.4967781952682202</v>
      </c>
      <c r="N88" s="24">
        <f t="shared" si="34"/>
        <v>0</v>
      </c>
      <c r="O88" s="22">
        <f>N88*Assumptions!$E$25*-1</f>
        <v>0</v>
      </c>
      <c r="P88" s="5">
        <f>Assumptions!$E$35*J88*-1</f>
        <v>-1241.8761149763338</v>
      </c>
      <c r="Q88" s="5">
        <f>J88*Assumptions!$E$36*-1</f>
        <v>-500.12886254675743</v>
      </c>
      <c r="R88" s="5">
        <f>R76+R76*Assumptions!$D$51</f>
        <v>-457.19037899472659</v>
      </c>
      <c r="S88" s="5">
        <f>S76+(S76*Assumptions!$D$51)</f>
        <v>0</v>
      </c>
      <c r="T88" s="5">
        <f t="shared" si="24"/>
        <v>0</v>
      </c>
      <c r="U88" s="22">
        <f t="shared" si="19"/>
        <v>-2199.1953565178178</v>
      </c>
      <c r="V88" s="5">
        <f>MAX(Assumptions!$E$18:$E$19)-U88</f>
        <v>5040.8283683165146</v>
      </c>
      <c r="W88" s="5">
        <f t="shared" si="20"/>
        <v>-2841.6330117986968</v>
      </c>
      <c r="X88" s="5">
        <f t="shared" si="25"/>
        <v>-2199.1953565178178</v>
      </c>
      <c r="Y88" s="5">
        <f>D88*Assumptions!$D$44*-1</f>
        <v>157.70105300826106</v>
      </c>
      <c r="Z88" s="5">
        <f t="shared" si="21"/>
        <v>157.70105300826106</v>
      </c>
      <c r="AA88" s="5">
        <f t="shared" si="31"/>
        <v>24206.113389859765</v>
      </c>
      <c r="AB88" s="3">
        <f>Assumptions!$E$45</f>
        <v>6.9899151946608562E-3</v>
      </c>
      <c r="AC88" s="5">
        <f t="shared" si="32"/>
        <v>24533.013122655491</v>
      </c>
      <c r="AD88" s="4">
        <f>AC88*Assumptions!$E$43</f>
        <v>21.971165480492669</v>
      </c>
      <c r="AE88" s="2">
        <f>AD88*Assumptions!$D$44*-1</f>
        <v>-3.2956748220739001</v>
      </c>
      <c r="AF88" s="2">
        <f>AC88*Assumptions!$E$46*-1</f>
        <v>-0.8176172184241135</v>
      </c>
      <c r="AG88" s="5">
        <f t="shared" si="33"/>
        <v>24528.899830614992</v>
      </c>
      <c r="AH88" s="20">
        <f>Model_30y[[#This Row],[Mortgage Payment]]+Model_30y[[#This Row],[Total Upkeep]]+Model_30y[[#This Row],[Monthly Investment]]</f>
        <v>-3495.7094928069832</v>
      </c>
      <c r="AI88" s="5">
        <f>Model_Renter!D88*-1</f>
        <v>3563.7146208793069</v>
      </c>
      <c r="AJ88" s="5">
        <f t="shared" si="26"/>
        <v>68.005128072323714</v>
      </c>
    </row>
    <row r="89" spans="1:36" x14ac:dyDescent="0.25">
      <c r="A89" s="17">
        <f t="shared" si="27"/>
        <v>87</v>
      </c>
      <c r="B89" s="17">
        <f t="shared" si="22"/>
        <v>8</v>
      </c>
      <c r="C89" s="23">
        <f>IFERROR(PPMT(Assumptions!$E$17, A89, 180, Assumptions!$D$8), 0)</f>
        <v>-1799.02033512004</v>
      </c>
      <c r="D89" s="38">
        <f>IFERROR(IPMT(Assumptions!$E$17,A89,180,Assumptions!$D$8), 0)</f>
        <v>-1042.612676678657</v>
      </c>
      <c r="E89" s="2">
        <f t="shared" si="28"/>
        <v>-2841.6330117986972</v>
      </c>
      <c r="F89" s="2">
        <f>IF(I88&gt;1, Assumptions!$E$19, 0)*-1</f>
        <v>-2841.6330117986968</v>
      </c>
      <c r="G89" s="24">
        <f t="shared" si="23"/>
        <v>1</v>
      </c>
      <c r="H89" s="20">
        <f t="shared" si="29"/>
        <v>127929.7533241136</v>
      </c>
      <c r="I89" s="2">
        <f>MAX(Assumptions!$D$8-SUM(Model_15y!H89), 0)</f>
        <v>212070.24667588639</v>
      </c>
      <c r="J89" s="2">
        <f>J88*(1+(Assumptions!$E$51))</f>
        <v>605356.692786025</v>
      </c>
      <c r="K89" s="22">
        <f t="shared" si="18"/>
        <v>393286.44611013861</v>
      </c>
      <c r="L89" s="5">
        <f t="shared" si="30"/>
        <v>212929.75332411361</v>
      </c>
      <c r="M89" s="63">
        <f>L89/Assumptions!$D$6</f>
        <v>0.50101118429203206</v>
      </c>
      <c r="N89" s="24">
        <f t="shared" si="34"/>
        <v>0</v>
      </c>
      <c r="O89" s="22">
        <f>N89*Assumptions!$E$25*-1</f>
        <v>0</v>
      </c>
      <c r="P89" s="5">
        <f>Assumptions!$E$35*J89*-1</f>
        <v>-1246.9356719927036</v>
      </c>
      <c r="Q89" s="5">
        <f>J89*Assumptions!$E$36*-1</f>
        <v>-502.16644944054821</v>
      </c>
      <c r="R89" s="5">
        <f>R77+R77*Assumptions!$D$51</f>
        <v>-457.19037899472659</v>
      </c>
      <c r="S89" s="5">
        <f>S77+(S77*Assumptions!$D$51)</f>
        <v>0</v>
      </c>
      <c r="T89" s="5">
        <f t="shared" si="24"/>
        <v>0</v>
      </c>
      <c r="U89" s="22">
        <f t="shared" si="19"/>
        <v>-2206.2925004279782</v>
      </c>
      <c r="V89" s="5">
        <f>MAX(Assumptions!$E$18:$E$19)-U89</f>
        <v>5047.925512226675</v>
      </c>
      <c r="W89" s="5">
        <f t="shared" si="20"/>
        <v>-2841.6330117986968</v>
      </c>
      <c r="X89" s="5">
        <f t="shared" si="25"/>
        <v>-2206.2925004279782</v>
      </c>
      <c r="Y89" s="5">
        <f>D89*Assumptions!$D$44*-1</f>
        <v>156.39190150179854</v>
      </c>
      <c r="Z89" s="5">
        <f t="shared" si="21"/>
        <v>156.39190150179854</v>
      </c>
      <c r="AA89" s="5">
        <f t="shared" si="31"/>
        <v>24528.899830614992</v>
      </c>
      <c r="AB89" s="3">
        <f>Assumptions!$E$45</f>
        <v>6.9899151946608562E-3</v>
      </c>
      <c r="AC89" s="5">
        <f t="shared" si="32"/>
        <v>24856.74666175112</v>
      </c>
      <c r="AD89" s="4">
        <f>AC89*Assumptions!$E$43</f>
        <v>22.261093306459024</v>
      </c>
      <c r="AE89" s="2">
        <f>AD89*Assumptions!$D$44*-1</f>
        <v>-3.3391639959688537</v>
      </c>
      <c r="AF89" s="2">
        <f>AC89*Assumptions!$E$46*-1</f>
        <v>-0.82840635852780209</v>
      </c>
      <c r="AG89" s="5">
        <f t="shared" si="33"/>
        <v>24852.579091396623</v>
      </c>
      <c r="AH89" s="20">
        <f>Model_30y[[#This Row],[Mortgage Payment]]+Model_30y[[#This Row],[Total Upkeep]]+Model_30y[[#This Row],[Monthly Investment]]</f>
        <v>-3503.2042396692505</v>
      </c>
      <c r="AI89" s="5">
        <f>Model_Renter!D89*-1</f>
        <v>3563.7146208793069</v>
      </c>
      <c r="AJ89" s="5">
        <f t="shared" si="26"/>
        <v>60.510381210056494</v>
      </c>
    </row>
    <row r="90" spans="1:36" x14ac:dyDescent="0.25">
      <c r="A90" s="17">
        <f t="shared" si="27"/>
        <v>88</v>
      </c>
      <c r="B90" s="17">
        <f t="shared" si="22"/>
        <v>8</v>
      </c>
      <c r="C90" s="23">
        <f>IFERROR(PPMT(Assumptions!$E$17, A90, 180, Assumptions!$D$8), 0)</f>
        <v>-1807.7905592537502</v>
      </c>
      <c r="D90" s="38">
        <f>IFERROR(IPMT(Assumptions!$E$17,A90,180,Assumptions!$D$8), 0)</f>
        <v>-1033.8424525449466</v>
      </c>
      <c r="E90" s="2">
        <f t="shared" si="28"/>
        <v>-2841.6330117986968</v>
      </c>
      <c r="F90" s="2">
        <f>IF(I89&gt;1, Assumptions!$E$19, 0)*-1</f>
        <v>-2841.6330117986968</v>
      </c>
      <c r="G90" s="24">
        <f t="shared" si="23"/>
        <v>1</v>
      </c>
      <c r="H90" s="20">
        <f t="shared" si="29"/>
        <v>129737.54388336735</v>
      </c>
      <c r="I90" s="2">
        <f>MAX(Assumptions!$D$8-SUM(Model_15y!H90), 0)</f>
        <v>210262.45611663265</v>
      </c>
      <c r="J90" s="2">
        <f>J89*(1+(Assumptions!$E$51))</f>
        <v>607822.99088569521</v>
      </c>
      <c r="K90" s="22">
        <f t="shared" si="18"/>
        <v>397560.53476906253</v>
      </c>
      <c r="L90" s="5">
        <f t="shared" si="30"/>
        <v>214737.54388336735</v>
      </c>
      <c r="M90" s="63">
        <f>L90/Assumptions!$D$6</f>
        <v>0.50526480913733496</v>
      </c>
      <c r="N90" s="24">
        <f t="shared" si="34"/>
        <v>0</v>
      </c>
      <c r="O90" s="22">
        <f>N90*Assumptions!$E$25*-1</f>
        <v>0</v>
      </c>
      <c r="P90" s="5">
        <f>Assumptions!$E$35*J90*-1</f>
        <v>-1252.0158422706486</v>
      </c>
      <c r="Q90" s="5">
        <f>J90*Assumptions!$E$36*-1</f>
        <v>-504.21233771556416</v>
      </c>
      <c r="R90" s="5">
        <f>R78+R78*Assumptions!$D$51</f>
        <v>-457.19037899472659</v>
      </c>
      <c r="S90" s="5">
        <f>S78+(S78*Assumptions!$D$51)</f>
        <v>0</v>
      </c>
      <c r="T90" s="5">
        <f t="shared" si="24"/>
        <v>0</v>
      </c>
      <c r="U90" s="22">
        <f t="shared" si="19"/>
        <v>-2213.4185589809395</v>
      </c>
      <c r="V90" s="5">
        <f>MAX(Assumptions!$E$18:$E$19)-U90</f>
        <v>5055.0515707796367</v>
      </c>
      <c r="W90" s="5">
        <f t="shared" si="20"/>
        <v>-2841.6330117986968</v>
      </c>
      <c r="X90" s="5">
        <f t="shared" si="25"/>
        <v>-2213.4185589809395</v>
      </c>
      <c r="Y90" s="5">
        <f>D90*Assumptions!$D$44*-1</f>
        <v>155.07636788174199</v>
      </c>
      <c r="Z90" s="5">
        <f t="shared" si="21"/>
        <v>155.07636788174244</v>
      </c>
      <c r="AA90" s="5">
        <f t="shared" si="31"/>
        <v>24852.579091396623</v>
      </c>
      <c r="AB90" s="3">
        <f>Assumptions!$E$45</f>
        <v>6.9899151946608562E-3</v>
      </c>
      <c r="AC90" s="5">
        <f t="shared" si="32"/>
        <v>25181.37287949583</v>
      </c>
      <c r="AD90" s="4">
        <f>AC90*Assumptions!$E$43</f>
        <v>22.551820593552385</v>
      </c>
      <c r="AE90" s="2">
        <f>AD90*Assumptions!$D$44*-1</f>
        <v>-3.3827730890328578</v>
      </c>
      <c r="AF90" s="2">
        <f>AC90*Assumptions!$E$46*-1</f>
        <v>-0.83922524913259555</v>
      </c>
      <c r="AG90" s="5">
        <f t="shared" si="33"/>
        <v>25177.150881157664</v>
      </c>
      <c r="AH90" s="20">
        <f>Model_30y[[#This Row],[Mortgage Payment]]+Model_30y[[#This Row],[Total Upkeep]]+Model_30y[[#This Row],[Monthly Investment]]</f>
        <v>-3510.7301277508504</v>
      </c>
      <c r="AI90" s="5">
        <f>Model_Renter!D90*-1</f>
        <v>3563.7146208793069</v>
      </c>
      <c r="AJ90" s="5">
        <f t="shared" si="26"/>
        <v>52.984493128456506</v>
      </c>
    </row>
    <row r="91" spans="1:36" x14ac:dyDescent="0.25">
      <c r="A91" s="17">
        <f t="shared" si="27"/>
        <v>89</v>
      </c>
      <c r="B91" s="17">
        <f t="shared" si="22"/>
        <v>8</v>
      </c>
      <c r="C91" s="23">
        <f>IFERROR(PPMT(Assumptions!$E$17, A91, 180, Assumptions!$D$8), 0)</f>
        <v>-1816.6035382301122</v>
      </c>
      <c r="D91" s="38">
        <f>IFERROR(IPMT(Assumptions!$E$17,A91,180,Assumptions!$D$8), 0)</f>
        <v>-1025.0294735685845</v>
      </c>
      <c r="E91" s="2">
        <f t="shared" si="28"/>
        <v>-2841.6330117986968</v>
      </c>
      <c r="F91" s="2">
        <f>IF(I90&gt;1, Assumptions!$E$19, 0)*-1</f>
        <v>-2841.6330117986968</v>
      </c>
      <c r="G91" s="24">
        <f t="shared" si="23"/>
        <v>1</v>
      </c>
      <c r="H91" s="20">
        <f t="shared" si="29"/>
        <v>131554.14742159747</v>
      </c>
      <c r="I91" s="2">
        <f>MAX(Assumptions!$D$8-SUM(Model_15y!H91), 0)</f>
        <v>208445.85257840253</v>
      </c>
      <c r="J91" s="2">
        <f>J90*(1+(Assumptions!$E$51))</f>
        <v>610299.33698911092</v>
      </c>
      <c r="K91" s="22">
        <f t="shared" si="18"/>
        <v>401853.48441070842</v>
      </c>
      <c r="L91" s="5">
        <f t="shared" si="30"/>
        <v>216554.14742159747</v>
      </c>
      <c r="M91" s="63">
        <f>L91/Assumptions!$D$6</f>
        <v>0.50953917040375873</v>
      </c>
      <c r="N91" s="24">
        <f t="shared" si="34"/>
        <v>0</v>
      </c>
      <c r="O91" s="22">
        <f>N91*Assumptions!$E$25*-1</f>
        <v>0</v>
      </c>
      <c r="P91" s="5">
        <f>Assumptions!$E$35*J91*-1</f>
        <v>-1257.1167097911482</v>
      </c>
      <c r="Q91" s="5">
        <f>J91*Assumptions!$E$36*-1</f>
        <v>-506.26656119266005</v>
      </c>
      <c r="R91" s="5">
        <f>R79+R79*Assumptions!$D$51</f>
        <v>-457.19037899472659</v>
      </c>
      <c r="S91" s="5">
        <f>S79+(S79*Assumptions!$D$51)</f>
        <v>0</v>
      </c>
      <c r="T91" s="5">
        <f t="shared" si="24"/>
        <v>0</v>
      </c>
      <c r="U91" s="22">
        <f t="shared" si="19"/>
        <v>-2220.5736499785348</v>
      </c>
      <c r="V91" s="5">
        <f>MAX(Assumptions!$E$18:$E$19)-U91</f>
        <v>5062.2066617772316</v>
      </c>
      <c r="W91" s="5">
        <f t="shared" si="20"/>
        <v>-2841.6330117986968</v>
      </c>
      <c r="X91" s="5">
        <f t="shared" si="25"/>
        <v>-2220.5736499785348</v>
      </c>
      <c r="Y91" s="5">
        <f>D91*Assumptions!$D$44*-1</f>
        <v>153.75442103528766</v>
      </c>
      <c r="Z91" s="5">
        <f t="shared" si="21"/>
        <v>153.75442103528766</v>
      </c>
      <c r="AA91" s="5">
        <f t="shared" si="31"/>
        <v>25177.150881157664</v>
      </c>
      <c r="AB91" s="3">
        <f>Assumptions!$E$45</f>
        <v>6.9899151946608562E-3</v>
      </c>
      <c r="AC91" s="5">
        <f t="shared" si="32"/>
        <v>25506.891451695425</v>
      </c>
      <c r="AD91" s="4">
        <f>AC91*Assumptions!$E$43</f>
        <v>22.843347051432371</v>
      </c>
      <c r="AE91" s="2">
        <f>AD91*Assumptions!$D$44*-1</f>
        <v>-3.4265020577148557</v>
      </c>
      <c r="AF91" s="2">
        <f>AC91*Assumptions!$E$46*-1</f>
        <v>-0.85007387943400115</v>
      </c>
      <c r="AG91" s="5">
        <f t="shared" si="33"/>
        <v>25502.614875758274</v>
      </c>
      <c r="AH91" s="20">
        <f>Model_30y[[#This Row],[Mortgage Payment]]+Model_30y[[#This Row],[Total Upkeep]]+Model_30y[[#This Row],[Monthly Investment]]</f>
        <v>-3518.2872873224446</v>
      </c>
      <c r="AI91" s="5">
        <f>Model_Renter!D91*-1</f>
        <v>3563.7146208793069</v>
      </c>
      <c r="AJ91" s="5">
        <f t="shared" si="26"/>
        <v>45.427333556862322</v>
      </c>
    </row>
    <row r="92" spans="1:36" x14ac:dyDescent="0.25">
      <c r="A92" s="17">
        <f t="shared" si="27"/>
        <v>90</v>
      </c>
      <c r="B92" s="17">
        <f t="shared" si="22"/>
        <v>8</v>
      </c>
      <c r="C92" s="23">
        <f>IFERROR(PPMT(Assumptions!$E$17, A92, 180, Assumptions!$D$8), 0)</f>
        <v>-1825.459480478984</v>
      </c>
      <c r="D92" s="38">
        <f>IFERROR(IPMT(Assumptions!$E$17,A92,180,Assumptions!$D$8), 0)</f>
        <v>-1016.1735313197129</v>
      </c>
      <c r="E92" s="2">
        <f t="shared" si="28"/>
        <v>-2841.6330117986968</v>
      </c>
      <c r="F92" s="2">
        <f>IF(I91&gt;1, Assumptions!$E$19, 0)*-1</f>
        <v>-2841.6330117986968</v>
      </c>
      <c r="G92" s="24">
        <f t="shared" si="23"/>
        <v>1</v>
      </c>
      <c r="H92" s="20">
        <f t="shared" si="29"/>
        <v>133379.60690207646</v>
      </c>
      <c r="I92" s="2">
        <f>MAX(Assumptions!$D$8-SUM(Model_15y!H92), 0)</f>
        <v>206620.39309792354</v>
      </c>
      <c r="J92" s="2">
        <f>J91*(1+(Assumptions!$E$51))</f>
        <v>612785.77203308302</v>
      </c>
      <c r="K92" s="22">
        <f t="shared" si="18"/>
        <v>406165.37893515948</v>
      </c>
      <c r="L92" s="5">
        <f t="shared" si="30"/>
        <v>218379.60690207646</v>
      </c>
      <c r="M92" s="63">
        <f>L92/Assumptions!$D$6</f>
        <v>0.51383436918135639</v>
      </c>
      <c r="N92" s="24">
        <f t="shared" si="34"/>
        <v>0</v>
      </c>
      <c r="O92" s="22">
        <f>N92*Assumptions!$E$25*-1</f>
        <v>0</v>
      </c>
      <c r="P92" s="5">
        <f>Assumptions!$E$35*J92*-1</f>
        <v>-1262.2383588773298</v>
      </c>
      <c r="Q92" s="5">
        <f>J92*Assumptions!$E$36*-1</f>
        <v>-508.32915383048089</v>
      </c>
      <c r="R92" s="5">
        <f>R80+R80*Assumptions!$D$51</f>
        <v>-457.19037899472659</v>
      </c>
      <c r="S92" s="5">
        <f>S80+(S80*Assumptions!$D$51)</f>
        <v>0</v>
      </c>
      <c r="T92" s="5">
        <f t="shared" si="24"/>
        <v>0</v>
      </c>
      <c r="U92" s="22">
        <f t="shared" si="19"/>
        <v>-2227.7578917025371</v>
      </c>
      <c r="V92" s="5">
        <f>MAX(Assumptions!$E$18:$E$19)-U92</f>
        <v>5069.3909035012339</v>
      </c>
      <c r="W92" s="5">
        <f t="shared" si="20"/>
        <v>-2841.6330117986968</v>
      </c>
      <c r="X92" s="5">
        <f t="shared" si="25"/>
        <v>-2227.7578917025371</v>
      </c>
      <c r="Y92" s="5">
        <f>D92*Assumptions!$D$44*-1</f>
        <v>152.42602969795692</v>
      </c>
      <c r="Z92" s="5">
        <f t="shared" si="21"/>
        <v>152.42602969795692</v>
      </c>
      <c r="AA92" s="5">
        <f t="shared" si="31"/>
        <v>25502.614875758274</v>
      </c>
      <c r="AB92" s="3">
        <f>Assumptions!$E$45</f>
        <v>6.9899151946608562E-3</v>
      </c>
      <c r="AC92" s="5">
        <f t="shared" si="32"/>
        <v>25833.302020679876</v>
      </c>
      <c r="AD92" s="4">
        <f>AC92*Assumptions!$E$43</f>
        <v>23.135672359778471</v>
      </c>
      <c r="AE92" s="2">
        <f>AD92*Assumptions!$D$44*-1</f>
        <v>-3.4703508539667705</v>
      </c>
      <c r="AF92" s="2">
        <f>AC92*Assumptions!$E$46*-1</f>
        <v>-0.86095223751186989</v>
      </c>
      <c r="AG92" s="5">
        <f t="shared" si="33"/>
        <v>25828.970717588396</v>
      </c>
      <c r="AH92" s="20">
        <f>Model_30y[[#This Row],[Mortgage Payment]]+Model_30y[[#This Row],[Total Upkeep]]+Model_30y[[#This Row],[Monthly Investment]]</f>
        <v>-3525.8758492044603</v>
      </c>
      <c r="AI92" s="5">
        <f>Model_Renter!D92*-1</f>
        <v>3563.7146208793069</v>
      </c>
      <c r="AJ92" s="5">
        <f t="shared" si="26"/>
        <v>37.838771674846612</v>
      </c>
    </row>
    <row r="93" spans="1:36" x14ac:dyDescent="0.25">
      <c r="A93" s="17">
        <f t="shared" si="27"/>
        <v>91</v>
      </c>
      <c r="B93" s="17">
        <f t="shared" si="22"/>
        <v>8</v>
      </c>
      <c r="C93" s="23">
        <f>IFERROR(PPMT(Assumptions!$E$17, A93, 180, Assumptions!$D$8), 0)</f>
        <v>-1834.358595446319</v>
      </c>
      <c r="D93" s="38">
        <f>IFERROR(IPMT(Assumptions!$E$17,A93,180,Assumptions!$D$8), 0)</f>
        <v>-1007.2744163523779</v>
      </c>
      <c r="E93" s="2">
        <f t="shared" si="28"/>
        <v>-2841.6330117986968</v>
      </c>
      <c r="F93" s="2">
        <f>IF(I92&gt;1, Assumptions!$E$19, 0)*-1</f>
        <v>-2841.6330117986968</v>
      </c>
      <c r="G93" s="24">
        <f t="shared" si="23"/>
        <v>1</v>
      </c>
      <c r="H93" s="20">
        <f t="shared" si="29"/>
        <v>135213.96549752276</v>
      </c>
      <c r="I93" s="2">
        <f>MAX(Assumptions!$D$8-SUM(Model_15y!H93), 0)</f>
        <v>204786.03450247724</v>
      </c>
      <c r="J93" s="2">
        <f>J92*(1+(Assumptions!$E$51))</f>
        <v>615282.33712120436</v>
      </c>
      <c r="K93" s="22">
        <f t="shared" si="18"/>
        <v>410496.30261872709</v>
      </c>
      <c r="L93" s="5">
        <f t="shared" si="30"/>
        <v>220213.96549752276</v>
      </c>
      <c r="M93" s="63">
        <f>L93/Assumptions!$D$6</f>
        <v>0.5181505070529947</v>
      </c>
      <c r="N93" s="24">
        <f t="shared" si="34"/>
        <v>0</v>
      </c>
      <c r="O93" s="22">
        <f>N93*Assumptions!$E$25*-1</f>
        <v>0</v>
      </c>
      <c r="P93" s="5">
        <f>Assumptions!$E$35*J93*-1</f>
        <v>-1267.3808741958653</v>
      </c>
      <c r="Q93" s="5">
        <f>J93*Assumptions!$E$36*-1</f>
        <v>-510.40014972602353</v>
      </c>
      <c r="R93" s="5">
        <f>R81+R81*Assumptions!$D$51</f>
        <v>-457.19037899472659</v>
      </c>
      <c r="S93" s="5">
        <f>S81+(S81*Assumptions!$D$51)</f>
        <v>0</v>
      </c>
      <c r="T93" s="5">
        <f t="shared" si="24"/>
        <v>0</v>
      </c>
      <c r="U93" s="22">
        <f t="shared" si="19"/>
        <v>-2234.9714029166153</v>
      </c>
      <c r="V93" s="5">
        <f>MAX(Assumptions!$E$18:$E$19)-U93</f>
        <v>5076.6044147153116</v>
      </c>
      <c r="W93" s="5">
        <f t="shared" si="20"/>
        <v>-2841.6330117986968</v>
      </c>
      <c r="X93" s="5">
        <f t="shared" si="25"/>
        <v>-2234.9714029166153</v>
      </c>
      <c r="Y93" s="5">
        <f>D93*Assumptions!$D$44*-1</f>
        <v>151.09116245285668</v>
      </c>
      <c r="Z93" s="5">
        <f t="shared" si="21"/>
        <v>151.09116245285622</v>
      </c>
      <c r="AA93" s="5">
        <f t="shared" si="31"/>
        <v>25828.970717588396</v>
      </c>
      <c r="AB93" s="3">
        <f>Assumptions!$E$45</f>
        <v>6.9899151946608562E-3</v>
      </c>
      <c r="AC93" s="5">
        <f t="shared" si="32"/>
        <v>26160.604194922573</v>
      </c>
      <c r="AD93" s="4">
        <f>AC93*Assumptions!$E$43</f>
        <v>23.428796167949042</v>
      </c>
      <c r="AE93" s="2">
        <f>AD93*Assumptions!$D$44*-1</f>
        <v>-3.514319425192356</v>
      </c>
      <c r="AF93" s="2">
        <f>AC93*Assumptions!$E$46*-1</f>
        <v>-0.87186031031770672</v>
      </c>
      <c r="AG93" s="5">
        <f t="shared" si="33"/>
        <v>26156.218015187063</v>
      </c>
      <c r="AH93" s="20">
        <f>Model_30y[[#This Row],[Mortgage Payment]]+Model_30y[[#This Row],[Total Upkeep]]+Model_30y[[#This Row],[Monthly Investment]]</f>
        <v>-3533.4959447694364</v>
      </c>
      <c r="AI93" s="5">
        <f>Model_Renter!D93*-1</f>
        <v>3563.7146208793069</v>
      </c>
      <c r="AJ93" s="5">
        <f t="shared" si="26"/>
        <v>30.218676109870557</v>
      </c>
    </row>
    <row r="94" spans="1:36" x14ac:dyDescent="0.25">
      <c r="A94" s="17">
        <f t="shared" si="27"/>
        <v>92</v>
      </c>
      <c r="B94" s="17">
        <f t="shared" si="22"/>
        <v>8</v>
      </c>
      <c r="C94" s="23">
        <f>IFERROR(PPMT(Assumptions!$E$17, A94, 180, Assumptions!$D$8), 0)</f>
        <v>-1843.3010935991199</v>
      </c>
      <c r="D94" s="38">
        <f>IFERROR(IPMT(Assumptions!$E$17,A94,180,Assumptions!$D$8), 0)</f>
        <v>-998.33191819957688</v>
      </c>
      <c r="E94" s="2">
        <f t="shared" si="28"/>
        <v>-2841.6330117986968</v>
      </c>
      <c r="F94" s="2">
        <f>IF(I93&gt;1, Assumptions!$E$19, 0)*-1</f>
        <v>-2841.6330117986968</v>
      </c>
      <c r="G94" s="24">
        <f t="shared" si="23"/>
        <v>1</v>
      </c>
      <c r="H94" s="20">
        <f t="shared" si="29"/>
        <v>137057.26659112188</v>
      </c>
      <c r="I94" s="2">
        <f>MAX(Assumptions!$D$8-SUM(Model_15y!H94), 0)</f>
        <v>202942.73340887812</v>
      </c>
      <c r="J94" s="2">
        <f>J93*(1+(Assumptions!$E$51))</f>
        <v>617789.07352452865</v>
      </c>
      <c r="K94" s="22">
        <f t="shared" si="18"/>
        <v>414846.34011565056</v>
      </c>
      <c r="L94" s="5">
        <f t="shared" si="30"/>
        <v>222057.26659112188</v>
      </c>
      <c r="M94" s="63">
        <f>L94/Assumptions!$D$6</f>
        <v>0.52248768609675733</v>
      </c>
      <c r="N94" s="24">
        <f t="shared" si="34"/>
        <v>0</v>
      </c>
      <c r="O94" s="22">
        <f>N94*Assumptions!$E$25*-1</f>
        <v>0</v>
      </c>
      <c r="P94" s="5">
        <f>Assumptions!$E$35*J94*-1</f>
        <v>-1272.5443407583678</v>
      </c>
      <c r="Q94" s="5">
        <f>J94*Assumptions!$E$36*-1</f>
        <v>-512.47958311520006</v>
      </c>
      <c r="R94" s="5">
        <f>R82+R82*Assumptions!$D$51</f>
        <v>-457.19037899472659</v>
      </c>
      <c r="S94" s="5">
        <f>S82+(S82*Assumptions!$D$51)</f>
        <v>0</v>
      </c>
      <c r="T94" s="5">
        <f t="shared" si="24"/>
        <v>0</v>
      </c>
      <c r="U94" s="22">
        <f t="shared" si="19"/>
        <v>-2242.2143028682945</v>
      </c>
      <c r="V94" s="5">
        <f>MAX(Assumptions!$E$18:$E$19)-U94</f>
        <v>5083.8473146669912</v>
      </c>
      <c r="W94" s="5">
        <f t="shared" si="20"/>
        <v>-2841.6330117986968</v>
      </c>
      <c r="X94" s="5">
        <f t="shared" si="25"/>
        <v>-2242.2143028682945</v>
      </c>
      <c r="Y94" s="5">
        <f>D94*Assumptions!$D$44*-1</f>
        <v>149.74978772993651</v>
      </c>
      <c r="Z94" s="5">
        <f t="shared" si="21"/>
        <v>149.74978772993651</v>
      </c>
      <c r="AA94" s="5">
        <f t="shared" si="31"/>
        <v>26156.218015187063</v>
      </c>
      <c r="AB94" s="3">
        <f>Assumptions!$E$45</f>
        <v>6.9899151946608562E-3</v>
      </c>
      <c r="AC94" s="5">
        <f t="shared" si="32"/>
        <v>26488.797548656217</v>
      </c>
      <c r="AD94" s="4">
        <f>AC94*Assumptions!$E$43</f>
        <v>23.722718094637322</v>
      </c>
      <c r="AE94" s="2">
        <f>AD94*Assumptions!$D$44*-1</f>
        <v>-3.5584077141955981</v>
      </c>
      <c r="AF94" s="2">
        <f>AC94*Assumptions!$E$46*-1</f>
        <v>-0.88279808366186985</v>
      </c>
      <c r="AG94" s="5">
        <f t="shared" si="33"/>
        <v>26484.356342858358</v>
      </c>
      <c r="AH94" s="20">
        <f>Model_30y[[#This Row],[Mortgage Payment]]+Model_30y[[#This Row],[Total Upkeep]]+Model_30y[[#This Row],[Monthly Investment]]</f>
        <v>-3541.1477059443791</v>
      </c>
      <c r="AI94" s="5">
        <f>Model_Renter!D94*-1</f>
        <v>3563.7146208793069</v>
      </c>
      <c r="AJ94" s="5">
        <f t="shared" si="26"/>
        <v>22.566914934927809</v>
      </c>
    </row>
    <row r="95" spans="1:36" x14ac:dyDescent="0.25">
      <c r="A95" s="17">
        <f t="shared" si="27"/>
        <v>93</v>
      </c>
      <c r="B95" s="17">
        <f t="shared" si="22"/>
        <v>8</v>
      </c>
      <c r="C95" s="23">
        <f>IFERROR(PPMT(Assumptions!$E$17, A95, 180, Assumptions!$D$8), 0)</f>
        <v>-1852.2871864304152</v>
      </c>
      <c r="D95" s="38">
        <f>IFERROR(IPMT(Assumptions!$E$17,A95,180,Assumptions!$D$8), 0)</f>
        <v>-989.34582536828123</v>
      </c>
      <c r="E95" s="2">
        <f t="shared" si="28"/>
        <v>-2841.6330117986963</v>
      </c>
      <c r="F95" s="2">
        <f>IF(I94&gt;1, Assumptions!$E$19, 0)*-1</f>
        <v>-2841.6330117986968</v>
      </c>
      <c r="G95" s="24">
        <f t="shared" si="23"/>
        <v>1</v>
      </c>
      <c r="H95" s="20">
        <f t="shared" si="29"/>
        <v>138909.5537775523</v>
      </c>
      <c r="I95" s="2">
        <f>MAX(Assumptions!$D$8-SUM(Model_15y!H95), 0)</f>
        <v>201090.4462224477</v>
      </c>
      <c r="J95" s="2">
        <f>J94*(1+(Assumptions!$E$51))</f>
        <v>620306.02268225304</v>
      </c>
      <c r="K95" s="22">
        <f t="shared" si="18"/>
        <v>419215.57645980536</v>
      </c>
      <c r="L95" s="5">
        <f t="shared" si="30"/>
        <v>223909.5537775523</v>
      </c>
      <c r="M95" s="63">
        <f>L95/Assumptions!$D$6</f>
        <v>0.52684600888835831</v>
      </c>
      <c r="N95" s="24">
        <f t="shared" si="34"/>
        <v>0</v>
      </c>
      <c r="O95" s="22">
        <f>N95*Assumptions!$E$25*-1</f>
        <v>0</v>
      </c>
      <c r="P95" s="5">
        <f>Assumptions!$E$35*J95*-1</f>
        <v>-1277.7288439227987</v>
      </c>
      <c r="Q95" s="5">
        <f>J95*Assumptions!$E$36*-1</f>
        <v>-514.56748837340388</v>
      </c>
      <c r="R95" s="5">
        <f>R83+R83*Assumptions!$D$51</f>
        <v>-457.19037899472659</v>
      </c>
      <c r="S95" s="5">
        <f>S83+(S83*Assumptions!$D$51)</f>
        <v>0</v>
      </c>
      <c r="T95" s="5">
        <f t="shared" si="24"/>
        <v>0</v>
      </c>
      <c r="U95" s="22">
        <f t="shared" si="19"/>
        <v>-2249.4867112909292</v>
      </c>
      <c r="V95" s="5">
        <f>MAX(Assumptions!$E$18:$E$19)-U95</f>
        <v>5091.1197230896259</v>
      </c>
      <c r="W95" s="5">
        <f t="shared" si="20"/>
        <v>-2841.6330117986968</v>
      </c>
      <c r="X95" s="5">
        <f t="shared" si="25"/>
        <v>-2249.4867112909292</v>
      </c>
      <c r="Y95" s="5">
        <f>D95*Assumptions!$D$44*-1</f>
        <v>148.40187380524219</v>
      </c>
      <c r="Z95" s="5">
        <f t="shared" si="21"/>
        <v>148.40187380524219</v>
      </c>
      <c r="AA95" s="5">
        <f t="shared" si="31"/>
        <v>26484.356342858358</v>
      </c>
      <c r="AB95" s="3">
        <f>Assumptions!$E$45</f>
        <v>6.9899151946608562E-3</v>
      </c>
      <c r="AC95" s="5">
        <f t="shared" si="32"/>
        <v>26817.881621485361</v>
      </c>
      <c r="AD95" s="4">
        <f>AC95*Assumptions!$E$43</f>
        <v>24.017437727524428</v>
      </c>
      <c r="AE95" s="2">
        <f>AD95*Assumptions!$D$44*-1</f>
        <v>-3.6026156591286638</v>
      </c>
      <c r="AF95" s="2">
        <f>AC95*Assumptions!$E$46*-1</f>
        <v>-0.89376554220065685</v>
      </c>
      <c r="AG95" s="5">
        <f t="shared" si="33"/>
        <v>26813.385240284031</v>
      </c>
      <c r="AH95" s="20">
        <f>Model_30y[[#This Row],[Mortgage Payment]]+Model_30y[[#This Row],[Total Upkeep]]+Model_30y[[#This Row],[Monthly Investment]]</f>
        <v>-3548.8312652131272</v>
      </c>
      <c r="AI95" s="5">
        <f>Model_Renter!D95*-1</f>
        <v>3563.7146208793069</v>
      </c>
      <c r="AJ95" s="5">
        <f t="shared" si="26"/>
        <v>14.883355666179796</v>
      </c>
    </row>
    <row r="96" spans="1:36" x14ac:dyDescent="0.25">
      <c r="A96" s="17">
        <f t="shared" si="27"/>
        <v>94</v>
      </c>
      <c r="B96" s="17">
        <f t="shared" si="22"/>
        <v>8</v>
      </c>
      <c r="C96" s="23">
        <f>IFERROR(PPMT(Assumptions!$E$17, A96, 180, Assumptions!$D$8), 0)</f>
        <v>-1861.3170864642639</v>
      </c>
      <c r="D96" s="38">
        <f>IFERROR(IPMT(Assumptions!$E$17,A96,180,Assumptions!$D$8), 0)</f>
        <v>-980.31592533443302</v>
      </c>
      <c r="E96" s="2">
        <f t="shared" si="28"/>
        <v>-2841.6330117986968</v>
      </c>
      <c r="F96" s="2">
        <f>IF(I95&gt;1, Assumptions!$E$19, 0)*-1</f>
        <v>-2841.6330117986968</v>
      </c>
      <c r="G96" s="24">
        <f t="shared" si="23"/>
        <v>1</v>
      </c>
      <c r="H96" s="20">
        <f t="shared" si="29"/>
        <v>140770.87086401656</v>
      </c>
      <c r="I96" s="2">
        <f>MAX(Assumptions!$D$8-SUM(Model_15y!H96), 0)</f>
        <v>199229.12913598344</v>
      </c>
      <c r="J96" s="2">
        <f>J95*(1+(Assumptions!$E$51))</f>
        <v>622833.22620240308</v>
      </c>
      <c r="K96" s="22">
        <f t="shared" si="18"/>
        <v>423604.09706641966</v>
      </c>
      <c r="L96" s="5">
        <f t="shared" si="30"/>
        <v>225770.87086401656</v>
      </c>
      <c r="M96" s="63">
        <f>L96/Assumptions!$D$6</f>
        <v>0.53122557850356833</v>
      </c>
      <c r="N96" s="24">
        <f t="shared" si="34"/>
        <v>0</v>
      </c>
      <c r="O96" s="22">
        <f>N96*Assumptions!$E$25*-1</f>
        <v>0</v>
      </c>
      <c r="P96" s="5">
        <f>Assumptions!$E$35*J96*-1</f>
        <v>-1282.9344693948781</v>
      </c>
      <c r="Q96" s="5">
        <f>J96*Assumptions!$E$36*-1</f>
        <v>-516.66390001607817</v>
      </c>
      <c r="R96" s="5">
        <f>R84+R84*Assumptions!$D$51</f>
        <v>-457.19037899472659</v>
      </c>
      <c r="S96" s="5">
        <f>S84+(S84*Assumptions!$D$51)</f>
        <v>0</v>
      </c>
      <c r="T96" s="5">
        <f t="shared" si="24"/>
        <v>0</v>
      </c>
      <c r="U96" s="22">
        <f t="shared" si="19"/>
        <v>-2256.7887484056828</v>
      </c>
      <c r="V96" s="5">
        <f>MAX(Assumptions!$E$18:$E$19)-U96</f>
        <v>5098.4217602043791</v>
      </c>
      <c r="W96" s="5">
        <f t="shared" si="20"/>
        <v>-2841.6330117986968</v>
      </c>
      <c r="X96" s="5">
        <f t="shared" si="25"/>
        <v>-2256.7887484056828</v>
      </c>
      <c r="Y96" s="5">
        <f>D96*Assumptions!$D$44*-1</f>
        <v>147.04738880016495</v>
      </c>
      <c r="Z96" s="5">
        <f t="shared" si="21"/>
        <v>147.0473888001645</v>
      </c>
      <c r="AA96" s="5">
        <f t="shared" si="31"/>
        <v>26813.385240284031</v>
      </c>
      <c r="AB96" s="3">
        <f>Assumptions!$E$45</f>
        <v>6.9899151946608562E-3</v>
      </c>
      <c r="AC96" s="5">
        <f t="shared" si="32"/>
        <v>27147.855917995552</v>
      </c>
      <c r="AD96" s="4">
        <f>AC96*Assumptions!$E$43</f>
        <v>24.312954622929318</v>
      </c>
      <c r="AE96" s="2">
        <f>AD96*Assumptions!$D$44*-1</f>
        <v>-3.6469431934393977</v>
      </c>
      <c r="AF96" s="2">
        <f>AC96*Assumptions!$E$46*-1</f>
        <v>-0.90476266942327965</v>
      </c>
      <c r="AG96" s="5">
        <f t="shared" si="33"/>
        <v>27143.304212132691</v>
      </c>
      <c r="AH96" s="20">
        <f>Model_30y[[#This Row],[Mortgage Payment]]+Model_30y[[#This Row],[Total Upkeep]]+Model_30y[[#This Row],[Monthly Investment]]</f>
        <v>-3556.5467556187327</v>
      </c>
      <c r="AI96" s="5">
        <f>Model_Renter!D96*-1</f>
        <v>3563.7146208793069</v>
      </c>
      <c r="AJ96" s="5">
        <f t="shared" si="26"/>
        <v>7.1678652605742172</v>
      </c>
    </row>
    <row r="97" spans="1:36" x14ac:dyDescent="0.25">
      <c r="A97" s="17">
        <f t="shared" si="27"/>
        <v>95</v>
      </c>
      <c r="B97" s="17">
        <f t="shared" si="22"/>
        <v>8</v>
      </c>
      <c r="C97" s="23">
        <f>IFERROR(PPMT(Assumptions!$E$17, A97, 180, Assumptions!$D$8), 0)</f>
        <v>-1870.3910072607771</v>
      </c>
      <c r="D97" s="38">
        <f>IFERROR(IPMT(Assumptions!$E$17,A97,180,Assumptions!$D$8), 0)</f>
        <v>-971.24200453791968</v>
      </c>
      <c r="E97" s="2">
        <f t="shared" si="28"/>
        <v>-2841.6330117986968</v>
      </c>
      <c r="F97" s="2">
        <f>IF(I96&gt;1, Assumptions!$E$19, 0)*-1</f>
        <v>-2841.6330117986968</v>
      </c>
      <c r="G97" s="24">
        <f t="shared" si="23"/>
        <v>1</v>
      </c>
      <c r="H97" s="20">
        <f t="shared" si="29"/>
        <v>142641.26187127733</v>
      </c>
      <c r="I97" s="2">
        <f>MAX(Assumptions!$D$8-SUM(Model_15y!H97), 0)</f>
        <v>197358.73812872267</v>
      </c>
      <c r="J97" s="2">
        <f>J96*(1+(Assumptions!$E$51))</f>
        <v>625370.72586252075</v>
      </c>
      <c r="K97" s="22">
        <f t="shared" si="18"/>
        <v>428011.9877337981</v>
      </c>
      <c r="L97" s="5">
        <f t="shared" si="30"/>
        <v>227641.26187127733</v>
      </c>
      <c r="M97" s="63">
        <f>L97/Assumptions!$D$6</f>
        <v>0.53562649852065258</v>
      </c>
      <c r="N97" s="24">
        <f t="shared" si="34"/>
        <v>0</v>
      </c>
      <c r="O97" s="22">
        <f>N97*Assumptions!$E$25*-1</f>
        <v>0</v>
      </c>
      <c r="P97" s="5">
        <f>Assumptions!$E$35*J97*-1</f>
        <v>-1288.161303229502</v>
      </c>
      <c r="Q97" s="5">
        <f>J97*Assumptions!$E$36*-1</f>
        <v>-518.76885269928619</v>
      </c>
      <c r="R97" s="5">
        <f>R85+R85*Assumptions!$D$51</f>
        <v>-457.19037899472659</v>
      </c>
      <c r="S97" s="5">
        <f>S85+(S85*Assumptions!$D$51)</f>
        <v>0</v>
      </c>
      <c r="T97" s="5">
        <f t="shared" si="24"/>
        <v>0</v>
      </c>
      <c r="U97" s="22">
        <f t="shared" si="19"/>
        <v>-2264.1205349235147</v>
      </c>
      <c r="V97" s="5">
        <f>MAX(Assumptions!$E$18:$E$19)-U97</f>
        <v>5105.7535467222115</v>
      </c>
      <c r="W97" s="5">
        <f t="shared" si="20"/>
        <v>-2841.6330117986968</v>
      </c>
      <c r="X97" s="5">
        <f t="shared" si="25"/>
        <v>-2264.1205349235147</v>
      </c>
      <c r="Y97" s="5">
        <f>D97*Assumptions!$D$44*-1</f>
        <v>145.68630068068794</v>
      </c>
      <c r="Z97" s="5">
        <f t="shared" si="21"/>
        <v>145.68630068068794</v>
      </c>
      <c r="AA97" s="5">
        <f t="shared" si="31"/>
        <v>27143.304212132691</v>
      </c>
      <c r="AB97" s="3">
        <f>Assumptions!$E$45</f>
        <v>6.9899151946608562E-3</v>
      </c>
      <c r="AC97" s="5">
        <f t="shared" si="32"/>
        <v>27478.719907359067</v>
      </c>
      <c r="AD97" s="4">
        <f>AC97*Assumptions!$E$43</f>
        <v>24.609268305455686</v>
      </c>
      <c r="AE97" s="2">
        <f>AD97*Assumptions!$D$44*-1</f>
        <v>-3.6913902458183525</v>
      </c>
      <c r="AF97" s="2">
        <f>AC97*Assumptions!$E$46*-1</f>
        <v>-0.91578944763872372</v>
      </c>
      <c r="AG97" s="5">
        <f t="shared" si="33"/>
        <v>27474.112727665612</v>
      </c>
      <c r="AH97" s="20">
        <f>Model_30y[[#This Row],[Mortgage Payment]]+Model_30y[[#This Row],[Total Upkeep]]+Model_30y[[#This Row],[Monthly Investment]]</f>
        <v>-3564.2943107658452</v>
      </c>
      <c r="AI97" s="5">
        <f>Model_Renter!D97*-1</f>
        <v>3563.7146208793069</v>
      </c>
      <c r="AJ97" s="5">
        <f t="shared" si="26"/>
        <v>-0.57968988653829001</v>
      </c>
    </row>
    <row r="98" spans="1:36" x14ac:dyDescent="0.25">
      <c r="A98" s="17">
        <f t="shared" si="27"/>
        <v>96</v>
      </c>
      <c r="B98" s="17">
        <f t="shared" si="22"/>
        <v>8</v>
      </c>
      <c r="C98" s="23">
        <f>IFERROR(PPMT(Assumptions!$E$17, A98, 180, Assumptions!$D$8), 0)</f>
        <v>-1879.5091634211733</v>
      </c>
      <c r="D98" s="38">
        <f>IFERROR(IPMT(Assumptions!$E$17,A98,180,Assumptions!$D$8), 0)</f>
        <v>-962.12384837752347</v>
      </c>
      <c r="E98" s="2">
        <f t="shared" si="28"/>
        <v>-2841.6330117986968</v>
      </c>
      <c r="F98" s="2">
        <f>IF(I97&gt;1, Assumptions!$E$19, 0)*-1</f>
        <v>-2841.6330117986968</v>
      </c>
      <c r="G98" s="24">
        <f t="shared" si="23"/>
        <v>1</v>
      </c>
      <c r="H98" s="20">
        <f t="shared" si="29"/>
        <v>144520.7710346985</v>
      </c>
      <c r="I98" s="2">
        <f>MAX(Assumptions!$D$8-SUM(Model_15y!H98), 0)</f>
        <v>195479.2289653015</v>
      </c>
      <c r="J98" s="2">
        <f>J97*(1+(Assumptions!$E$51))</f>
        <v>627918.56361035467</v>
      </c>
      <c r="K98" s="22">
        <f t="shared" si="18"/>
        <v>432439.33464505314</v>
      </c>
      <c r="L98" s="5">
        <f t="shared" si="30"/>
        <v>229520.7710346985</v>
      </c>
      <c r="M98" s="63">
        <f>L98/Assumptions!$D$6</f>
        <v>0.54004887302282001</v>
      </c>
      <c r="N98" s="24">
        <f t="shared" si="34"/>
        <v>0</v>
      </c>
      <c r="O98" s="22">
        <f>N98*Assumptions!$E$25*-1</f>
        <v>0</v>
      </c>
      <c r="P98" s="5">
        <f>Assumptions!$E$35*J98*-1</f>
        <v>-1293.4094318321647</v>
      </c>
      <c r="Q98" s="5">
        <f>J98*Assumptions!$E$36*-1</f>
        <v>-520.88238122028429</v>
      </c>
      <c r="R98" s="5">
        <f>R86+R86*Assumptions!$D$51</f>
        <v>-457.19037899472659</v>
      </c>
      <c r="S98" s="5">
        <f>S86+(S86*Assumptions!$D$51)</f>
        <v>0</v>
      </c>
      <c r="T98" s="5">
        <f t="shared" si="24"/>
        <v>0</v>
      </c>
      <c r="U98" s="22">
        <f t="shared" si="19"/>
        <v>-2271.4821920471754</v>
      </c>
      <c r="V98" s="5">
        <f>MAX(Assumptions!$E$18:$E$19)-U98</f>
        <v>5113.1152038458722</v>
      </c>
      <c r="W98" s="5">
        <f t="shared" si="20"/>
        <v>-2841.6330117986968</v>
      </c>
      <c r="X98" s="5">
        <f t="shared" si="25"/>
        <v>-2271.4821920471754</v>
      </c>
      <c r="Y98" s="5">
        <f>D98*Assumptions!$D$44*-1</f>
        <v>144.31857725662852</v>
      </c>
      <c r="Z98" s="5">
        <f t="shared" si="21"/>
        <v>144.31857725662852</v>
      </c>
      <c r="AA98" s="5">
        <f t="shared" si="31"/>
        <v>27474.112727665612</v>
      </c>
      <c r="AB98" s="3">
        <f>Assumptions!$E$45</f>
        <v>6.9899151946608562E-3</v>
      </c>
      <c r="AC98" s="5">
        <f t="shared" si="32"/>
        <v>27810.473022937174</v>
      </c>
      <c r="AD98" s="4">
        <f>AC98*Assumptions!$E$43</f>
        <v>24.906378267635766</v>
      </c>
      <c r="AE98" s="2">
        <f>AD98*Assumptions!$D$44*-1</f>
        <v>-3.7359567401453648</v>
      </c>
      <c r="AF98" s="2">
        <f>AC98*Assumptions!$E$46*-1</f>
        <v>-0.92684585796249341</v>
      </c>
      <c r="AG98" s="5">
        <f t="shared" si="33"/>
        <v>27805.810220339066</v>
      </c>
      <c r="AH98" s="20">
        <f>Model_30y[[#This Row],[Mortgage Payment]]+Model_30y[[#This Row],[Total Upkeep]]+Model_30y[[#This Row],[Monthly Investment]]</f>
        <v>-3572.0740648231103</v>
      </c>
      <c r="AI98" s="5">
        <f>Model_Renter!D98*-1</f>
        <v>3563.7146208793069</v>
      </c>
      <c r="AJ98" s="5">
        <f t="shared" si="26"/>
        <v>-8.3594439438033987</v>
      </c>
    </row>
    <row r="99" spans="1:36" x14ac:dyDescent="0.25">
      <c r="A99" s="17">
        <f t="shared" si="27"/>
        <v>97</v>
      </c>
      <c r="B99" s="17">
        <f t="shared" si="22"/>
        <v>9</v>
      </c>
      <c r="C99" s="23">
        <f>IFERROR(PPMT(Assumptions!$E$17, A99, 180, Assumptions!$D$8), 0)</f>
        <v>-1888.6717705928515</v>
      </c>
      <c r="D99" s="38">
        <f>IFERROR(IPMT(Assumptions!$E$17,A99,180,Assumptions!$D$8), 0)</f>
        <v>-952.96124120584511</v>
      </c>
      <c r="E99" s="2">
        <f t="shared" si="28"/>
        <v>-2841.6330117986968</v>
      </c>
      <c r="F99" s="2">
        <f>IF(I98&gt;1, Assumptions!$E$19, 0)*-1</f>
        <v>-2841.6330117986968</v>
      </c>
      <c r="G99" s="24">
        <f t="shared" si="23"/>
        <v>1</v>
      </c>
      <c r="H99" s="20">
        <f t="shared" si="29"/>
        <v>146409.44280529136</v>
      </c>
      <c r="I99" s="2">
        <f>MAX(Assumptions!$D$8-SUM(Model_15y!H99), 0)</f>
        <v>193590.55719470864</v>
      </c>
      <c r="J99" s="2">
        <f>J98*(1+(Assumptions!$E$51))</f>
        <v>630476.78156455397</v>
      </c>
      <c r="K99" s="22">
        <f t="shared" si="18"/>
        <v>436886.22436984535</v>
      </c>
      <c r="L99" s="5">
        <f t="shared" si="30"/>
        <v>231409.44280529136</v>
      </c>
      <c r="M99" s="63">
        <f>L99/Assumptions!$D$6</f>
        <v>0.54449280660068555</v>
      </c>
      <c r="N99" s="24">
        <f t="shared" si="34"/>
        <v>0</v>
      </c>
      <c r="O99" s="22">
        <f>N99*Assumptions!$E$25*-1</f>
        <v>0</v>
      </c>
      <c r="P99" s="5">
        <f>Assumptions!$E$35*J99*-1</f>
        <v>-1298.6789419603874</v>
      </c>
      <c r="Q99" s="5">
        <f>J99*Assumptions!$E$36*-1</f>
        <v>-523.00452051809725</v>
      </c>
      <c r="R99" s="5">
        <f>R87+R87*Assumptions!$D$51</f>
        <v>-480.04989794446294</v>
      </c>
      <c r="S99" s="5">
        <f>S87+(S87*Assumptions!$D$51)</f>
        <v>0</v>
      </c>
      <c r="T99" s="5">
        <f t="shared" si="24"/>
        <v>0</v>
      </c>
      <c r="U99" s="22">
        <f t="shared" si="19"/>
        <v>-2301.7333604229475</v>
      </c>
      <c r="V99" s="5">
        <f>MAX(Assumptions!$E$18:$E$19)-U99</f>
        <v>5143.3663722216443</v>
      </c>
      <c r="W99" s="5">
        <f t="shared" si="20"/>
        <v>-2841.6330117986968</v>
      </c>
      <c r="X99" s="5">
        <f t="shared" si="25"/>
        <v>-2301.7333604229475</v>
      </c>
      <c r="Y99" s="5">
        <f>D99*Assumptions!$D$44*-1</f>
        <v>142.94418618087676</v>
      </c>
      <c r="Z99" s="5">
        <f t="shared" si="21"/>
        <v>142.94418618087676</v>
      </c>
      <c r="AA99" s="5">
        <f t="shared" si="31"/>
        <v>27805.810220339066</v>
      </c>
      <c r="AB99" s="3">
        <f>Assumptions!$E$45</f>
        <v>6.9899151946608562E-3</v>
      </c>
      <c r="AC99" s="5">
        <f t="shared" si="32"/>
        <v>28143.114661878946</v>
      </c>
      <c r="AD99" s="4">
        <f>AC99*Assumptions!$E$43</f>
        <v>25.204283969571041</v>
      </c>
      <c r="AE99" s="2">
        <f>AD99*Assumptions!$D$44*-1</f>
        <v>-3.7806425954356557</v>
      </c>
      <c r="AF99" s="2">
        <f>AC99*Assumptions!$E$46*-1</f>
        <v>-0.93793188030324093</v>
      </c>
      <c r="AG99" s="5">
        <f t="shared" si="33"/>
        <v>28138.396087403209</v>
      </c>
      <c r="AH99" s="20">
        <f>Model_30y[[#This Row],[Mortgage Payment]]+Model_30y[[#This Row],[Total Upkeep]]+Model_30y[[#This Row],[Monthly Investment]]</f>
        <v>-3602.7456714753152</v>
      </c>
      <c r="AI99" s="5">
        <f>Model_Renter!D99*-1</f>
        <v>3696.9975477001935</v>
      </c>
      <c r="AJ99" s="5">
        <f t="shared" si="26"/>
        <v>94.251876224878288</v>
      </c>
    </row>
    <row r="100" spans="1:36" x14ac:dyDescent="0.25">
      <c r="A100" s="17">
        <f t="shared" si="27"/>
        <v>98</v>
      </c>
      <c r="B100" s="17">
        <f t="shared" si="22"/>
        <v>9</v>
      </c>
      <c r="C100" s="23">
        <f>IFERROR(PPMT(Assumptions!$E$17, A100, 180, Assumptions!$D$8), 0)</f>
        <v>-1897.8790454744917</v>
      </c>
      <c r="D100" s="38">
        <f>IFERROR(IPMT(Assumptions!$E$17,A100,180,Assumptions!$D$8), 0)</f>
        <v>-943.75396632420507</v>
      </c>
      <c r="E100" s="2">
        <f t="shared" si="28"/>
        <v>-2841.6330117986968</v>
      </c>
      <c r="F100" s="2">
        <f>IF(I99&gt;1, Assumptions!$E$19, 0)*-1</f>
        <v>-2841.6330117986968</v>
      </c>
      <c r="G100" s="24">
        <f t="shared" si="23"/>
        <v>1</v>
      </c>
      <c r="H100" s="20">
        <f t="shared" si="29"/>
        <v>148307.32185076585</v>
      </c>
      <c r="I100" s="2">
        <f>MAX(Assumptions!$D$8-SUM(Model_15y!H100), 0)</f>
        <v>191692.67814923415</v>
      </c>
      <c r="J100" s="2">
        <f>J99*(1+(Assumptions!$E$51))</f>
        <v>633045.42201536417</v>
      </c>
      <c r="K100" s="22">
        <f t="shared" si="18"/>
        <v>441352.74386613001</v>
      </c>
      <c r="L100" s="5">
        <f t="shared" si="30"/>
        <v>233307.32185076585</v>
      </c>
      <c r="M100" s="63">
        <f>L100/Assumptions!$D$6</f>
        <v>0.54895840435474319</v>
      </c>
      <c r="N100" s="24">
        <f t="shared" si="34"/>
        <v>0</v>
      </c>
      <c r="O100" s="22">
        <f>N100*Assumptions!$E$25*-1</f>
        <v>0</v>
      </c>
      <c r="P100" s="5">
        <f>Assumptions!$E$35*J100*-1</f>
        <v>-1303.9699207251515</v>
      </c>
      <c r="Q100" s="5">
        <f>J100*Assumptions!$E$36*-1</f>
        <v>-525.13530567409566</v>
      </c>
      <c r="R100" s="5">
        <f>R88+R88*Assumptions!$D$51</f>
        <v>-480.04989794446294</v>
      </c>
      <c r="S100" s="5">
        <f>S88+(S88*Assumptions!$D$51)</f>
        <v>0</v>
      </c>
      <c r="T100" s="5">
        <f t="shared" si="24"/>
        <v>0</v>
      </c>
      <c r="U100" s="22">
        <f t="shared" si="19"/>
        <v>-2309.1551243437102</v>
      </c>
      <c r="V100" s="5">
        <f>MAX(Assumptions!$E$18:$E$19)-U100</f>
        <v>5150.788136142407</v>
      </c>
      <c r="W100" s="5">
        <f t="shared" si="20"/>
        <v>-2841.6330117986968</v>
      </c>
      <c r="X100" s="5">
        <f t="shared" si="25"/>
        <v>-2309.1551243437102</v>
      </c>
      <c r="Y100" s="5">
        <f>D100*Assumptions!$D$44*-1</f>
        <v>141.56309494863075</v>
      </c>
      <c r="Z100" s="5">
        <f t="shared" si="21"/>
        <v>141.56309494863075</v>
      </c>
      <c r="AA100" s="5">
        <f t="shared" si="31"/>
        <v>28138.396087403209</v>
      </c>
      <c r="AB100" s="3">
        <f>Assumptions!$E$45</f>
        <v>6.9899151946608562E-3</v>
      </c>
      <c r="AC100" s="5">
        <f t="shared" si="32"/>
        <v>28476.644184716562</v>
      </c>
      <c r="AD100" s="4">
        <f>AC100*Assumptions!$E$43</f>
        <v>25.502984838569795</v>
      </c>
      <c r="AE100" s="2">
        <f>AD100*Assumptions!$D$44*-1</f>
        <v>-3.8254477257854691</v>
      </c>
      <c r="AF100" s="2">
        <f>AC100*Assumptions!$E$46*-1</f>
        <v>-0.94904749334927907</v>
      </c>
      <c r="AG100" s="5">
        <f t="shared" si="33"/>
        <v>28471.869689497427</v>
      </c>
      <c r="AH100" s="20">
        <f>Model_30y[[#This Row],[Mortgage Payment]]+Model_30y[[#This Row],[Total Upkeep]]+Model_30y[[#This Row],[Monthly Investment]]</f>
        <v>-3610.5902281268586</v>
      </c>
      <c r="AI100" s="5">
        <f>Model_Renter!D100*-1</f>
        <v>3696.9975477001935</v>
      </c>
      <c r="AJ100" s="5">
        <f t="shared" si="26"/>
        <v>86.407319573334917</v>
      </c>
    </row>
    <row r="101" spans="1:36" x14ac:dyDescent="0.25">
      <c r="A101" s="17">
        <f t="shared" si="27"/>
        <v>99</v>
      </c>
      <c r="B101" s="17">
        <f t="shared" si="22"/>
        <v>9</v>
      </c>
      <c r="C101" s="23">
        <f>IFERROR(PPMT(Assumptions!$E$17, A101, 180, Assumptions!$D$8), 0)</f>
        <v>-1907.1312058211797</v>
      </c>
      <c r="D101" s="38">
        <f>IFERROR(IPMT(Assumptions!$E$17,A101,180,Assumptions!$D$8), 0)</f>
        <v>-934.50180597751682</v>
      </c>
      <c r="E101" s="2">
        <f t="shared" si="28"/>
        <v>-2841.6330117986963</v>
      </c>
      <c r="F101" s="2">
        <f>IF(I100&gt;1, Assumptions!$E$19, 0)*-1</f>
        <v>-2841.6330117986968</v>
      </c>
      <c r="G101" s="24">
        <f t="shared" si="23"/>
        <v>1</v>
      </c>
      <c r="H101" s="20">
        <f t="shared" si="29"/>
        <v>150214.45305658702</v>
      </c>
      <c r="I101" s="2">
        <f>MAX(Assumptions!$D$8-SUM(Model_15y!H101), 0)</f>
        <v>189785.54694341298</v>
      </c>
      <c r="J101" s="2">
        <f>J100*(1+(Assumptions!$E$51))</f>
        <v>635624.52742532664</v>
      </c>
      <c r="K101" s="22">
        <f t="shared" si="18"/>
        <v>445838.98048191366</v>
      </c>
      <c r="L101" s="5">
        <f t="shared" si="30"/>
        <v>235214.45305658702</v>
      </c>
      <c r="M101" s="63">
        <f>L101/Assumptions!$D$6</f>
        <v>0.55344577189785182</v>
      </c>
      <c r="N101" s="24">
        <f t="shared" si="34"/>
        <v>0</v>
      </c>
      <c r="O101" s="22">
        <f>N101*Assumptions!$E$25*-1</f>
        <v>0</v>
      </c>
      <c r="P101" s="5">
        <f>Assumptions!$E$35*J101*-1</f>
        <v>-1309.2824555923398</v>
      </c>
      <c r="Q101" s="5">
        <f>J101*Assumptions!$E$36*-1</f>
        <v>-527.27477191257594</v>
      </c>
      <c r="R101" s="5">
        <f>R89+R89*Assumptions!$D$51</f>
        <v>-480.04989794446294</v>
      </c>
      <c r="S101" s="5">
        <f>S89+(S89*Assumptions!$D$51)</f>
        <v>0</v>
      </c>
      <c r="T101" s="5">
        <f t="shared" si="24"/>
        <v>0</v>
      </c>
      <c r="U101" s="22">
        <f t="shared" si="19"/>
        <v>-2316.6071254493786</v>
      </c>
      <c r="V101" s="5">
        <f>MAX(Assumptions!$E$18:$E$19)-U101</f>
        <v>5158.2401372480754</v>
      </c>
      <c r="W101" s="5">
        <f t="shared" si="20"/>
        <v>-2841.6330117986968</v>
      </c>
      <c r="X101" s="5">
        <f t="shared" si="25"/>
        <v>-2316.6071254493786</v>
      </c>
      <c r="Y101" s="5">
        <f>D101*Assumptions!$D$44*-1</f>
        <v>140.17527089662752</v>
      </c>
      <c r="Z101" s="5">
        <f t="shared" si="21"/>
        <v>140.17527089662752</v>
      </c>
      <c r="AA101" s="5">
        <f t="shared" si="31"/>
        <v>28471.869689497427</v>
      </c>
      <c r="AB101" s="3">
        <f>Assumptions!$E$45</f>
        <v>6.9899151946608562E-3</v>
      </c>
      <c r="AC101" s="5">
        <f t="shared" si="32"/>
        <v>28811.060914957077</v>
      </c>
      <c r="AD101" s="4">
        <f>AC101*Assumptions!$E$43</f>
        <v>25.802480268781519</v>
      </c>
      <c r="AE101" s="2">
        <f>AD101*Assumptions!$D$44*-1</f>
        <v>-3.8703720403172275</v>
      </c>
      <c r="AF101" s="2">
        <f>AC101*Assumptions!$E$46*-1</f>
        <v>-0.96019267455497603</v>
      </c>
      <c r="AG101" s="5">
        <f t="shared" si="33"/>
        <v>28806.230350242204</v>
      </c>
      <c r="AH101" s="20">
        <f>Model_30y[[#This Row],[Mortgage Payment]]+Model_30y[[#This Row],[Total Upkeep]]+Model_30y[[#This Row],[Monthly Investment]]</f>
        <v>-3618.4673896026002</v>
      </c>
      <c r="AI101" s="5">
        <f>Model_Renter!D101*-1</f>
        <v>3696.9975477001935</v>
      </c>
      <c r="AJ101" s="5">
        <f t="shared" si="26"/>
        <v>78.530158097593358</v>
      </c>
    </row>
    <row r="102" spans="1:36" x14ac:dyDescent="0.25">
      <c r="A102" s="17">
        <f t="shared" si="27"/>
        <v>100</v>
      </c>
      <c r="B102" s="17">
        <f t="shared" si="22"/>
        <v>9</v>
      </c>
      <c r="C102" s="23">
        <f>IFERROR(PPMT(Assumptions!$E$17, A102, 180, Assumptions!$D$8), 0)</f>
        <v>-1916.4284704495583</v>
      </c>
      <c r="D102" s="38">
        <f>IFERROR(IPMT(Assumptions!$E$17,A102,180,Assumptions!$D$8), 0)</f>
        <v>-925.20454134913859</v>
      </c>
      <c r="E102" s="2">
        <f t="shared" si="28"/>
        <v>-2841.6330117986968</v>
      </c>
      <c r="F102" s="2">
        <f>IF(I101&gt;1, Assumptions!$E$19, 0)*-1</f>
        <v>-2841.6330117986968</v>
      </c>
      <c r="G102" s="24">
        <f t="shared" si="23"/>
        <v>1</v>
      </c>
      <c r="H102" s="20">
        <f t="shared" si="29"/>
        <v>152130.88152703657</v>
      </c>
      <c r="I102" s="2">
        <f>MAX(Assumptions!$D$8-SUM(Model_15y!H102), 0)</f>
        <v>187869.11847296343</v>
      </c>
      <c r="J102" s="2">
        <f>J101*(1+(Assumptions!$E$51))</f>
        <v>638214.14042998035</v>
      </c>
      <c r="K102" s="22">
        <f t="shared" si="18"/>
        <v>450345.0219570169</v>
      </c>
      <c r="L102" s="5">
        <f t="shared" si="30"/>
        <v>237130.88152703657</v>
      </c>
      <c r="M102" s="63">
        <f>L102/Assumptions!$D$6</f>
        <v>0.55795501535773306</v>
      </c>
      <c r="N102" s="24">
        <f t="shared" si="34"/>
        <v>0</v>
      </c>
      <c r="O102" s="22">
        <f>N102*Assumptions!$E$25*-1</f>
        <v>0</v>
      </c>
      <c r="P102" s="5">
        <f>Assumptions!$E$35*J102*-1</f>
        <v>-1314.6166343841819</v>
      </c>
      <c r="Q102" s="5">
        <f>J102*Assumptions!$E$36*-1</f>
        <v>-529.42295460134267</v>
      </c>
      <c r="R102" s="5">
        <f>R90+R90*Assumptions!$D$51</f>
        <v>-480.04989794446294</v>
      </c>
      <c r="S102" s="5">
        <f>S90+(S90*Assumptions!$D$51)</f>
        <v>0</v>
      </c>
      <c r="T102" s="5">
        <f t="shared" si="24"/>
        <v>0</v>
      </c>
      <c r="U102" s="22">
        <f t="shared" si="19"/>
        <v>-2324.0894869299873</v>
      </c>
      <c r="V102" s="5">
        <f>MAX(Assumptions!$E$18:$E$19)-U102</f>
        <v>5165.7224987286845</v>
      </c>
      <c r="W102" s="5">
        <f t="shared" si="20"/>
        <v>-2841.6330117986968</v>
      </c>
      <c r="X102" s="5">
        <f t="shared" si="25"/>
        <v>-2324.0894869299873</v>
      </c>
      <c r="Y102" s="5">
        <f>D102*Assumptions!$D$44*-1</f>
        <v>138.78068120237077</v>
      </c>
      <c r="Z102" s="5">
        <f t="shared" si="21"/>
        <v>138.78068120237123</v>
      </c>
      <c r="AA102" s="5">
        <f t="shared" si="31"/>
        <v>28806.230350242204</v>
      </c>
      <c r="AB102" s="3">
        <f>Assumptions!$E$45</f>
        <v>6.9899151946608562E-3</v>
      </c>
      <c r="AC102" s="5">
        <f t="shared" si="32"/>
        <v>29146.364138670633</v>
      </c>
      <c r="AD102" s="4">
        <f>AC102*Assumptions!$E$43</f>
        <v>26.102769620828131</v>
      </c>
      <c r="AE102" s="2">
        <f>AD102*Assumptions!$D$44*-1</f>
        <v>-3.9154154431242194</v>
      </c>
      <c r="AF102" s="2">
        <f>AC102*Assumptions!$E$46*-1</f>
        <v>-0.97136740012703171</v>
      </c>
      <c r="AG102" s="5">
        <f t="shared" si="33"/>
        <v>29141.477355827381</v>
      </c>
      <c r="AH102" s="20">
        <f>Model_30y[[#This Row],[Mortgage Payment]]+Model_30y[[#This Row],[Total Upkeep]]+Model_30y[[#This Row],[Monthly Investment]]</f>
        <v>-3626.3772923513543</v>
      </c>
      <c r="AI102" s="5">
        <f>Model_Renter!D102*-1</f>
        <v>3696.9975477001935</v>
      </c>
      <c r="AJ102" s="5">
        <f t="shared" si="26"/>
        <v>70.620255348839237</v>
      </c>
    </row>
    <row r="103" spans="1:36" x14ac:dyDescent="0.25">
      <c r="A103" s="17">
        <f t="shared" si="27"/>
        <v>101</v>
      </c>
      <c r="B103" s="17">
        <f t="shared" si="22"/>
        <v>9</v>
      </c>
      <c r="C103" s="23">
        <f>IFERROR(PPMT(Assumptions!$E$17, A103, 180, Assumptions!$D$8), 0)</f>
        <v>-1925.7710592430001</v>
      </c>
      <c r="D103" s="38">
        <f>IFERROR(IPMT(Assumptions!$E$17,A103,180,Assumptions!$D$8), 0)</f>
        <v>-915.86195255569714</v>
      </c>
      <c r="E103" s="2">
        <f t="shared" si="28"/>
        <v>-2841.6330117986972</v>
      </c>
      <c r="F103" s="2">
        <f>IF(I102&gt;1, Assumptions!$E$19, 0)*-1</f>
        <v>-2841.6330117986968</v>
      </c>
      <c r="G103" s="24">
        <f t="shared" si="23"/>
        <v>1</v>
      </c>
      <c r="H103" s="20">
        <f t="shared" si="29"/>
        <v>154056.65258627958</v>
      </c>
      <c r="I103" s="2">
        <f>MAX(Assumptions!$D$8-SUM(Model_15y!H103), 0)</f>
        <v>185943.34741372042</v>
      </c>
      <c r="J103" s="2">
        <f>J102*(1+(Assumptions!$E$51))</f>
        <v>640814.30383856688</v>
      </c>
      <c r="K103" s="22">
        <f t="shared" si="18"/>
        <v>454870.95642484643</v>
      </c>
      <c r="L103" s="5">
        <f t="shared" si="30"/>
        <v>239056.65258627958</v>
      </c>
      <c r="M103" s="63">
        <f>L103/Assumptions!$D$6</f>
        <v>0.56248624137948133</v>
      </c>
      <c r="N103" s="24">
        <f t="shared" si="34"/>
        <v>0</v>
      </c>
      <c r="O103" s="22">
        <f>N103*Assumptions!$E$25*-1</f>
        <v>0</v>
      </c>
      <c r="P103" s="5">
        <f>Assumptions!$E$35*J103*-1</f>
        <v>-1319.9725452807063</v>
      </c>
      <c r="Q103" s="5">
        <f>J103*Assumptions!$E$36*-1</f>
        <v>-531.57988925229347</v>
      </c>
      <c r="R103" s="5">
        <f>R91+R91*Assumptions!$D$51</f>
        <v>-480.04989794446294</v>
      </c>
      <c r="S103" s="5">
        <f>S91+(S91*Assumptions!$D$51)</f>
        <v>0</v>
      </c>
      <c r="T103" s="5">
        <f t="shared" si="24"/>
        <v>0</v>
      </c>
      <c r="U103" s="22">
        <f t="shared" si="19"/>
        <v>-2331.6023324774628</v>
      </c>
      <c r="V103" s="5">
        <f>MAX(Assumptions!$E$18:$E$19)-U103</f>
        <v>5173.2353442761596</v>
      </c>
      <c r="W103" s="5">
        <f t="shared" si="20"/>
        <v>-2841.6330117986968</v>
      </c>
      <c r="X103" s="5">
        <f t="shared" si="25"/>
        <v>-2331.6023324774628</v>
      </c>
      <c r="Y103" s="5">
        <f>D103*Assumptions!$D$44*-1</f>
        <v>137.37929288335457</v>
      </c>
      <c r="Z103" s="5">
        <f t="shared" si="21"/>
        <v>137.37929288335457</v>
      </c>
      <c r="AA103" s="5">
        <f t="shared" si="31"/>
        <v>29141.477355827381</v>
      </c>
      <c r="AB103" s="3">
        <f>Assumptions!$E$45</f>
        <v>6.9899151946608562E-3</v>
      </c>
      <c r="AC103" s="5">
        <f t="shared" si="32"/>
        <v>29482.553104075098</v>
      </c>
      <c r="AD103" s="4">
        <f>AC103*Assumptions!$E$43</f>
        <v>26.403852221431965</v>
      </c>
      <c r="AE103" s="2">
        <f>AD103*Assumptions!$D$44*-1</f>
        <v>-3.9605778332147947</v>
      </c>
      <c r="AF103" s="2">
        <f>AC103*Assumptions!$E$46*-1</f>
        <v>-0.98257164501063465</v>
      </c>
      <c r="AG103" s="5">
        <f t="shared" si="33"/>
        <v>29477.609954596872</v>
      </c>
      <c r="AH103" s="20">
        <f>Model_30y[[#This Row],[Mortgage Payment]]+Model_30y[[#This Row],[Total Upkeep]]+Model_30y[[#This Row],[Monthly Investment]]</f>
        <v>-3634.3200733980771</v>
      </c>
      <c r="AI103" s="5">
        <f>Model_Renter!D103*-1</f>
        <v>3696.9975477001935</v>
      </c>
      <c r="AJ103" s="5">
        <f t="shared" si="26"/>
        <v>62.67747430211648</v>
      </c>
    </row>
    <row r="104" spans="1:36" x14ac:dyDescent="0.25">
      <c r="A104" s="17">
        <f t="shared" si="27"/>
        <v>102</v>
      </c>
      <c r="B104" s="17">
        <f t="shared" si="22"/>
        <v>9</v>
      </c>
      <c r="C104" s="23">
        <f>IFERROR(PPMT(Assumptions!$E$17, A104, 180, Assumptions!$D$8), 0)</f>
        <v>-1935.1591931568096</v>
      </c>
      <c r="D104" s="38">
        <f>IFERROR(IPMT(Assumptions!$E$17,A104,180,Assumptions!$D$8), 0)</f>
        <v>-906.47381864188742</v>
      </c>
      <c r="E104" s="2">
        <f t="shared" si="28"/>
        <v>-2841.6330117986972</v>
      </c>
      <c r="F104" s="2">
        <f>IF(I103&gt;1, Assumptions!$E$19, 0)*-1</f>
        <v>-2841.6330117986968</v>
      </c>
      <c r="G104" s="24">
        <f t="shared" si="23"/>
        <v>1</v>
      </c>
      <c r="H104" s="20">
        <f t="shared" si="29"/>
        <v>155991.81177943639</v>
      </c>
      <c r="I104" s="2">
        <f>MAX(Assumptions!$D$8-SUM(Model_15y!H104), 0)</f>
        <v>184008.18822056361</v>
      </c>
      <c r="J104" s="2">
        <f>J103*(1+(Assumptions!$E$51))</f>
        <v>643425.0606347376</v>
      </c>
      <c r="K104" s="22">
        <f t="shared" si="18"/>
        <v>459416.87241417402</v>
      </c>
      <c r="L104" s="5">
        <f t="shared" si="30"/>
        <v>240991.81177943639</v>
      </c>
      <c r="M104" s="63">
        <f>L104/Assumptions!$D$6</f>
        <v>0.56703955712808563</v>
      </c>
      <c r="N104" s="24">
        <f t="shared" si="34"/>
        <v>0</v>
      </c>
      <c r="O104" s="22">
        <f>N104*Assumptions!$E$25*-1</f>
        <v>0</v>
      </c>
      <c r="P104" s="5">
        <f>Assumptions!$E$35*J104*-1</f>
        <v>-1325.3502768211972</v>
      </c>
      <c r="Q104" s="5">
        <f>J104*Assumptions!$E$36*-1</f>
        <v>-533.74561152200533</v>
      </c>
      <c r="R104" s="5">
        <f>R92+R92*Assumptions!$D$51</f>
        <v>-480.04989794446294</v>
      </c>
      <c r="S104" s="5">
        <f>S92+(S92*Assumptions!$D$51)</f>
        <v>0</v>
      </c>
      <c r="T104" s="5">
        <f t="shared" si="24"/>
        <v>0</v>
      </c>
      <c r="U104" s="22">
        <f t="shared" si="19"/>
        <v>-2339.1457862876655</v>
      </c>
      <c r="V104" s="5">
        <f>MAX(Assumptions!$E$18:$E$19)-U104</f>
        <v>5180.7787980863623</v>
      </c>
      <c r="W104" s="5">
        <f t="shared" si="20"/>
        <v>-2841.6330117986968</v>
      </c>
      <c r="X104" s="5">
        <f t="shared" si="25"/>
        <v>-2339.1457862876655</v>
      </c>
      <c r="Y104" s="5">
        <f>D104*Assumptions!$D$44*-1</f>
        <v>135.9710727962831</v>
      </c>
      <c r="Z104" s="5">
        <f t="shared" si="21"/>
        <v>135.9710727962831</v>
      </c>
      <c r="AA104" s="5">
        <f t="shared" si="31"/>
        <v>29477.609954596872</v>
      </c>
      <c r="AB104" s="3">
        <f>Assumptions!$E$45</f>
        <v>6.9899151946608562E-3</v>
      </c>
      <c r="AC104" s="5">
        <f t="shared" si="32"/>
        <v>29819.627021117078</v>
      </c>
      <c r="AD104" s="4">
        <f>AC104*Assumptions!$E$43</f>
        <v>26.705727363040562</v>
      </c>
      <c r="AE104" s="2">
        <f>AD104*Assumptions!$D$44*-1</f>
        <v>-4.0058591044560838</v>
      </c>
      <c r="AF104" s="2">
        <f>AC104*Assumptions!$E$46*-1</f>
        <v>-0.99380538287549891</v>
      </c>
      <c r="AG104" s="5">
        <f t="shared" si="33"/>
        <v>29814.627356629746</v>
      </c>
      <c r="AH104" s="20">
        <f>Model_30y[[#This Row],[Mortgage Payment]]+Model_30y[[#This Row],[Total Upkeep]]+Model_30y[[#This Row],[Monthly Investment]]</f>
        <v>-3642.2958703463228</v>
      </c>
      <c r="AI104" s="5">
        <f>Model_Renter!D104*-1</f>
        <v>3696.9975477001935</v>
      </c>
      <c r="AJ104" s="5">
        <f t="shared" si="26"/>
        <v>54.701677353870764</v>
      </c>
    </row>
    <row r="105" spans="1:36" x14ac:dyDescent="0.25">
      <c r="A105" s="17">
        <f t="shared" si="27"/>
        <v>103</v>
      </c>
      <c r="B105" s="17">
        <f t="shared" si="22"/>
        <v>9</v>
      </c>
      <c r="C105" s="23">
        <f>IFERROR(PPMT(Assumptions!$E$17, A105, 180, Assumptions!$D$8), 0)</f>
        <v>-1944.5930942234488</v>
      </c>
      <c r="D105" s="38">
        <f>IFERROR(IPMT(Assumptions!$E$17,A105,180,Assumptions!$D$8), 0)</f>
        <v>-897.03991757524796</v>
      </c>
      <c r="E105" s="2">
        <f t="shared" si="28"/>
        <v>-2841.6330117986968</v>
      </c>
      <c r="F105" s="2">
        <f>IF(I104&gt;1, Assumptions!$E$19, 0)*-1</f>
        <v>-2841.6330117986968</v>
      </c>
      <c r="G105" s="24">
        <f t="shared" si="23"/>
        <v>1</v>
      </c>
      <c r="H105" s="20">
        <f t="shared" si="29"/>
        <v>157936.40487365983</v>
      </c>
      <c r="I105" s="2">
        <f>MAX(Assumptions!$D$8-SUM(Model_15y!H105), 0)</f>
        <v>182063.59512634017</v>
      </c>
      <c r="J105" s="2">
        <f>J104*(1+(Assumptions!$E$51))</f>
        <v>646046.45397726493</v>
      </c>
      <c r="K105" s="22">
        <f t="shared" si="18"/>
        <v>463982.85885092476</v>
      </c>
      <c r="L105" s="5">
        <f t="shared" si="30"/>
        <v>242936.40487365983</v>
      </c>
      <c r="M105" s="63">
        <f>L105/Assumptions!$D$6</f>
        <v>0.57161507029096437</v>
      </c>
      <c r="N105" s="24">
        <f t="shared" si="34"/>
        <v>0</v>
      </c>
      <c r="O105" s="22">
        <f>N105*Assumptions!$E$25*-1</f>
        <v>0</v>
      </c>
      <c r="P105" s="5">
        <f>Assumptions!$E$35*J105*-1</f>
        <v>-1330.7499179056592</v>
      </c>
      <c r="Q105" s="5">
        <f>J105*Assumptions!$E$36*-1</f>
        <v>-535.92015721232497</v>
      </c>
      <c r="R105" s="5">
        <f>R93+R93*Assumptions!$D$51</f>
        <v>-480.04989794446294</v>
      </c>
      <c r="S105" s="5">
        <f>S93+(S93*Assumptions!$D$51)</f>
        <v>0</v>
      </c>
      <c r="T105" s="5">
        <f t="shared" si="24"/>
        <v>0</v>
      </c>
      <c r="U105" s="22">
        <f t="shared" si="19"/>
        <v>-2346.719973062447</v>
      </c>
      <c r="V105" s="5">
        <f>MAX(Assumptions!$E$18:$E$19)-U105</f>
        <v>5188.3529848611433</v>
      </c>
      <c r="W105" s="5">
        <f t="shared" si="20"/>
        <v>-2841.6330117986968</v>
      </c>
      <c r="X105" s="5">
        <f t="shared" si="25"/>
        <v>-2346.719973062447</v>
      </c>
      <c r="Y105" s="5">
        <f>D105*Assumptions!$D$44*-1</f>
        <v>134.5559876362872</v>
      </c>
      <c r="Z105" s="5">
        <f t="shared" si="21"/>
        <v>134.55598763628674</v>
      </c>
      <c r="AA105" s="5">
        <f t="shared" si="31"/>
        <v>29814.627356629746</v>
      </c>
      <c r="AB105" s="3">
        <f>Assumptions!$E$45</f>
        <v>6.9899151946608562E-3</v>
      </c>
      <c r="AC105" s="5">
        <f t="shared" si="32"/>
        <v>30157.585061049289</v>
      </c>
      <c r="AD105" s="4">
        <f>AC105*Assumptions!$E$43</f>
        <v>27.00839430344816</v>
      </c>
      <c r="AE105" s="2">
        <f>AD105*Assumptions!$D$44*-1</f>
        <v>-4.051259145517224</v>
      </c>
      <c r="AF105" s="2">
        <f>AC105*Assumptions!$E$46*-1</f>
        <v>-1.0050685861017778</v>
      </c>
      <c r="AG105" s="5">
        <f t="shared" si="33"/>
        <v>30152.528733317671</v>
      </c>
      <c r="AH105" s="20">
        <f>Model_30y[[#This Row],[Mortgage Payment]]+Model_30y[[#This Row],[Total Upkeep]]+Model_30y[[#This Row],[Monthly Investment]]</f>
        <v>-3650.3048213807201</v>
      </c>
      <c r="AI105" s="5">
        <f>Model_Renter!D105*-1</f>
        <v>3696.9975477001935</v>
      </c>
      <c r="AJ105" s="5">
        <f t="shared" si="26"/>
        <v>46.692726319473422</v>
      </c>
    </row>
    <row r="106" spans="1:36" x14ac:dyDescent="0.25">
      <c r="A106" s="17">
        <f t="shared" si="27"/>
        <v>104</v>
      </c>
      <c r="B106" s="17">
        <f t="shared" si="22"/>
        <v>9</v>
      </c>
      <c r="C106" s="23">
        <f>IFERROR(PPMT(Assumptions!$E$17, A106, 180, Assumptions!$D$8), 0)</f>
        <v>-1954.0729855577883</v>
      </c>
      <c r="D106" s="38">
        <f>IFERROR(IPMT(Assumptions!$E$17,A106,180,Assumptions!$D$8), 0)</f>
        <v>-887.56002624090877</v>
      </c>
      <c r="E106" s="2">
        <f t="shared" si="28"/>
        <v>-2841.6330117986972</v>
      </c>
      <c r="F106" s="2">
        <f>IF(I105&gt;1, Assumptions!$E$19, 0)*-1</f>
        <v>-2841.6330117986968</v>
      </c>
      <c r="G106" s="24">
        <f t="shared" si="23"/>
        <v>1</v>
      </c>
      <c r="H106" s="20">
        <f t="shared" si="29"/>
        <v>159890.47785921762</v>
      </c>
      <c r="I106" s="2">
        <f>MAX(Assumptions!$D$8-SUM(Model_15y!H106), 0)</f>
        <v>180109.52214078238</v>
      </c>
      <c r="J106" s="2">
        <f>J105*(1+(Assumptions!$E$51))</f>
        <v>648678.52720075543</v>
      </c>
      <c r="K106" s="22">
        <f t="shared" si="18"/>
        <v>468569.00505997305</v>
      </c>
      <c r="L106" s="5">
        <f t="shared" si="30"/>
        <v>244890.47785921762</v>
      </c>
      <c r="M106" s="63">
        <f>L106/Assumptions!$D$6</f>
        <v>0.57621288908051205</v>
      </c>
      <c r="N106" s="24">
        <f t="shared" si="34"/>
        <v>0</v>
      </c>
      <c r="O106" s="22">
        <f>N106*Assumptions!$E$25*-1</f>
        <v>0</v>
      </c>
      <c r="P106" s="5">
        <f>Assumptions!$E$35*J106*-1</f>
        <v>-1336.1715577962871</v>
      </c>
      <c r="Q106" s="5">
        <f>J106*Assumptions!$E$36*-1</f>
        <v>-538.10356227096031</v>
      </c>
      <c r="R106" s="5">
        <f>R94+R94*Assumptions!$D$51</f>
        <v>-480.04989794446294</v>
      </c>
      <c r="S106" s="5">
        <f>S94+(S94*Assumptions!$D$51)</f>
        <v>0</v>
      </c>
      <c r="T106" s="5">
        <f t="shared" si="24"/>
        <v>0</v>
      </c>
      <c r="U106" s="22">
        <f t="shared" si="19"/>
        <v>-2354.3250180117102</v>
      </c>
      <c r="V106" s="5">
        <f>MAX(Assumptions!$E$18:$E$19)-U106</f>
        <v>5195.9580298104065</v>
      </c>
      <c r="W106" s="5">
        <f t="shared" si="20"/>
        <v>-2841.6330117986968</v>
      </c>
      <c r="X106" s="5">
        <f t="shared" si="25"/>
        <v>-2354.3250180117102</v>
      </c>
      <c r="Y106" s="5">
        <f>D106*Assumptions!$D$44*-1</f>
        <v>133.13400393613631</v>
      </c>
      <c r="Z106" s="5">
        <f t="shared" si="21"/>
        <v>133.13400393613585</v>
      </c>
      <c r="AA106" s="5">
        <f t="shared" si="31"/>
        <v>30152.528733317671</v>
      </c>
      <c r="AB106" s="3">
        <f>Assumptions!$E$45</f>
        <v>6.9899151946608562E-3</v>
      </c>
      <c r="AC106" s="5">
        <f t="shared" si="32"/>
        <v>30496.426356004271</v>
      </c>
      <c r="AD106" s="4">
        <f>AC106*Assumptions!$E$43</f>
        <v>27.311852265413922</v>
      </c>
      <c r="AE106" s="2">
        <f>AD106*Assumptions!$D$44*-1</f>
        <v>-4.0967778398120878</v>
      </c>
      <c r="AF106" s="2">
        <f>AC106*Assumptions!$E$46*-1</f>
        <v>-1.0163612257658587</v>
      </c>
      <c r="AG106" s="5">
        <f t="shared" si="33"/>
        <v>30491.313216938692</v>
      </c>
      <c r="AH106" s="20">
        <f>Model_30y[[#This Row],[Mortgage Payment]]+Model_30y[[#This Row],[Total Upkeep]]+Model_30y[[#This Row],[Monthly Investment]]</f>
        <v>-3658.3470652694532</v>
      </c>
      <c r="AI106" s="5">
        <f>Model_Renter!D106*-1</f>
        <v>3696.9975477001935</v>
      </c>
      <c r="AJ106" s="5">
        <f t="shared" si="26"/>
        <v>38.65048243074034</v>
      </c>
    </row>
    <row r="107" spans="1:36" x14ac:dyDescent="0.25">
      <c r="A107" s="17">
        <f t="shared" si="27"/>
        <v>105</v>
      </c>
      <c r="B107" s="17">
        <f t="shared" si="22"/>
        <v>9</v>
      </c>
      <c r="C107" s="23">
        <f>IFERROR(PPMT(Assumptions!$E$17, A107, 180, Assumptions!$D$8), 0)</f>
        <v>-1963.5990913623821</v>
      </c>
      <c r="D107" s="38">
        <f>IFERROR(IPMT(Assumptions!$E$17,A107,180,Assumptions!$D$8), 0)</f>
        <v>-878.03392043631436</v>
      </c>
      <c r="E107" s="2">
        <f t="shared" si="28"/>
        <v>-2841.6330117986963</v>
      </c>
      <c r="F107" s="2">
        <f>IF(I106&gt;1, Assumptions!$E$19, 0)*-1</f>
        <v>-2841.6330117986968</v>
      </c>
      <c r="G107" s="24">
        <f t="shared" si="23"/>
        <v>1</v>
      </c>
      <c r="H107" s="20">
        <f t="shared" si="29"/>
        <v>161854.07695058</v>
      </c>
      <c r="I107" s="2">
        <f>MAX(Assumptions!$D$8-SUM(Model_15y!H107), 0)</f>
        <v>178145.92304942</v>
      </c>
      <c r="J107" s="2">
        <f>J106*(1+(Assumptions!$E$51))</f>
        <v>651321.32381636603</v>
      </c>
      <c r="K107" s="22">
        <f t="shared" si="18"/>
        <v>473175.40076694603</v>
      </c>
      <c r="L107" s="5">
        <f t="shared" si="30"/>
        <v>246854.07695058</v>
      </c>
      <c r="M107" s="63">
        <f>L107/Assumptions!$D$6</f>
        <v>0.58083312223665884</v>
      </c>
      <c r="N107" s="24">
        <f t="shared" si="34"/>
        <v>0</v>
      </c>
      <c r="O107" s="22">
        <f>N107*Assumptions!$E$25*-1</f>
        <v>0</v>
      </c>
      <c r="P107" s="5">
        <f>Assumptions!$E$35*J107*-1</f>
        <v>-1341.6152861189394</v>
      </c>
      <c r="Q107" s="5">
        <f>J107*Assumptions!$E$36*-1</f>
        <v>-540.29586279207433</v>
      </c>
      <c r="R107" s="5">
        <f>R95+R95*Assumptions!$D$51</f>
        <v>-480.04989794446294</v>
      </c>
      <c r="S107" s="5">
        <f>S95+(S95*Assumptions!$D$51)</f>
        <v>0</v>
      </c>
      <c r="T107" s="5">
        <f t="shared" si="24"/>
        <v>0</v>
      </c>
      <c r="U107" s="22">
        <f t="shared" si="19"/>
        <v>-2361.9610468554765</v>
      </c>
      <c r="V107" s="5">
        <f>MAX(Assumptions!$E$18:$E$19)-U107</f>
        <v>5203.5940586541728</v>
      </c>
      <c r="W107" s="5">
        <f t="shared" si="20"/>
        <v>-2841.6330117986968</v>
      </c>
      <c r="X107" s="5">
        <f t="shared" si="25"/>
        <v>-2361.9610468554765</v>
      </c>
      <c r="Y107" s="5">
        <f>D107*Assumptions!$D$44*-1</f>
        <v>131.70508806544714</v>
      </c>
      <c r="Z107" s="5">
        <f t="shared" si="21"/>
        <v>131.70508806544669</v>
      </c>
      <c r="AA107" s="5">
        <f t="shared" si="31"/>
        <v>30491.313216938692</v>
      </c>
      <c r="AB107" s="3">
        <f>Assumptions!$E$45</f>
        <v>6.9899151946608562E-3</v>
      </c>
      <c r="AC107" s="5">
        <f t="shared" si="32"/>
        <v>30836.149998564382</v>
      </c>
      <c r="AD107" s="4">
        <f>AC107*Assumptions!$E$43</f>
        <v>27.616100436276842</v>
      </c>
      <c r="AE107" s="2">
        <f>AD107*Assumptions!$D$44*-1</f>
        <v>-4.1424150654415257</v>
      </c>
      <c r="AF107" s="2">
        <f>AC107*Assumptions!$E$46*-1</f>
        <v>-1.0276832716260309</v>
      </c>
      <c r="AG107" s="5">
        <f t="shared" si="33"/>
        <v>30830.979900227314</v>
      </c>
      <c r="AH107" s="20">
        <f>Model_30y[[#This Row],[Mortgage Payment]]+Model_30y[[#This Row],[Total Upkeep]]+Model_30y[[#This Row],[Monthly Investment]]</f>
        <v>-3666.4227413667504</v>
      </c>
      <c r="AI107" s="5">
        <f>Model_Renter!D107*-1</f>
        <v>3696.9975477001935</v>
      </c>
      <c r="AJ107" s="5">
        <f t="shared" si="26"/>
        <v>30.574806333443121</v>
      </c>
    </row>
    <row r="108" spans="1:36" x14ac:dyDescent="0.25">
      <c r="A108" s="17">
        <f t="shared" si="27"/>
        <v>106</v>
      </c>
      <c r="B108" s="17">
        <f t="shared" si="22"/>
        <v>9</v>
      </c>
      <c r="C108" s="23">
        <f>IFERROR(PPMT(Assumptions!$E$17, A108, 180, Assumptions!$D$8), 0)</f>
        <v>-1973.1716369327737</v>
      </c>
      <c r="D108" s="38">
        <f>IFERROR(IPMT(Assumptions!$E$17,A108,180,Assumptions!$D$8), 0)</f>
        <v>-868.46137486592283</v>
      </c>
      <c r="E108" s="2">
        <f t="shared" si="28"/>
        <v>-2841.6330117986963</v>
      </c>
      <c r="F108" s="2">
        <f>IF(I107&gt;1, Assumptions!$E$19, 0)*-1</f>
        <v>-2841.6330117986968</v>
      </c>
      <c r="G108" s="24">
        <f t="shared" si="23"/>
        <v>1</v>
      </c>
      <c r="H108" s="20">
        <f t="shared" si="29"/>
        <v>163827.24858751276</v>
      </c>
      <c r="I108" s="2">
        <f>MAX(Assumptions!$D$8-SUM(Model_15y!H108), 0)</f>
        <v>176172.75141248724</v>
      </c>
      <c r="J108" s="2">
        <f>J107*(1+(Assumptions!$E$51))</f>
        <v>653974.88751252356</v>
      </c>
      <c r="K108" s="22">
        <f t="shared" si="18"/>
        <v>477802.13610003632</v>
      </c>
      <c r="L108" s="5">
        <f t="shared" si="30"/>
        <v>248827.24858751276</v>
      </c>
      <c r="M108" s="63">
        <f>L108/Assumptions!$D$6</f>
        <v>0.58547587902944176</v>
      </c>
      <c r="N108" s="24">
        <f t="shared" si="34"/>
        <v>0</v>
      </c>
      <c r="O108" s="22">
        <f>N108*Assumptions!$E$25*-1</f>
        <v>0</v>
      </c>
      <c r="P108" s="5">
        <f>Assumptions!$E$35*J108*-1</f>
        <v>-1347.0811928646226</v>
      </c>
      <c r="Q108" s="5">
        <f>J108*Assumptions!$E$36*-1</f>
        <v>-542.49709501688233</v>
      </c>
      <c r="R108" s="5">
        <f>R96+R96*Assumptions!$D$51</f>
        <v>-480.04989794446294</v>
      </c>
      <c r="S108" s="5">
        <f>S96+(S96*Assumptions!$D$51)</f>
        <v>0</v>
      </c>
      <c r="T108" s="5">
        <f t="shared" si="24"/>
        <v>0</v>
      </c>
      <c r="U108" s="22">
        <f t="shared" si="19"/>
        <v>-2369.6281858259676</v>
      </c>
      <c r="V108" s="5">
        <f>MAX(Assumptions!$E$18:$E$19)-U108</f>
        <v>5211.2611976246644</v>
      </c>
      <c r="W108" s="5">
        <f t="shared" si="20"/>
        <v>-2841.6330117986968</v>
      </c>
      <c r="X108" s="5">
        <f t="shared" si="25"/>
        <v>-2369.6281858259676</v>
      </c>
      <c r="Y108" s="5">
        <f>D108*Assumptions!$D$44*-1</f>
        <v>130.26920622988843</v>
      </c>
      <c r="Z108" s="5">
        <f t="shared" si="21"/>
        <v>130.26920622988843</v>
      </c>
      <c r="AA108" s="5">
        <f t="shared" si="31"/>
        <v>30830.979900227314</v>
      </c>
      <c r="AB108" s="3">
        <f>Assumptions!$E$45</f>
        <v>6.9899151946608562E-3</v>
      </c>
      <c r="AC108" s="5">
        <f t="shared" si="32"/>
        <v>31176.755041328084</v>
      </c>
      <c r="AD108" s="4">
        <f>AC108*Assumptions!$E$43</f>
        <v>27.921137967567311</v>
      </c>
      <c r="AE108" s="2">
        <f>AD108*Assumptions!$D$44*-1</f>
        <v>-4.1881706951350965</v>
      </c>
      <c r="AF108" s="2">
        <f>AC108*Assumptions!$E$46*-1</f>
        <v>-1.0390346921080307</v>
      </c>
      <c r="AG108" s="5">
        <f t="shared" si="33"/>
        <v>31171.52783594084</v>
      </c>
      <c r="AH108" s="20">
        <f>Model_30y[[#This Row],[Mortgage Payment]]+Model_30y[[#This Row],[Total Upkeep]]+Model_30y[[#This Row],[Monthly Investment]]</f>
        <v>-3674.5319896153919</v>
      </c>
      <c r="AI108" s="5">
        <f>Model_Renter!D108*-1</f>
        <v>3696.9975477001935</v>
      </c>
      <c r="AJ108" s="5">
        <f t="shared" si="26"/>
        <v>22.465558084801614</v>
      </c>
    </row>
    <row r="109" spans="1:36" x14ac:dyDescent="0.25">
      <c r="A109" s="17">
        <f t="shared" si="27"/>
        <v>107</v>
      </c>
      <c r="B109" s="17">
        <f t="shared" si="22"/>
        <v>9</v>
      </c>
      <c r="C109" s="23">
        <f>IFERROR(PPMT(Assumptions!$E$17, A109, 180, Assumptions!$D$8), 0)</f>
        <v>-1982.790848662821</v>
      </c>
      <c r="D109" s="38">
        <f>IFERROR(IPMT(Assumptions!$E$17,A109,180,Assumptions!$D$8), 0)</f>
        <v>-858.84216313587558</v>
      </c>
      <c r="E109" s="2">
        <f t="shared" si="28"/>
        <v>-2841.6330117986963</v>
      </c>
      <c r="F109" s="2">
        <f>IF(I108&gt;1, Assumptions!$E$19, 0)*-1</f>
        <v>-2841.6330117986968</v>
      </c>
      <c r="G109" s="24">
        <f t="shared" si="23"/>
        <v>1</v>
      </c>
      <c r="H109" s="20">
        <f t="shared" si="29"/>
        <v>165810.03943617558</v>
      </c>
      <c r="I109" s="2">
        <f>MAX(Assumptions!$D$8-SUM(Model_15y!H109), 0)</f>
        <v>174189.96056382442</v>
      </c>
      <c r="J109" s="2">
        <f>J108*(1+(Assumptions!$E$51))</f>
        <v>656639.26215564704</v>
      </c>
      <c r="K109" s="22">
        <f t="shared" si="18"/>
        <v>482449.30159182264</v>
      </c>
      <c r="L109" s="5">
        <f t="shared" si="30"/>
        <v>250810.03943617558</v>
      </c>
      <c r="M109" s="63">
        <f>L109/Assumptions!$D$6</f>
        <v>0.59014126926158961</v>
      </c>
      <c r="N109" s="24">
        <f t="shared" si="34"/>
        <v>0</v>
      </c>
      <c r="O109" s="22">
        <f>N109*Assumptions!$E$25*-1</f>
        <v>0</v>
      </c>
      <c r="P109" s="5">
        <f>Assumptions!$E$35*J109*-1</f>
        <v>-1352.5693683909776</v>
      </c>
      <c r="Q109" s="5">
        <f>J109*Assumptions!$E$36*-1</f>
        <v>-544.70729533425072</v>
      </c>
      <c r="R109" s="5">
        <f>R97+R97*Assumptions!$D$51</f>
        <v>-480.04989794446294</v>
      </c>
      <c r="S109" s="5">
        <f>S97+(S97*Assumptions!$D$51)</f>
        <v>0</v>
      </c>
      <c r="T109" s="5">
        <f t="shared" si="24"/>
        <v>0</v>
      </c>
      <c r="U109" s="22">
        <f t="shared" si="19"/>
        <v>-2377.3265616696913</v>
      </c>
      <c r="V109" s="5">
        <f>MAX(Assumptions!$E$18:$E$19)-U109</f>
        <v>5218.959573468388</v>
      </c>
      <c r="W109" s="5">
        <f t="shared" si="20"/>
        <v>-2841.6330117986968</v>
      </c>
      <c r="X109" s="5">
        <f t="shared" si="25"/>
        <v>-2377.3265616696913</v>
      </c>
      <c r="Y109" s="5">
        <f>D109*Assumptions!$D$44*-1</f>
        <v>128.82632447038134</v>
      </c>
      <c r="Z109" s="5">
        <f t="shared" si="21"/>
        <v>128.82632447038134</v>
      </c>
      <c r="AA109" s="5">
        <f t="shared" si="31"/>
        <v>31171.52783594084</v>
      </c>
      <c r="AB109" s="3">
        <f>Assumptions!$E$45</f>
        <v>6.9899151946608562E-3</v>
      </c>
      <c r="AC109" s="5">
        <f t="shared" si="32"/>
        <v>31518.240496472459</v>
      </c>
      <c r="AD109" s="4">
        <f>AC109*Assumptions!$E$43</f>
        <v>28.226963974615334</v>
      </c>
      <c r="AE109" s="2">
        <f>AD109*Assumptions!$D$44*-1</f>
        <v>-4.2340445961922999</v>
      </c>
      <c r="AF109" s="2">
        <f>AC109*Assumptions!$E$46*-1</f>
        <v>-1.0504154542904631</v>
      </c>
      <c r="AG109" s="5">
        <f t="shared" si="33"/>
        <v>31512.956036421976</v>
      </c>
      <c r="AH109" s="20">
        <f>Model_30y[[#This Row],[Mortgage Payment]]+Model_30y[[#This Row],[Total Upkeep]]+Model_30y[[#This Row],[Monthly Investment]]</f>
        <v>-3682.6749505492235</v>
      </c>
      <c r="AI109" s="5">
        <f>Model_Renter!D109*-1</f>
        <v>3696.9975477001935</v>
      </c>
      <c r="AJ109" s="5">
        <f t="shared" si="26"/>
        <v>14.322597150970068</v>
      </c>
    </row>
    <row r="110" spans="1:36" x14ac:dyDescent="0.25">
      <c r="A110" s="17">
        <f t="shared" si="27"/>
        <v>108</v>
      </c>
      <c r="B110" s="17">
        <f t="shared" si="22"/>
        <v>9</v>
      </c>
      <c r="C110" s="23">
        <f>IFERROR(PPMT(Assumptions!$E$17, A110, 180, Assumptions!$D$8), 0)</f>
        <v>-1992.4569540500527</v>
      </c>
      <c r="D110" s="38">
        <f>IFERROR(IPMT(Assumptions!$E$17,A110,180,Assumptions!$D$8), 0)</f>
        <v>-849.17605774864433</v>
      </c>
      <c r="E110" s="2">
        <f t="shared" si="28"/>
        <v>-2841.6330117986972</v>
      </c>
      <c r="F110" s="2">
        <f>IF(I109&gt;1, Assumptions!$E$19, 0)*-1</f>
        <v>-2841.6330117986968</v>
      </c>
      <c r="G110" s="24">
        <f t="shared" si="23"/>
        <v>1</v>
      </c>
      <c r="H110" s="20">
        <f t="shared" si="29"/>
        <v>167802.49639022563</v>
      </c>
      <c r="I110" s="2">
        <f>MAX(Assumptions!$D$8-SUM(Model_15y!H110), 0)</f>
        <v>172197.50360977437</v>
      </c>
      <c r="J110" s="2">
        <f>J109*(1+(Assumptions!$E$51))</f>
        <v>659314.49179087265</v>
      </c>
      <c r="K110" s="22">
        <f t="shared" si="18"/>
        <v>487116.98818109825</v>
      </c>
      <c r="L110" s="5">
        <f t="shared" si="30"/>
        <v>252802.49639022563</v>
      </c>
      <c r="M110" s="63">
        <f>L110/Assumptions!$D$6</f>
        <v>0.59482940327111911</v>
      </c>
      <c r="N110" s="24">
        <f t="shared" si="34"/>
        <v>0</v>
      </c>
      <c r="O110" s="22">
        <f>N110*Assumptions!$E$25*-1</f>
        <v>0</v>
      </c>
      <c r="P110" s="5">
        <f>Assumptions!$E$35*J110*-1</f>
        <v>-1358.0799034237734</v>
      </c>
      <c r="Q110" s="5">
        <f>J110*Assumptions!$E$36*-1</f>
        <v>-546.92650028129879</v>
      </c>
      <c r="R110" s="5">
        <f>R98+R98*Assumptions!$D$51</f>
        <v>-480.04989794446294</v>
      </c>
      <c r="S110" s="5">
        <f>S98+(S98*Assumptions!$D$51)</f>
        <v>0</v>
      </c>
      <c r="T110" s="5">
        <f t="shared" si="24"/>
        <v>0</v>
      </c>
      <c r="U110" s="22">
        <f t="shared" si="19"/>
        <v>-2385.0563016495353</v>
      </c>
      <c r="V110" s="5">
        <f>MAX(Assumptions!$E$18:$E$19)-U110</f>
        <v>5226.6893134482325</v>
      </c>
      <c r="W110" s="5">
        <f t="shared" si="20"/>
        <v>-2841.6330117986968</v>
      </c>
      <c r="X110" s="5">
        <f t="shared" si="25"/>
        <v>-2385.0563016495353</v>
      </c>
      <c r="Y110" s="5">
        <f>D110*Assumptions!$D$44*-1</f>
        <v>127.37640866229664</v>
      </c>
      <c r="Z110" s="5">
        <f t="shared" si="21"/>
        <v>127.3764086622971</v>
      </c>
      <c r="AA110" s="5">
        <f t="shared" si="31"/>
        <v>31512.956036421976</v>
      </c>
      <c r="AB110" s="3">
        <f>Assumptions!$E$45</f>
        <v>6.9899151946608562E-3</v>
      </c>
      <c r="AC110" s="5">
        <f t="shared" si="32"/>
        <v>31860.605335311939</v>
      </c>
      <c r="AD110" s="4">
        <f>AC110*Assumptions!$E$43</f>
        <v>28.53357753615531</v>
      </c>
      <c r="AE110" s="2">
        <f>AD110*Assumptions!$D$44*-1</f>
        <v>-4.2800366304232966</v>
      </c>
      <c r="AF110" s="2">
        <f>AC110*Assumptions!$E$46*-1</f>
        <v>-1.061825523890094</v>
      </c>
      <c r="AG110" s="5">
        <f t="shared" si="33"/>
        <v>31855.263473157625</v>
      </c>
      <c r="AH110" s="20">
        <f>Model_30y[[#This Row],[Mortgage Payment]]+Model_30y[[#This Row],[Total Upkeep]]+Model_30y[[#This Row],[Monthly Investment]]</f>
        <v>-3690.8517652956807</v>
      </c>
      <c r="AI110" s="5">
        <f>Model_Renter!D110*-1</f>
        <v>3696.9975477001935</v>
      </c>
      <c r="AJ110" s="5">
        <f t="shared" si="26"/>
        <v>6.1457824045128291</v>
      </c>
    </row>
    <row r="111" spans="1:36" x14ac:dyDescent="0.25">
      <c r="A111" s="17">
        <f t="shared" si="27"/>
        <v>109</v>
      </c>
      <c r="B111" s="17">
        <f t="shared" si="22"/>
        <v>10</v>
      </c>
      <c r="C111" s="23">
        <f>IFERROR(PPMT(Assumptions!$E$17, A111, 180, Assumptions!$D$8), 0)</f>
        <v>-2002.1701817010464</v>
      </c>
      <c r="D111" s="38">
        <f>IFERROR(IPMT(Assumptions!$E$17,A111,180,Assumptions!$D$8), 0)</f>
        <v>-839.46283009765023</v>
      </c>
      <c r="E111" s="2">
        <f t="shared" si="28"/>
        <v>-2841.6330117986968</v>
      </c>
      <c r="F111" s="2">
        <f>IF(I110&gt;1, Assumptions!$E$19, 0)*-1</f>
        <v>-2841.6330117986968</v>
      </c>
      <c r="G111" s="24">
        <f t="shared" si="23"/>
        <v>1</v>
      </c>
      <c r="H111" s="20">
        <f t="shared" si="29"/>
        <v>169804.66657192667</v>
      </c>
      <c r="I111" s="2">
        <f>MAX(Assumptions!$D$8-SUM(Model_15y!H111), 0)</f>
        <v>170195.33342807333</v>
      </c>
      <c r="J111" s="2">
        <f>J110*(1+(Assumptions!$E$51))</f>
        <v>662000.62064278184</v>
      </c>
      <c r="K111" s="22">
        <f t="shared" si="18"/>
        <v>491805.28721470851</v>
      </c>
      <c r="L111" s="5">
        <f t="shared" si="30"/>
        <v>254804.66657192667</v>
      </c>
      <c r="M111" s="63">
        <f>L111/Assumptions!$D$6</f>
        <v>0.59954039193394515</v>
      </c>
      <c r="N111" s="24">
        <f t="shared" si="34"/>
        <v>0</v>
      </c>
      <c r="O111" s="22">
        <f>N111*Assumptions!$E$25*-1</f>
        <v>0</v>
      </c>
      <c r="P111" s="5">
        <f>Assumptions!$E$35*J111*-1</f>
        <v>-1363.6128890584071</v>
      </c>
      <c r="Q111" s="5">
        <f>J111*Assumptions!$E$36*-1</f>
        <v>-549.15474654400236</v>
      </c>
      <c r="R111" s="5">
        <f>R99+R99*Assumptions!$D$51</f>
        <v>-504.05239284168607</v>
      </c>
      <c r="S111" s="5">
        <f>S99+(S99*Assumptions!$D$51)</f>
        <v>0</v>
      </c>
      <c r="T111" s="5">
        <f t="shared" si="24"/>
        <v>0</v>
      </c>
      <c r="U111" s="22">
        <f t="shared" si="19"/>
        <v>-2416.8200284440954</v>
      </c>
      <c r="V111" s="5">
        <f>MAX(Assumptions!$E$18:$E$19)-U111</f>
        <v>5258.4530402427918</v>
      </c>
      <c r="W111" s="5">
        <f t="shared" si="20"/>
        <v>-2841.6330117986968</v>
      </c>
      <c r="X111" s="5">
        <f t="shared" si="25"/>
        <v>-2416.8200284440954</v>
      </c>
      <c r="Y111" s="5">
        <f>D111*Assumptions!$D$44*-1</f>
        <v>125.91942451464753</v>
      </c>
      <c r="Z111" s="5">
        <f t="shared" si="21"/>
        <v>125.91942451464708</v>
      </c>
      <c r="AA111" s="5">
        <f t="shared" si="31"/>
        <v>31855.263473157625</v>
      </c>
      <c r="AB111" s="3">
        <f>Assumptions!$E$45</f>
        <v>6.9899151946608562E-3</v>
      </c>
      <c r="AC111" s="5">
        <f t="shared" si="32"/>
        <v>32203.848487853222</v>
      </c>
      <c r="AD111" s="4">
        <f>AC111*Assumptions!$E$43</f>
        <v>28.84097769392746</v>
      </c>
      <c r="AE111" s="2">
        <f>AD111*Assumptions!$D$44*-1</f>
        <v>-4.3261466540891185</v>
      </c>
      <c r="AF111" s="2">
        <f>AC111*Assumptions!$E$46*-1</f>
        <v>-1.0732648652470169</v>
      </c>
      <c r="AG111" s="5">
        <f t="shared" si="33"/>
        <v>32198.449076333887</v>
      </c>
      <c r="AH111" s="20">
        <f>Model_30y[[#This Row],[Mortgage Payment]]+Model_30y[[#This Row],[Total Upkeep]]+Model_30y[[#This Row],[Monthly Investment]]</f>
        <v>-3723.0650704755467</v>
      </c>
      <c r="AI111" s="5">
        <f>Model_Renter!D111*-1</f>
        <v>3835.2652559841813</v>
      </c>
      <c r="AJ111" s="5">
        <f t="shared" si="26"/>
        <v>112.2001855086346</v>
      </c>
    </row>
    <row r="112" spans="1:36" x14ac:dyDescent="0.25">
      <c r="A112" s="17">
        <f t="shared" si="27"/>
        <v>110</v>
      </c>
      <c r="B112" s="17">
        <f t="shared" si="22"/>
        <v>10</v>
      </c>
      <c r="C112" s="23">
        <f>IFERROR(PPMT(Assumptions!$E$17, A112, 180, Assumptions!$D$8), 0)</f>
        <v>-2011.9307613368392</v>
      </c>
      <c r="D112" s="38">
        <f>IFERROR(IPMT(Assumptions!$E$17,A112,180,Assumptions!$D$8), 0)</f>
        <v>-829.70225046185772</v>
      </c>
      <c r="E112" s="2">
        <f t="shared" si="28"/>
        <v>-2841.6330117986968</v>
      </c>
      <c r="F112" s="2">
        <f>IF(I111&gt;1, Assumptions!$E$19, 0)*-1</f>
        <v>-2841.6330117986968</v>
      </c>
      <c r="G112" s="24">
        <f t="shared" si="23"/>
        <v>1</v>
      </c>
      <c r="H112" s="20">
        <f t="shared" si="29"/>
        <v>171816.59733326352</v>
      </c>
      <c r="I112" s="2">
        <f>MAX(Assumptions!$D$8-SUM(Model_15y!H112), 0)</f>
        <v>168183.40266673648</v>
      </c>
      <c r="J112" s="2">
        <f>J111*(1+(Assumptions!$E$51))</f>
        <v>664697.69311613252</v>
      </c>
      <c r="K112" s="22">
        <f t="shared" si="18"/>
        <v>496514.29044939601</v>
      </c>
      <c r="L112" s="5">
        <f t="shared" si="30"/>
        <v>256816.59733326352</v>
      </c>
      <c r="M112" s="63">
        <f>L112/Assumptions!$D$6</f>
        <v>0.60427434666650237</v>
      </c>
      <c r="N112" s="24">
        <f t="shared" si="34"/>
        <v>0</v>
      </c>
      <c r="O112" s="22">
        <f>N112*Assumptions!$E$25*-1</f>
        <v>0</v>
      </c>
      <c r="P112" s="5">
        <f>Assumptions!$E$35*J112*-1</f>
        <v>-1369.1684167614092</v>
      </c>
      <c r="Q112" s="5">
        <f>J112*Assumptions!$E$36*-1</f>
        <v>-551.39207095780057</v>
      </c>
      <c r="R112" s="5">
        <f>R100+R100*Assumptions!$D$51</f>
        <v>-504.05239284168607</v>
      </c>
      <c r="S112" s="5">
        <f>S100+(S100*Assumptions!$D$51)</f>
        <v>0</v>
      </c>
      <c r="T112" s="5">
        <f t="shared" si="24"/>
        <v>0</v>
      </c>
      <c r="U112" s="22">
        <f t="shared" si="19"/>
        <v>-2424.612880560896</v>
      </c>
      <c r="V112" s="5">
        <f>MAX(Assumptions!$E$18:$E$19)-U112</f>
        <v>5266.2458923595932</v>
      </c>
      <c r="W112" s="5">
        <f t="shared" si="20"/>
        <v>-2841.6330117986968</v>
      </c>
      <c r="X112" s="5">
        <f t="shared" si="25"/>
        <v>-2424.612880560896</v>
      </c>
      <c r="Y112" s="5">
        <f>D112*Assumptions!$D$44*-1</f>
        <v>124.45533756927865</v>
      </c>
      <c r="Z112" s="5">
        <f t="shared" si="21"/>
        <v>124.45533756927911</v>
      </c>
      <c r="AA112" s="5">
        <f t="shared" si="31"/>
        <v>32198.449076333887</v>
      </c>
      <c r="AB112" s="3">
        <f>Assumptions!$E$45</f>
        <v>6.9899151946608562E-3</v>
      </c>
      <c r="AC112" s="5">
        <f t="shared" si="32"/>
        <v>32547.968842346345</v>
      </c>
      <c r="AD112" s="4">
        <f>AC112*Assumptions!$E$43</f>
        <v>29.149163452275754</v>
      </c>
      <c r="AE112" s="2">
        <f>AD112*Assumptions!$D$44*-1</f>
        <v>-4.3723745178413633</v>
      </c>
      <c r="AF112" s="2">
        <f>AC112*Assumptions!$E$46*-1</f>
        <v>-1.0847334413096923</v>
      </c>
      <c r="AG112" s="5">
        <f t="shared" si="33"/>
        <v>32542.511734387193</v>
      </c>
      <c r="AH112" s="20">
        <f>Model_30y[[#This Row],[Mortgage Payment]]+Model_30y[[#This Row],[Total Upkeep]]+Model_30y[[#This Row],[Monthly Investment]]</f>
        <v>-3731.3100186166107</v>
      </c>
      <c r="AI112" s="5">
        <f>Model_Renter!D112*-1</f>
        <v>3835.2652559841813</v>
      </c>
      <c r="AJ112" s="5">
        <f t="shared" si="26"/>
        <v>103.95523736757059</v>
      </c>
    </row>
    <row r="113" spans="1:36" x14ac:dyDescent="0.25">
      <c r="A113" s="17">
        <f t="shared" si="27"/>
        <v>111</v>
      </c>
      <c r="B113" s="17">
        <f t="shared" si="22"/>
        <v>10</v>
      </c>
      <c r="C113" s="23">
        <f>IFERROR(PPMT(Assumptions!$E$17, A113, 180, Assumptions!$D$8), 0)</f>
        <v>-2021.7389237983564</v>
      </c>
      <c r="D113" s="38">
        <f>IFERROR(IPMT(Assumptions!$E$17,A113,180,Assumptions!$D$8), 0)</f>
        <v>-819.89408800034062</v>
      </c>
      <c r="E113" s="2">
        <f t="shared" si="28"/>
        <v>-2841.6330117986972</v>
      </c>
      <c r="F113" s="2">
        <f>IF(I112&gt;1, Assumptions!$E$19, 0)*-1</f>
        <v>-2841.6330117986968</v>
      </c>
      <c r="G113" s="24">
        <f t="shared" si="23"/>
        <v>1</v>
      </c>
      <c r="H113" s="20">
        <f t="shared" si="29"/>
        <v>173838.33625706186</v>
      </c>
      <c r="I113" s="2">
        <f>MAX(Assumptions!$D$8-SUM(Model_15y!H113), 0)</f>
        <v>166161.66374293814</v>
      </c>
      <c r="J113" s="2">
        <f>J112*(1+(Assumptions!$E$51))</f>
        <v>667405.75379659317</v>
      </c>
      <c r="K113" s="22">
        <f t="shared" si="18"/>
        <v>501244.09005365503</v>
      </c>
      <c r="L113" s="5">
        <f t="shared" si="30"/>
        <v>258838.33625706186</v>
      </c>
      <c r="M113" s="63">
        <f>L113/Assumptions!$D$6</f>
        <v>0.60903137942838081</v>
      </c>
      <c r="N113" s="24">
        <f t="shared" si="34"/>
        <v>0</v>
      </c>
      <c r="O113" s="22">
        <f>N113*Assumptions!$E$25*-1</f>
        <v>0</v>
      </c>
      <c r="P113" s="5">
        <f>Assumptions!$E$35*J113*-1</f>
        <v>-1374.7465783719572</v>
      </c>
      <c r="Q113" s="5">
        <f>J113*Assumptions!$E$36*-1</f>
        <v>-553.63851050820483</v>
      </c>
      <c r="R113" s="5">
        <f>R101+R101*Assumptions!$D$51</f>
        <v>-504.05239284168607</v>
      </c>
      <c r="S113" s="5">
        <f>S101+(S101*Assumptions!$D$51)</f>
        <v>0</v>
      </c>
      <c r="T113" s="5">
        <f t="shared" si="24"/>
        <v>0</v>
      </c>
      <c r="U113" s="22">
        <f t="shared" si="19"/>
        <v>-2432.4374817218481</v>
      </c>
      <c r="V113" s="5">
        <f>MAX(Assumptions!$E$18:$E$19)-U113</f>
        <v>5274.0704935205449</v>
      </c>
      <c r="W113" s="5">
        <f t="shared" si="20"/>
        <v>-2841.6330117986968</v>
      </c>
      <c r="X113" s="5">
        <f t="shared" si="25"/>
        <v>-2432.4374817218481</v>
      </c>
      <c r="Y113" s="5">
        <f>D113*Assumptions!$D$44*-1</f>
        <v>122.98411320005108</v>
      </c>
      <c r="Z113" s="5">
        <f t="shared" si="21"/>
        <v>122.98411320005108</v>
      </c>
      <c r="AA113" s="5">
        <f t="shared" si="31"/>
        <v>32542.511734387193</v>
      </c>
      <c r="AB113" s="3">
        <f>Assumptions!$E$45</f>
        <v>6.9899151946608562E-3</v>
      </c>
      <c r="AC113" s="5">
        <f t="shared" si="32"/>
        <v>32892.965244831867</v>
      </c>
      <c r="AD113" s="4">
        <f>AC113*Assumptions!$E$43</f>
        <v>29.458133777742386</v>
      </c>
      <c r="AE113" s="2">
        <f>AD113*Assumptions!$D$44*-1</f>
        <v>-4.4187200666613577</v>
      </c>
      <c r="AF113" s="2">
        <f>AC113*Assumptions!$E$46*-1</f>
        <v>-1.0962312136198555</v>
      </c>
      <c r="AG113" s="5">
        <f t="shared" si="33"/>
        <v>32887.450293551585</v>
      </c>
      <c r="AH113" s="20">
        <f>Model_30y[[#This Row],[Mortgage Payment]]+Model_30y[[#This Row],[Total Upkeep]]+Model_30y[[#This Row],[Monthly Investment]]</f>
        <v>-3739.5892475395622</v>
      </c>
      <c r="AI113" s="5">
        <f>Model_Renter!D113*-1</f>
        <v>3835.2652559841813</v>
      </c>
      <c r="AJ113" s="5">
        <f t="shared" si="26"/>
        <v>95.676008444619129</v>
      </c>
    </row>
    <row r="114" spans="1:36" x14ac:dyDescent="0.25">
      <c r="A114" s="17">
        <f t="shared" si="27"/>
        <v>112</v>
      </c>
      <c r="B114" s="17">
        <f t="shared" si="22"/>
        <v>10</v>
      </c>
      <c r="C114" s="23">
        <f>IFERROR(PPMT(Assumptions!$E$17, A114, 180, Assumptions!$D$8), 0)</f>
        <v>-2031.5949010518732</v>
      </c>
      <c r="D114" s="38">
        <f>IFERROR(IPMT(Assumptions!$E$17,A114,180,Assumptions!$D$8), 0)</f>
        <v>-810.03811074682369</v>
      </c>
      <c r="E114" s="2">
        <f t="shared" si="28"/>
        <v>-2841.6330117986968</v>
      </c>
      <c r="F114" s="2">
        <f>IF(I113&gt;1, Assumptions!$E$19, 0)*-1</f>
        <v>-2841.6330117986968</v>
      </c>
      <c r="G114" s="24">
        <f t="shared" si="23"/>
        <v>1</v>
      </c>
      <c r="H114" s="20">
        <f t="shared" si="29"/>
        <v>175869.93115811373</v>
      </c>
      <c r="I114" s="2">
        <f>MAX(Assumptions!$D$8-SUM(Model_15y!H114), 0)</f>
        <v>164130.06884188627</v>
      </c>
      <c r="J114" s="2">
        <f>J113*(1+(Assumptions!$E$51))</f>
        <v>670124.84745147964</v>
      </c>
      <c r="K114" s="22">
        <f t="shared" si="18"/>
        <v>505994.7786095934</v>
      </c>
      <c r="L114" s="5">
        <f t="shared" si="30"/>
        <v>260869.93115811373</v>
      </c>
      <c r="M114" s="63">
        <f>L114/Assumptions!$D$6</f>
        <v>0.61381160272497348</v>
      </c>
      <c r="N114" s="24">
        <f t="shared" si="34"/>
        <v>0</v>
      </c>
      <c r="O114" s="22">
        <f>N114*Assumptions!$E$25*-1</f>
        <v>0</v>
      </c>
      <c r="P114" s="5">
        <f>Assumptions!$E$35*J114*-1</f>
        <v>-1380.3474661033915</v>
      </c>
      <c r="Q114" s="5">
        <f>J114*Assumptions!$E$36*-1</f>
        <v>-555.89410233141007</v>
      </c>
      <c r="R114" s="5">
        <f>R102+R102*Assumptions!$D$51</f>
        <v>-504.05239284168607</v>
      </c>
      <c r="S114" s="5">
        <f>S102+(S102*Assumptions!$D$51)</f>
        <v>0</v>
      </c>
      <c r="T114" s="5">
        <f t="shared" si="24"/>
        <v>0</v>
      </c>
      <c r="U114" s="22">
        <f t="shared" si="19"/>
        <v>-2440.2939612764876</v>
      </c>
      <c r="V114" s="5">
        <f>MAX(Assumptions!$E$18:$E$19)-U114</f>
        <v>5281.9269730751839</v>
      </c>
      <c r="W114" s="5">
        <f t="shared" si="20"/>
        <v>-2841.6330117986968</v>
      </c>
      <c r="X114" s="5">
        <f t="shared" si="25"/>
        <v>-2440.2939612764876</v>
      </c>
      <c r="Y114" s="5">
        <f>D114*Assumptions!$D$44*-1</f>
        <v>121.50571661202355</v>
      </c>
      <c r="Z114" s="5">
        <f t="shared" si="21"/>
        <v>121.50571661202309</v>
      </c>
      <c r="AA114" s="5">
        <f t="shared" si="31"/>
        <v>32887.450293551585</v>
      </c>
      <c r="AB114" s="3">
        <f>Assumptions!$E$45</f>
        <v>6.9899151946608562E-3</v>
      </c>
      <c r="AC114" s="5">
        <f t="shared" si="32"/>
        <v>33238.836498684155</v>
      </c>
      <c r="AD114" s="4">
        <f>AC114*Assumptions!$E$43</f>
        <v>29.767887598658763</v>
      </c>
      <c r="AE114" s="2">
        <f>AD114*Assumptions!$D$44*-1</f>
        <v>-4.465183139798814</v>
      </c>
      <c r="AF114" s="2">
        <f>AC114*Assumptions!$E$46*-1</f>
        <v>-1.1077581422972962</v>
      </c>
      <c r="AG114" s="5">
        <f t="shared" si="33"/>
        <v>33233.263557402061</v>
      </c>
      <c r="AH114" s="20">
        <f>Model_30y[[#This Row],[Mortgage Payment]]+Model_30y[[#This Row],[Total Upkeep]]+Model_30y[[#This Row],[Monthly Investment]]</f>
        <v>-3747.9029007716686</v>
      </c>
      <c r="AI114" s="5">
        <f>Model_Renter!D114*-1</f>
        <v>3835.2652559841813</v>
      </c>
      <c r="AJ114" s="5">
        <f t="shared" si="26"/>
        <v>87.362355212512739</v>
      </c>
    </row>
    <row r="115" spans="1:36" x14ac:dyDescent="0.25">
      <c r="A115" s="17">
        <f t="shared" si="27"/>
        <v>113</v>
      </c>
      <c r="B115" s="17">
        <f t="shared" si="22"/>
        <v>10</v>
      </c>
      <c r="C115" s="23">
        <f>IFERROR(PPMT(Assumptions!$E$17, A115, 180, Assumptions!$D$8), 0)</f>
        <v>-2041.4989261945011</v>
      </c>
      <c r="D115" s="38">
        <f>IFERROR(IPMT(Assumptions!$E$17,A115,180,Assumptions!$D$8), 0)</f>
        <v>-800.13408560419566</v>
      </c>
      <c r="E115" s="2">
        <f t="shared" si="28"/>
        <v>-2841.6330117986968</v>
      </c>
      <c r="F115" s="2">
        <f>IF(I114&gt;1, Assumptions!$E$19, 0)*-1</f>
        <v>-2841.6330117986968</v>
      </c>
      <c r="G115" s="24">
        <f t="shared" si="23"/>
        <v>1</v>
      </c>
      <c r="H115" s="20">
        <f t="shared" si="29"/>
        <v>177911.43008430823</v>
      </c>
      <c r="I115" s="2">
        <f>MAX(Assumptions!$D$8-SUM(Model_15y!H115), 0)</f>
        <v>162088.56991569177</v>
      </c>
      <c r="J115" s="2">
        <f>J114*(1+(Assumptions!$E$51))</f>
        <v>672855.01903049543</v>
      </c>
      <c r="K115" s="22">
        <f t="shared" si="18"/>
        <v>510766.44911480369</v>
      </c>
      <c r="L115" s="5">
        <f t="shared" si="30"/>
        <v>262911.43008430826</v>
      </c>
      <c r="M115" s="63">
        <f>L115/Assumptions!$D$6</f>
        <v>0.61861512961013709</v>
      </c>
      <c r="N115" s="24">
        <f t="shared" si="34"/>
        <v>0</v>
      </c>
      <c r="O115" s="22">
        <f>N115*Assumptions!$E$25*-1</f>
        <v>0</v>
      </c>
      <c r="P115" s="5">
        <f>Assumptions!$E$35*J115*-1</f>
        <v>-1385.9711725447421</v>
      </c>
      <c r="Q115" s="5">
        <f>J115*Assumptions!$E$36*-1</f>
        <v>-558.15888371490826</v>
      </c>
      <c r="R115" s="5">
        <f>R103+R103*Assumptions!$D$51</f>
        <v>-504.05239284168607</v>
      </c>
      <c r="S115" s="5">
        <f>S103+(S103*Assumptions!$D$51)</f>
        <v>0</v>
      </c>
      <c r="T115" s="5">
        <f t="shared" si="24"/>
        <v>0</v>
      </c>
      <c r="U115" s="22">
        <f t="shared" si="19"/>
        <v>-2448.1824491013363</v>
      </c>
      <c r="V115" s="5">
        <f>MAX(Assumptions!$E$18:$E$19)-U115</f>
        <v>5289.815460900033</v>
      </c>
      <c r="W115" s="5">
        <f t="shared" si="20"/>
        <v>-2841.6330117986968</v>
      </c>
      <c r="X115" s="5">
        <f t="shared" si="25"/>
        <v>-2448.1824491013363</v>
      </c>
      <c r="Y115" s="5">
        <f>D115*Assumptions!$D$44*-1</f>
        <v>120.02011284062934</v>
      </c>
      <c r="Z115" s="5">
        <f t="shared" si="21"/>
        <v>120.02011284062934</v>
      </c>
      <c r="AA115" s="5">
        <f t="shared" si="31"/>
        <v>33233.263557402061</v>
      </c>
      <c r="AB115" s="3">
        <f>Assumptions!$E$45</f>
        <v>6.9899151946608562E-3</v>
      </c>
      <c r="AC115" s="5">
        <f t="shared" si="32"/>
        <v>33585.581364150741</v>
      </c>
      <c r="AD115" s="4">
        <f>AC115*Assumptions!$E$43</f>
        <v>30.078423804732942</v>
      </c>
      <c r="AE115" s="2">
        <f>AD115*Assumptions!$D$44*-1</f>
        <v>-4.5117635707099408</v>
      </c>
      <c r="AF115" s="2">
        <f>AC115*Assumptions!$E$46*-1</f>
        <v>-1.1193141860245066</v>
      </c>
      <c r="AG115" s="5">
        <f t="shared" si="33"/>
        <v>33579.950286394007</v>
      </c>
      <c r="AH115" s="20">
        <f>Model_30y[[#This Row],[Mortgage Payment]]+Model_30y[[#This Row],[Total Upkeep]]+Model_30y[[#This Row],[Monthly Investment]]</f>
        <v>-3756.2511224465779</v>
      </c>
      <c r="AI115" s="5">
        <f>Model_Renter!D115*-1</f>
        <v>3835.2652559841813</v>
      </c>
      <c r="AJ115" s="5">
        <f t="shared" si="26"/>
        <v>79.014133537603357</v>
      </c>
    </row>
    <row r="116" spans="1:36" x14ac:dyDescent="0.25">
      <c r="A116" s="17">
        <f t="shared" si="27"/>
        <v>114</v>
      </c>
      <c r="B116" s="17">
        <f t="shared" si="22"/>
        <v>10</v>
      </c>
      <c r="C116" s="23">
        <f>IFERROR(PPMT(Assumptions!$E$17, A116, 180, Assumptions!$D$8), 0)</f>
        <v>-2051.4512334596993</v>
      </c>
      <c r="D116" s="38">
        <f>IFERROR(IPMT(Assumptions!$E$17,A116,180,Assumptions!$D$8), 0)</f>
        <v>-790.18177833899767</v>
      </c>
      <c r="E116" s="2">
        <f t="shared" si="28"/>
        <v>-2841.6330117986972</v>
      </c>
      <c r="F116" s="2">
        <f>IF(I115&gt;1, Assumptions!$E$19, 0)*-1</f>
        <v>-2841.6330117986968</v>
      </c>
      <c r="G116" s="24">
        <f t="shared" si="23"/>
        <v>1</v>
      </c>
      <c r="H116" s="20">
        <f t="shared" si="29"/>
        <v>179962.88131776793</v>
      </c>
      <c r="I116" s="2">
        <f>MAX(Assumptions!$D$8-SUM(Model_15y!H116), 0)</f>
        <v>160037.11868223207</v>
      </c>
      <c r="J116" s="2">
        <f>J115*(1+(Assumptions!$E$51))</f>
        <v>675596.31366647477</v>
      </c>
      <c r="K116" s="22">
        <f t="shared" si="18"/>
        <v>515559.19498424267</v>
      </c>
      <c r="L116" s="5">
        <f t="shared" si="30"/>
        <v>264962.88131776795</v>
      </c>
      <c r="M116" s="63">
        <f>L116/Assumptions!$D$6</f>
        <v>0.62344207368886573</v>
      </c>
      <c r="N116" s="24">
        <f t="shared" si="34"/>
        <v>0</v>
      </c>
      <c r="O116" s="22">
        <f>N116*Assumptions!$E$25*-1</f>
        <v>0</v>
      </c>
      <c r="P116" s="5">
        <f>Assumptions!$E$35*J116*-1</f>
        <v>-1391.6177906622577</v>
      </c>
      <c r="Q116" s="5">
        <f>J116*Assumptions!$E$36*-1</f>
        <v>-560.43289209810587</v>
      </c>
      <c r="R116" s="5">
        <f>R104+R104*Assumptions!$D$51</f>
        <v>-504.05239284168607</v>
      </c>
      <c r="S116" s="5">
        <f>S104+(S104*Assumptions!$D$51)</f>
        <v>0</v>
      </c>
      <c r="T116" s="5">
        <f t="shared" si="24"/>
        <v>0</v>
      </c>
      <c r="U116" s="22">
        <f t="shared" si="19"/>
        <v>-2456.1030756020496</v>
      </c>
      <c r="V116" s="5">
        <f>MAX(Assumptions!$E$18:$E$19)-U116</f>
        <v>5297.7360874007463</v>
      </c>
      <c r="W116" s="5">
        <f t="shared" si="20"/>
        <v>-2841.6330117986968</v>
      </c>
      <c r="X116" s="5">
        <f t="shared" si="25"/>
        <v>-2456.1030756020496</v>
      </c>
      <c r="Y116" s="5">
        <f>D116*Assumptions!$D$44*-1</f>
        <v>118.52726675084965</v>
      </c>
      <c r="Z116" s="5">
        <f t="shared" si="21"/>
        <v>118.52726675084965</v>
      </c>
      <c r="AA116" s="5">
        <f t="shared" si="31"/>
        <v>33579.950286394007</v>
      </c>
      <c r="AB116" s="3">
        <f>Assumptions!$E$45</f>
        <v>6.9899151946608562E-3</v>
      </c>
      <c r="AC116" s="5">
        <f t="shared" si="32"/>
        <v>33933.198557887677</v>
      </c>
      <c r="AD116" s="4">
        <f>AC116*Assumptions!$E$43</f>
        <v>30.389741246633534</v>
      </c>
      <c r="AE116" s="2">
        <f>AD116*Assumptions!$D$44*-1</f>
        <v>-4.5584611869950296</v>
      </c>
      <c r="AF116" s="2">
        <f>AC116*Assumptions!$E$46*-1</f>
        <v>-1.1308993020311957</v>
      </c>
      <c r="AG116" s="5">
        <f t="shared" si="33"/>
        <v>33927.509197398649</v>
      </c>
      <c r="AH116" s="20">
        <f>Model_30y[[#This Row],[Mortgage Payment]]+Model_30y[[#This Row],[Total Upkeep]]+Model_30y[[#This Row],[Monthly Investment]]</f>
        <v>-3764.6340573069119</v>
      </c>
      <c r="AI116" s="5">
        <f>Model_Renter!D116*-1</f>
        <v>3835.2652559841813</v>
      </c>
      <c r="AJ116" s="5">
        <f t="shared" si="26"/>
        <v>70.631198677269367</v>
      </c>
    </row>
    <row r="117" spans="1:36" x14ac:dyDescent="0.25">
      <c r="A117" s="17">
        <f t="shared" si="27"/>
        <v>115</v>
      </c>
      <c r="B117" s="17">
        <f t="shared" si="22"/>
        <v>10</v>
      </c>
      <c r="C117" s="23">
        <f>IFERROR(PPMT(Assumptions!$E$17, A117, 180, Assumptions!$D$8), 0)</f>
        <v>-2061.4520582228151</v>
      </c>
      <c r="D117" s="38">
        <f>IFERROR(IPMT(Assumptions!$E$17,A117,180,Assumptions!$D$8), 0)</f>
        <v>-780.18095357588163</v>
      </c>
      <c r="E117" s="2">
        <f t="shared" si="28"/>
        <v>-2841.6330117986968</v>
      </c>
      <c r="F117" s="2">
        <f>IF(I116&gt;1, Assumptions!$E$19, 0)*-1</f>
        <v>-2841.6330117986968</v>
      </c>
      <c r="G117" s="24">
        <f t="shared" si="23"/>
        <v>1</v>
      </c>
      <c r="H117" s="20">
        <f t="shared" si="29"/>
        <v>182024.33337599074</v>
      </c>
      <c r="I117" s="2">
        <f>MAX(Assumptions!$D$8-SUM(Model_15y!H117), 0)</f>
        <v>157975.66662400926</v>
      </c>
      <c r="J117" s="2">
        <f>J116*(1+(Assumptions!$E$51))</f>
        <v>678348.7766761285</v>
      </c>
      <c r="K117" s="22">
        <f t="shared" si="18"/>
        <v>520373.11005211924</v>
      </c>
      <c r="L117" s="5">
        <f t="shared" si="30"/>
        <v>267024.3333759908</v>
      </c>
      <c r="M117" s="63">
        <f>L117/Assumptions!$D$6</f>
        <v>0.62829254911997834</v>
      </c>
      <c r="N117" s="24">
        <f t="shared" si="34"/>
        <v>0</v>
      </c>
      <c r="O117" s="22">
        <f>N117*Assumptions!$E$25*-1</f>
        <v>0</v>
      </c>
      <c r="P117" s="5">
        <f>Assumptions!$E$35*J117*-1</f>
        <v>-1397.2874138009429</v>
      </c>
      <c r="Q117" s="5">
        <f>J117*Assumptions!$E$36*-1</f>
        <v>-562.71616507294152</v>
      </c>
      <c r="R117" s="5">
        <f>R105+R105*Assumptions!$D$51</f>
        <v>-504.05239284168607</v>
      </c>
      <c r="S117" s="5">
        <f>S105+(S105*Assumptions!$D$51)</f>
        <v>0</v>
      </c>
      <c r="T117" s="5">
        <f t="shared" si="24"/>
        <v>0</v>
      </c>
      <c r="U117" s="22">
        <f t="shared" si="19"/>
        <v>-2464.0559717155706</v>
      </c>
      <c r="V117" s="5">
        <f>MAX(Assumptions!$E$18:$E$19)-U117</f>
        <v>5305.6889835142674</v>
      </c>
      <c r="W117" s="5">
        <f t="shared" si="20"/>
        <v>-2841.6330117986968</v>
      </c>
      <c r="X117" s="5">
        <f t="shared" si="25"/>
        <v>-2464.0559717155706</v>
      </c>
      <c r="Y117" s="5">
        <f>D117*Assumptions!$D$44*-1</f>
        <v>117.02714303638224</v>
      </c>
      <c r="Z117" s="5">
        <f t="shared" si="21"/>
        <v>117.02714303638224</v>
      </c>
      <c r="AA117" s="5">
        <f t="shared" si="31"/>
        <v>33927.509197398649</v>
      </c>
      <c r="AB117" s="3">
        <f>Assumptions!$E$45</f>
        <v>6.9899151946608562E-3</v>
      </c>
      <c r="AC117" s="5">
        <f t="shared" si="32"/>
        <v>34281.686752490918</v>
      </c>
      <c r="AD117" s="4">
        <f>AC117*Assumptions!$E$43</f>
        <v>30.701838735569989</v>
      </c>
      <c r="AE117" s="2">
        <f>AD117*Assumptions!$D$44*-1</f>
        <v>-4.605275810335498</v>
      </c>
      <c r="AF117" s="2">
        <f>AC117*Assumptions!$E$46*-1</f>
        <v>-1.1425134460786719</v>
      </c>
      <c r="AG117" s="5">
        <f t="shared" si="33"/>
        <v>34275.938963234505</v>
      </c>
      <c r="AH117" s="20">
        <f>Model_30y[[#This Row],[Mortgage Payment]]+Model_30y[[#This Row],[Total Upkeep]]+Model_30y[[#This Row],[Monthly Investment]]</f>
        <v>-3773.0518507068673</v>
      </c>
      <c r="AI117" s="5">
        <f>Model_Renter!D117*-1</f>
        <v>3835.2652559841813</v>
      </c>
      <c r="AJ117" s="5">
        <f t="shared" si="26"/>
        <v>62.213405277313996</v>
      </c>
    </row>
    <row r="118" spans="1:36" x14ac:dyDescent="0.25">
      <c r="A118" s="17">
        <f t="shared" si="27"/>
        <v>116</v>
      </c>
      <c r="B118" s="17">
        <f t="shared" si="22"/>
        <v>10</v>
      </c>
      <c r="C118" s="23">
        <f>IFERROR(PPMT(Assumptions!$E$17, A118, 180, Assumptions!$D$8), 0)</f>
        <v>-2071.5016370066514</v>
      </c>
      <c r="D118" s="38">
        <f>IFERROR(IPMT(Assumptions!$E$17,A118,180,Assumptions!$D$8), 0)</f>
        <v>-770.13137479204534</v>
      </c>
      <c r="E118" s="2">
        <f t="shared" si="28"/>
        <v>-2841.6330117986968</v>
      </c>
      <c r="F118" s="2">
        <f>IF(I117&gt;1, Assumptions!$E$19, 0)*-1</f>
        <v>-2841.6330117986968</v>
      </c>
      <c r="G118" s="24">
        <f t="shared" si="23"/>
        <v>1</v>
      </c>
      <c r="H118" s="20">
        <f t="shared" si="29"/>
        <v>184095.83501299738</v>
      </c>
      <c r="I118" s="2">
        <f>MAX(Assumptions!$D$8-SUM(Model_15y!H118), 0)</f>
        <v>155904.16498700262</v>
      </c>
      <c r="J118" s="2">
        <f>J117*(1+(Assumptions!$E$51))</f>
        <v>681112.45356079354</v>
      </c>
      <c r="K118" s="22">
        <f t="shared" si="18"/>
        <v>525208.28857379092</v>
      </c>
      <c r="L118" s="5">
        <f t="shared" si="30"/>
        <v>269095.83501299744</v>
      </c>
      <c r="M118" s="63">
        <f>L118/Assumptions!$D$6</f>
        <v>0.63316667061881748</v>
      </c>
      <c r="N118" s="24">
        <f t="shared" si="34"/>
        <v>0</v>
      </c>
      <c r="O118" s="22">
        <f>N118*Assumptions!$E$25*-1</f>
        <v>0</v>
      </c>
      <c r="P118" s="5">
        <f>Assumptions!$E$35*J118*-1</f>
        <v>-1402.9801356861019</v>
      </c>
      <c r="Q118" s="5">
        <f>J118*Assumptions!$E$36*-1</f>
        <v>-565.00874038450866</v>
      </c>
      <c r="R118" s="5">
        <f>R106+R106*Assumptions!$D$51</f>
        <v>-504.05239284168607</v>
      </c>
      <c r="S118" s="5">
        <f>S106+(S106*Assumptions!$D$51)</f>
        <v>0</v>
      </c>
      <c r="T118" s="5">
        <f t="shared" si="24"/>
        <v>0</v>
      </c>
      <c r="U118" s="22">
        <f t="shared" si="19"/>
        <v>-2472.0412689122968</v>
      </c>
      <c r="V118" s="5">
        <f>MAX(Assumptions!$E$18:$E$19)-U118</f>
        <v>5313.6742807109931</v>
      </c>
      <c r="W118" s="5">
        <f t="shared" si="20"/>
        <v>-2841.6330117986968</v>
      </c>
      <c r="X118" s="5">
        <f t="shared" si="25"/>
        <v>-2472.0412689122968</v>
      </c>
      <c r="Y118" s="5">
        <f>D118*Assumptions!$D$44*-1</f>
        <v>115.51970621880679</v>
      </c>
      <c r="Z118" s="5">
        <f t="shared" si="21"/>
        <v>115.51970621880633</v>
      </c>
      <c r="AA118" s="5">
        <f t="shared" si="31"/>
        <v>34275.938963234505</v>
      </c>
      <c r="AB118" s="3">
        <f>Assumptions!$E$45</f>
        <v>6.9899151946608562E-3</v>
      </c>
      <c r="AC118" s="5">
        <f t="shared" si="32"/>
        <v>34631.044576023698</v>
      </c>
      <c r="AD118" s="4">
        <f>AC118*Assumptions!$E$43</f>
        <v>31.014715042869362</v>
      </c>
      <c r="AE118" s="2">
        <f>AD118*Assumptions!$D$44*-1</f>
        <v>-4.6522072564304038</v>
      </c>
      <c r="AF118" s="2">
        <f>AC118*Assumptions!$E$46*-1</f>
        <v>-1.1541565724440914</v>
      </c>
      <c r="AG118" s="5">
        <f t="shared" si="33"/>
        <v>34625.238212194825</v>
      </c>
      <c r="AH118" s="20">
        <f>Model_30y[[#This Row],[Mortgage Payment]]+Model_30y[[#This Row],[Total Upkeep]]+Model_30y[[#This Row],[Monthly Investment]]</f>
        <v>-3781.5046486148321</v>
      </c>
      <c r="AI118" s="5">
        <f>Model_Renter!D118*-1</f>
        <v>3835.2652559841813</v>
      </c>
      <c r="AJ118" s="5">
        <f t="shared" si="26"/>
        <v>53.760607369349145</v>
      </c>
    </row>
    <row r="119" spans="1:36" x14ac:dyDescent="0.25">
      <c r="A119" s="17">
        <f t="shared" si="27"/>
        <v>117</v>
      </c>
      <c r="B119" s="17">
        <f t="shared" si="22"/>
        <v>10</v>
      </c>
      <c r="C119" s="23">
        <f>IFERROR(PPMT(Assumptions!$E$17, A119, 180, Assumptions!$D$8), 0)</f>
        <v>-2081.6002074870589</v>
      </c>
      <c r="D119" s="38">
        <f>IFERROR(IPMT(Assumptions!$E$17,A119,180,Assumptions!$D$8), 0)</f>
        <v>-760.03280431163807</v>
      </c>
      <c r="E119" s="2">
        <f t="shared" si="28"/>
        <v>-2841.6330117986972</v>
      </c>
      <c r="F119" s="2">
        <f>IF(I118&gt;1, Assumptions!$E$19, 0)*-1</f>
        <v>-2841.6330117986968</v>
      </c>
      <c r="G119" s="24">
        <f t="shared" si="23"/>
        <v>1</v>
      </c>
      <c r="H119" s="20">
        <f t="shared" si="29"/>
        <v>186177.43522048445</v>
      </c>
      <c r="I119" s="2">
        <f>MAX(Assumptions!$D$8-SUM(Model_15y!H119), 0)</f>
        <v>153822.56477951555</v>
      </c>
      <c r="J119" s="2">
        <f>J118*(1+(Assumptions!$E$51))</f>
        <v>683887.3900071847</v>
      </c>
      <c r="K119" s="22">
        <f t="shared" si="18"/>
        <v>530064.82522766921</v>
      </c>
      <c r="L119" s="5">
        <f t="shared" si="30"/>
        <v>271177.43522048451</v>
      </c>
      <c r="M119" s="63">
        <f>L119/Assumptions!$D$6</f>
        <v>0.63806455345996349</v>
      </c>
      <c r="N119" s="24">
        <f t="shared" si="34"/>
        <v>0</v>
      </c>
      <c r="O119" s="22">
        <f>N119*Assumptions!$E$25*-1</f>
        <v>0</v>
      </c>
      <c r="P119" s="5">
        <f>Assumptions!$E$35*J119*-1</f>
        <v>-1408.6960504248871</v>
      </c>
      <c r="Q119" s="5">
        <f>J119*Assumptions!$E$36*-1</f>
        <v>-567.31065593167841</v>
      </c>
      <c r="R119" s="5">
        <f>R107+R107*Assumptions!$D$51</f>
        <v>-504.05239284168607</v>
      </c>
      <c r="S119" s="5">
        <f>S107+(S107*Assumptions!$D$51)</f>
        <v>0</v>
      </c>
      <c r="T119" s="5">
        <f t="shared" si="24"/>
        <v>0</v>
      </c>
      <c r="U119" s="22">
        <f t="shared" si="19"/>
        <v>-2480.0590991982517</v>
      </c>
      <c r="V119" s="5">
        <f>MAX(Assumptions!$E$18:$E$19)-U119</f>
        <v>5321.692110996948</v>
      </c>
      <c r="W119" s="5">
        <f t="shared" si="20"/>
        <v>-2841.6330117986968</v>
      </c>
      <c r="X119" s="5">
        <f t="shared" si="25"/>
        <v>-2480.0590991982517</v>
      </c>
      <c r="Y119" s="5">
        <f>D119*Assumptions!$D$44*-1</f>
        <v>114.0049206467457</v>
      </c>
      <c r="Z119" s="5">
        <f t="shared" si="21"/>
        <v>114.00492064674525</v>
      </c>
      <c r="AA119" s="5">
        <f t="shared" si="31"/>
        <v>34625.238212194825</v>
      </c>
      <c r="AB119" s="3">
        <f>Assumptions!$E$45</f>
        <v>6.9899151946608562E-3</v>
      </c>
      <c r="AC119" s="5">
        <f t="shared" si="32"/>
        <v>34981.270611539745</v>
      </c>
      <c r="AD119" s="4">
        <f>AC119*Assumptions!$E$43</f>
        <v>31.328368899549279</v>
      </c>
      <c r="AE119" s="2">
        <f>AD119*Assumptions!$D$44*-1</f>
        <v>-4.699255334932392</v>
      </c>
      <c r="AF119" s="2">
        <f>AC119*Assumptions!$E$46*-1</f>
        <v>-1.1658286339045689</v>
      </c>
      <c r="AG119" s="5">
        <f t="shared" si="33"/>
        <v>34975.405527570911</v>
      </c>
      <c r="AH119" s="20">
        <f>Model_30y[[#This Row],[Mortgage Payment]]+Model_30y[[#This Row],[Total Upkeep]]+Model_30y[[#This Row],[Monthly Investment]]</f>
        <v>-3789.9925976160089</v>
      </c>
      <c r="AI119" s="5">
        <f>Model_Renter!D119*-1</f>
        <v>3835.2652559841813</v>
      </c>
      <c r="AJ119" s="5">
        <f t="shared" si="26"/>
        <v>45.272658368172415</v>
      </c>
    </row>
    <row r="120" spans="1:36" x14ac:dyDescent="0.25">
      <c r="A120" s="17">
        <f t="shared" si="27"/>
        <v>118</v>
      </c>
      <c r="B120" s="17">
        <f t="shared" si="22"/>
        <v>10</v>
      </c>
      <c r="C120" s="23">
        <f>IFERROR(PPMT(Assumptions!$E$17, A120, 180, Assumptions!$D$8), 0)</f>
        <v>-2091.7480084985582</v>
      </c>
      <c r="D120" s="38">
        <f>IFERROR(IPMT(Assumptions!$E$17,A120,180,Assumptions!$D$8), 0)</f>
        <v>-749.88500330013846</v>
      </c>
      <c r="E120" s="2">
        <f t="shared" si="28"/>
        <v>-2841.6330117986968</v>
      </c>
      <c r="F120" s="2">
        <f>IF(I119&gt;1, Assumptions!$E$19, 0)*-1</f>
        <v>-2841.6330117986968</v>
      </c>
      <c r="G120" s="24">
        <f t="shared" si="23"/>
        <v>1</v>
      </c>
      <c r="H120" s="20">
        <f t="shared" si="29"/>
        <v>188269.18322898302</v>
      </c>
      <c r="I120" s="2">
        <f>MAX(Assumptions!$D$8-SUM(Model_15y!H120), 0)</f>
        <v>151730.81677101698</v>
      </c>
      <c r="J120" s="2">
        <f>J119*(1+(Assumptions!$E$51))</f>
        <v>686673.63188815012</v>
      </c>
      <c r="K120" s="22">
        <f t="shared" si="18"/>
        <v>534942.81511713308</v>
      </c>
      <c r="L120" s="5">
        <f t="shared" si="30"/>
        <v>273269.18322898308</v>
      </c>
      <c r="M120" s="63">
        <f>L120/Assumptions!$D$6</f>
        <v>0.64298631347996016</v>
      </c>
      <c r="N120" s="24">
        <f t="shared" si="34"/>
        <v>0</v>
      </c>
      <c r="O120" s="22">
        <f>N120*Assumptions!$E$25*-1</f>
        <v>0</v>
      </c>
      <c r="P120" s="5">
        <f>Assumptions!$E$35*J120*-1</f>
        <v>-1414.4352525078546</v>
      </c>
      <c r="Q120" s="5">
        <f>J120*Assumptions!$E$36*-1</f>
        <v>-569.62194976772673</v>
      </c>
      <c r="R120" s="5">
        <f>R108+R108*Assumptions!$D$51</f>
        <v>-504.05239284168607</v>
      </c>
      <c r="S120" s="5">
        <f>S108+(S108*Assumptions!$D$51)</f>
        <v>0</v>
      </c>
      <c r="T120" s="5">
        <f t="shared" si="24"/>
        <v>0</v>
      </c>
      <c r="U120" s="22">
        <f t="shared" si="19"/>
        <v>-2488.1095951172674</v>
      </c>
      <c r="V120" s="5">
        <f>MAX(Assumptions!$E$18:$E$19)-U120</f>
        <v>5329.7426069159646</v>
      </c>
      <c r="W120" s="5">
        <f t="shared" si="20"/>
        <v>-2841.6330117986968</v>
      </c>
      <c r="X120" s="5">
        <f t="shared" si="25"/>
        <v>-2488.1095951172674</v>
      </c>
      <c r="Y120" s="5">
        <f>D120*Assumptions!$D$44*-1</f>
        <v>112.48275049502077</v>
      </c>
      <c r="Z120" s="5">
        <f t="shared" si="21"/>
        <v>112.48275049502122</v>
      </c>
      <c r="AA120" s="5">
        <f t="shared" si="31"/>
        <v>34975.405527570911</v>
      </c>
      <c r="AB120" s="3">
        <f>Assumptions!$E$45</f>
        <v>6.9899151946608562E-3</v>
      </c>
      <c r="AC120" s="5">
        <f t="shared" si="32"/>
        <v>35332.36339660253</v>
      </c>
      <c r="AD120" s="4">
        <f>AC120*Assumptions!$E$43</f>
        <v>31.642798995887425</v>
      </c>
      <c r="AE120" s="2">
        <f>AD120*Assumptions!$D$44*-1</f>
        <v>-4.7464198493831136</v>
      </c>
      <c r="AF120" s="2">
        <f>AC120*Assumptions!$E$46*-1</f>
        <v>-1.1775295817211548</v>
      </c>
      <c r="AG120" s="5">
        <f t="shared" si="33"/>
        <v>35326.439447171426</v>
      </c>
      <c r="AH120" s="20">
        <f>Model_30y[[#This Row],[Mortgage Payment]]+Model_30y[[#This Row],[Total Upkeep]]+Model_30y[[#This Row],[Monthly Investment]]</f>
        <v>-3798.5158449150517</v>
      </c>
      <c r="AI120" s="5">
        <f>Model_Renter!D120*-1</f>
        <v>3835.2652559841813</v>
      </c>
      <c r="AJ120" s="5">
        <f t="shared" si="26"/>
        <v>36.749411069129565</v>
      </c>
    </row>
    <row r="121" spans="1:36" x14ac:dyDescent="0.25">
      <c r="A121" s="17">
        <f t="shared" si="27"/>
        <v>119</v>
      </c>
      <c r="B121" s="17">
        <f t="shared" si="22"/>
        <v>10</v>
      </c>
      <c r="C121" s="23">
        <f>IFERROR(PPMT(Assumptions!$E$17, A121, 180, Assumptions!$D$8), 0)</f>
        <v>-2101.9452800399886</v>
      </c>
      <c r="D121" s="38">
        <f>IFERROR(IPMT(Assumptions!$E$17,A121,180,Assumptions!$D$8), 0)</f>
        <v>-739.68773175870808</v>
      </c>
      <c r="E121" s="2">
        <f t="shared" si="28"/>
        <v>-2841.6330117986968</v>
      </c>
      <c r="F121" s="2">
        <f>IF(I120&gt;1, Assumptions!$E$19, 0)*-1</f>
        <v>-2841.6330117986968</v>
      </c>
      <c r="G121" s="24">
        <f t="shared" si="23"/>
        <v>1</v>
      </c>
      <c r="H121" s="20">
        <f t="shared" si="29"/>
        <v>190371.12850902299</v>
      </c>
      <c r="I121" s="2">
        <f>MAX(Assumptions!$D$8-SUM(Model_15y!H121), 0)</f>
        <v>149628.87149097701</v>
      </c>
      <c r="J121" s="2">
        <f>J120*(1+(Assumptions!$E$51))</f>
        <v>689471.22526342981</v>
      </c>
      <c r="K121" s="22">
        <f t="shared" si="18"/>
        <v>539842.3537724528</v>
      </c>
      <c r="L121" s="5">
        <f t="shared" si="30"/>
        <v>275371.12850902305</v>
      </c>
      <c r="M121" s="63">
        <f>L121/Assumptions!$D$6</f>
        <v>0.64793206708005424</v>
      </c>
      <c r="N121" s="24">
        <f t="shared" si="34"/>
        <v>0</v>
      </c>
      <c r="O121" s="22">
        <f>N121*Assumptions!$E$25*-1</f>
        <v>0</v>
      </c>
      <c r="P121" s="5">
        <f>Assumptions!$E$35*J121*-1</f>
        <v>-1420.1978368105274</v>
      </c>
      <c r="Q121" s="5">
        <f>J121*Assumptions!$E$36*-1</f>
        <v>-571.94266010096362</v>
      </c>
      <c r="R121" s="5">
        <f>R109+R109*Assumptions!$D$51</f>
        <v>-504.05239284168607</v>
      </c>
      <c r="S121" s="5">
        <f>S109+(S109*Assumptions!$D$51)</f>
        <v>0</v>
      </c>
      <c r="T121" s="5">
        <f t="shared" si="24"/>
        <v>0</v>
      </c>
      <c r="U121" s="22">
        <f t="shared" si="19"/>
        <v>-2496.192889753177</v>
      </c>
      <c r="V121" s="5">
        <f>MAX(Assumptions!$E$18:$E$19)-U121</f>
        <v>5337.8259015518743</v>
      </c>
      <c r="W121" s="5">
        <f t="shared" si="20"/>
        <v>-2841.6330117986968</v>
      </c>
      <c r="X121" s="5">
        <f t="shared" si="25"/>
        <v>-2496.192889753177</v>
      </c>
      <c r="Y121" s="5">
        <f>D121*Assumptions!$D$44*-1</f>
        <v>110.95315976380621</v>
      </c>
      <c r="Z121" s="5">
        <f t="shared" si="21"/>
        <v>110.95315976380667</v>
      </c>
      <c r="AA121" s="5">
        <f t="shared" si="31"/>
        <v>35326.439447171426</v>
      </c>
      <c r="AB121" s="3">
        <f>Assumptions!$E$45</f>
        <v>6.9899151946608562E-3</v>
      </c>
      <c r="AC121" s="5">
        <f t="shared" si="32"/>
        <v>35684.321422800283</v>
      </c>
      <c r="AD121" s="4">
        <f>AC121*Assumptions!$E$43</f>
        <v>31.958003980987165</v>
      </c>
      <c r="AE121" s="2">
        <f>AD121*Assumptions!$D$44*-1</f>
        <v>-4.7937005971480744</v>
      </c>
      <c r="AF121" s="2">
        <f>AC121*Assumptions!$E$46*-1</f>
        <v>-1.1892593656226726</v>
      </c>
      <c r="AG121" s="5">
        <f t="shared" si="33"/>
        <v>35678.338462837513</v>
      </c>
      <c r="AH121" s="20">
        <f>Model_30y[[#This Row],[Mortgage Payment]]+Model_30y[[#This Row],[Total Upkeep]]+Model_30y[[#This Row],[Monthly Investment]]</f>
        <v>-3807.0745383387161</v>
      </c>
      <c r="AI121" s="5">
        <f>Model_Renter!D121*-1</f>
        <v>3835.2652559841813</v>
      </c>
      <c r="AJ121" s="5">
        <f t="shared" si="26"/>
        <v>28.190717645465156</v>
      </c>
    </row>
    <row r="122" spans="1:36" x14ac:dyDescent="0.25">
      <c r="A122" s="17">
        <f t="shared" si="27"/>
        <v>120</v>
      </c>
      <c r="B122" s="17">
        <f t="shared" si="22"/>
        <v>10</v>
      </c>
      <c r="C122" s="23">
        <f>IFERROR(PPMT(Assumptions!$E$17, A122, 180, Assumptions!$D$8), 0)</f>
        <v>-2112.1922632801839</v>
      </c>
      <c r="D122" s="38">
        <f>IFERROR(IPMT(Assumptions!$E$17,A122,180,Assumptions!$D$8), 0)</f>
        <v>-729.44074851851303</v>
      </c>
      <c r="E122" s="2">
        <f t="shared" si="28"/>
        <v>-2841.6330117986968</v>
      </c>
      <c r="F122" s="2">
        <f>IF(I121&gt;1, Assumptions!$E$19, 0)*-1</f>
        <v>-2841.6330117986968</v>
      </c>
      <c r="G122" s="24">
        <f t="shared" si="23"/>
        <v>1</v>
      </c>
      <c r="H122" s="20">
        <f t="shared" si="29"/>
        <v>192483.32077230318</v>
      </c>
      <c r="I122" s="2">
        <f>MAX(Assumptions!$D$8-SUM(Model_15y!H122), 0)</f>
        <v>147516.67922769682</v>
      </c>
      <c r="J122" s="2">
        <f>J121*(1+(Assumptions!$E$51))</f>
        <v>692280.21638041676</v>
      </c>
      <c r="K122" s="22">
        <f t="shared" si="18"/>
        <v>544763.53715271992</v>
      </c>
      <c r="L122" s="5">
        <f t="shared" si="30"/>
        <v>277483.32077230321</v>
      </c>
      <c r="M122" s="63">
        <f>L122/Assumptions!$D$6</f>
        <v>0.65290193122894868</v>
      </c>
      <c r="N122" s="24">
        <f t="shared" si="34"/>
        <v>0</v>
      </c>
      <c r="O122" s="22">
        <f>N122*Assumptions!$E$25*-1</f>
        <v>0</v>
      </c>
      <c r="P122" s="5">
        <f>Assumptions!$E$35*J122*-1</f>
        <v>-1425.9838985949632</v>
      </c>
      <c r="Q122" s="5">
        <f>J122*Assumptions!$E$36*-1</f>
        <v>-574.2728252953641</v>
      </c>
      <c r="R122" s="5">
        <f>R110+R110*Assumptions!$D$51</f>
        <v>-504.05239284168607</v>
      </c>
      <c r="S122" s="5">
        <f>S110+(S110*Assumptions!$D$51)</f>
        <v>0</v>
      </c>
      <c r="T122" s="5">
        <f t="shared" si="24"/>
        <v>0</v>
      </c>
      <c r="U122" s="22">
        <f t="shared" si="19"/>
        <v>-2504.3091167320135</v>
      </c>
      <c r="V122" s="5">
        <f>MAX(Assumptions!$E$18:$E$19)-U122</f>
        <v>5345.9421285307108</v>
      </c>
      <c r="W122" s="5">
        <f t="shared" si="20"/>
        <v>-2841.6330117986968</v>
      </c>
      <c r="X122" s="5">
        <f t="shared" si="25"/>
        <v>-2504.3091167320135</v>
      </c>
      <c r="Y122" s="5">
        <f>D122*Assumptions!$D$44*-1</f>
        <v>109.41611227777695</v>
      </c>
      <c r="Z122" s="5">
        <f t="shared" si="21"/>
        <v>109.4161122777774</v>
      </c>
      <c r="AA122" s="5">
        <f t="shared" si="31"/>
        <v>35678.338462837513</v>
      </c>
      <c r="AB122" s="3">
        <f>Assumptions!$E$45</f>
        <v>6.9899151946608562E-3</v>
      </c>
      <c r="AC122" s="5">
        <f t="shared" si="32"/>
        <v>36037.143135256934</v>
      </c>
      <c r="AD122" s="4">
        <f>AC122*Assumptions!$E$43</f>
        <v>32.273982462339596</v>
      </c>
      <c r="AE122" s="2">
        <f>AD122*Assumptions!$D$44*-1</f>
        <v>-4.8410973693509396</v>
      </c>
      <c r="AF122" s="2">
        <f>AC122*Assumptions!$E$46*-1</f>
        <v>-1.2010179337894193</v>
      </c>
      <c r="AG122" s="5">
        <f t="shared" si="33"/>
        <v>36031.101019953792</v>
      </c>
      <c r="AH122" s="20">
        <f>Model_30y[[#This Row],[Mortgage Payment]]+Model_30y[[#This Row],[Total Upkeep]]+Model_30y[[#This Row],[Monthly Investment]]</f>
        <v>-3815.6688263385195</v>
      </c>
      <c r="AI122" s="5">
        <f>Model_Renter!D122*-1</f>
        <v>3835.2652559841813</v>
      </c>
      <c r="AJ122" s="5">
        <f t="shared" si="26"/>
        <v>19.596429645661829</v>
      </c>
    </row>
    <row r="123" spans="1:36" x14ac:dyDescent="0.25">
      <c r="A123" s="17">
        <f t="shared" si="27"/>
        <v>121</v>
      </c>
      <c r="B123" s="17">
        <f t="shared" si="22"/>
        <v>11</v>
      </c>
      <c r="C123" s="23">
        <f>IFERROR(PPMT(Assumptions!$E$17, A123, 180, Assumptions!$D$8), 0)</f>
        <v>-2122.4892005636748</v>
      </c>
      <c r="D123" s="38">
        <f>IFERROR(IPMT(Assumptions!$E$17,A123,180,Assumptions!$D$8), 0)</f>
        <v>-719.14381123502233</v>
      </c>
      <c r="E123" s="2">
        <f t="shared" si="28"/>
        <v>-2841.6330117986972</v>
      </c>
      <c r="F123" s="2">
        <f>IF(I122&gt;1, Assumptions!$E$19, 0)*-1</f>
        <v>-2841.6330117986968</v>
      </c>
      <c r="G123" s="24">
        <f t="shared" si="23"/>
        <v>1</v>
      </c>
      <c r="H123" s="20">
        <f t="shared" si="29"/>
        <v>194605.80997286685</v>
      </c>
      <c r="I123" s="2">
        <f>MAX(Assumptions!$D$8-SUM(Model_15y!H123), 0)</f>
        <v>145394.19002713315</v>
      </c>
      <c r="J123" s="2">
        <f>J122*(1+(Assumptions!$E$51))</f>
        <v>695100.65167492139</v>
      </c>
      <c r="K123" s="22">
        <f t="shared" si="18"/>
        <v>549706.4616477883</v>
      </c>
      <c r="L123" s="5">
        <f t="shared" si="30"/>
        <v>279605.8099728669</v>
      </c>
      <c r="M123" s="63">
        <f>L123/Assumptions!$D$6</f>
        <v>0.65789602346556919</v>
      </c>
      <c r="N123" s="24">
        <f t="shared" si="34"/>
        <v>0</v>
      </c>
      <c r="O123" s="22">
        <f>N123*Assumptions!$E$25*-1</f>
        <v>0</v>
      </c>
      <c r="P123" s="5">
        <f>Assumptions!$E$35*J123*-1</f>
        <v>-1431.7935335113284</v>
      </c>
      <c r="Q123" s="5">
        <f>J123*Assumptions!$E$36*-1</f>
        <v>-576.61248387120281</v>
      </c>
      <c r="R123" s="5">
        <f>R111+R111*Assumptions!$D$51</f>
        <v>-529.25501248377043</v>
      </c>
      <c r="S123" s="5">
        <f>S111+(S111*Assumptions!$D$51)</f>
        <v>0</v>
      </c>
      <c r="T123" s="5">
        <f t="shared" si="24"/>
        <v>0</v>
      </c>
      <c r="U123" s="22">
        <f t="shared" si="19"/>
        <v>-2537.6610298663018</v>
      </c>
      <c r="V123" s="5">
        <f>MAX(Assumptions!$E$18:$E$19)-U123</f>
        <v>5379.2940416649981</v>
      </c>
      <c r="W123" s="5">
        <f t="shared" si="20"/>
        <v>-2841.6330117986968</v>
      </c>
      <c r="X123" s="5">
        <f t="shared" si="25"/>
        <v>-2537.6610298663018</v>
      </c>
      <c r="Y123" s="5">
        <f>D123*Assumptions!$D$44*-1</f>
        <v>107.87157168525334</v>
      </c>
      <c r="Z123" s="5">
        <f t="shared" si="21"/>
        <v>107.87157168525289</v>
      </c>
      <c r="AA123" s="5">
        <f t="shared" si="31"/>
        <v>36031.101019953792</v>
      </c>
      <c r="AB123" s="3">
        <f>Assumptions!$E$45</f>
        <v>6.9899151946608562E-3</v>
      </c>
      <c r="AC123" s="5">
        <f t="shared" si="32"/>
        <v>36390.826932138778</v>
      </c>
      <c r="AD123" s="4">
        <f>AC123*Assumptions!$E$43</f>
        <v>32.590733005381686</v>
      </c>
      <c r="AE123" s="2">
        <f>AD123*Assumptions!$D$44*-1</f>
        <v>-4.8886099508072531</v>
      </c>
      <c r="AF123" s="2">
        <f>AC123*Assumptions!$E$46*-1</f>
        <v>-1.2128052328367249</v>
      </c>
      <c r="AG123" s="5">
        <f t="shared" si="33"/>
        <v>36384.725516955135</v>
      </c>
      <c r="AH123" s="20">
        <f>Model_30y[[#This Row],[Mortgage Payment]]+Model_30y[[#This Row],[Total Upkeep]]+Model_30y[[#This Row],[Monthly Investment]]</f>
        <v>-3849.5014776354915</v>
      </c>
      <c r="AI123" s="5">
        <f>Model_Renter!D123*-1</f>
        <v>3978.7041765579902</v>
      </c>
      <c r="AJ123" s="5">
        <f t="shared" si="26"/>
        <v>129.20269892249871</v>
      </c>
    </row>
    <row r="124" spans="1:36" x14ac:dyDescent="0.25">
      <c r="A124" s="17">
        <f t="shared" si="27"/>
        <v>122</v>
      </c>
      <c r="B124" s="17">
        <f t="shared" si="22"/>
        <v>11</v>
      </c>
      <c r="C124" s="23">
        <f>IFERROR(PPMT(Assumptions!$E$17, A124, 180, Assumptions!$D$8), 0)</f>
        <v>-2132.8363354164226</v>
      </c>
      <c r="D124" s="38">
        <f>IFERROR(IPMT(Assumptions!$E$17,A124,180,Assumptions!$D$8), 0)</f>
        <v>-708.79667638227431</v>
      </c>
      <c r="E124" s="2">
        <f t="shared" si="28"/>
        <v>-2841.6330117986968</v>
      </c>
      <c r="F124" s="2">
        <f>IF(I123&gt;1, Assumptions!$E$19, 0)*-1</f>
        <v>-2841.6330117986968</v>
      </c>
      <c r="G124" s="24">
        <f t="shared" si="23"/>
        <v>1</v>
      </c>
      <c r="H124" s="20">
        <f t="shared" si="29"/>
        <v>196738.64630828326</v>
      </c>
      <c r="I124" s="2">
        <f>MAX(Assumptions!$D$8-SUM(Model_15y!H124), 0)</f>
        <v>143261.35369171674</v>
      </c>
      <c r="J124" s="2">
        <f>J123*(1+(Assumptions!$E$51))</f>
        <v>697932.57777193969</v>
      </c>
      <c r="K124" s="22">
        <f t="shared" si="18"/>
        <v>554671.22408022289</v>
      </c>
      <c r="L124" s="5">
        <f t="shared" si="30"/>
        <v>281738.64630828332</v>
      </c>
      <c r="M124" s="63">
        <f>L124/Assumptions!$D$6</f>
        <v>0.66291446190184311</v>
      </c>
      <c r="N124" s="24">
        <f t="shared" si="34"/>
        <v>0</v>
      </c>
      <c r="O124" s="22">
        <f>N124*Assumptions!$E$25*-1</f>
        <v>0</v>
      </c>
      <c r="P124" s="5">
        <f>Assumptions!$E$35*J124*-1</f>
        <v>-1437.626837599481</v>
      </c>
      <c r="Q124" s="5">
        <f>J124*Assumptions!$E$36*-1</f>
        <v>-578.96167450569101</v>
      </c>
      <c r="R124" s="5">
        <f>R112+R112*Assumptions!$D$51</f>
        <v>-529.25501248377043</v>
      </c>
      <c r="S124" s="5">
        <f>S112+(S112*Assumptions!$D$51)</f>
        <v>0</v>
      </c>
      <c r="T124" s="5">
        <f t="shared" si="24"/>
        <v>0</v>
      </c>
      <c r="U124" s="22">
        <f t="shared" si="19"/>
        <v>-2545.8435245889423</v>
      </c>
      <c r="V124" s="5">
        <f>MAX(Assumptions!$E$18:$E$19)-U124</f>
        <v>5387.4765363876395</v>
      </c>
      <c r="W124" s="5">
        <f t="shared" si="20"/>
        <v>-2841.6330117986968</v>
      </c>
      <c r="X124" s="5">
        <f t="shared" si="25"/>
        <v>-2545.8435245889423</v>
      </c>
      <c r="Y124" s="5">
        <f>D124*Assumptions!$D$44*-1</f>
        <v>106.31950145734115</v>
      </c>
      <c r="Z124" s="5">
        <f t="shared" si="21"/>
        <v>106.3195014573416</v>
      </c>
      <c r="AA124" s="5">
        <f t="shared" si="31"/>
        <v>36384.725516955135</v>
      </c>
      <c r="AB124" s="3">
        <f>Assumptions!$E$45</f>
        <v>6.9899151946608562E-3</v>
      </c>
      <c r="AC124" s="5">
        <f t="shared" si="32"/>
        <v>36745.371164157004</v>
      </c>
      <c r="AD124" s="4">
        <f>AC124*Assumptions!$E$43</f>
        <v>32.908254133050796</v>
      </c>
      <c r="AE124" s="2">
        <f>AD124*Assumptions!$D$44*-1</f>
        <v>-4.9362381199576193</v>
      </c>
      <c r="AF124" s="2">
        <f>AC124*Assumptions!$E$46*-1</f>
        <v>-1.224621207798372</v>
      </c>
      <c r="AG124" s="5">
        <f t="shared" si="33"/>
        <v>36739.210304829248</v>
      </c>
      <c r="AH124" s="20">
        <f>Model_30y[[#This Row],[Mortgage Payment]]+Model_30y[[#This Row],[Total Upkeep]]+Model_30y[[#This Row],[Monthly Investment]]</f>
        <v>-3858.167402654527</v>
      </c>
      <c r="AI124" s="5">
        <f>Model_Renter!D124*-1</f>
        <v>3978.7041765579902</v>
      </c>
      <c r="AJ124" s="5">
        <f t="shared" si="26"/>
        <v>120.5367739034632</v>
      </c>
    </row>
    <row r="125" spans="1:36" x14ac:dyDescent="0.25">
      <c r="A125" s="17">
        <f t="shared" si="27"/>
        <v>123</v>
      </c>
      <c r="B125" s="17">
        <f t="shared" si="22"/>
        <v>11</v>
      </c>
      <c r="C125" s="23">
        <f>IFERROR(PPMT(Assumptions!$E$17, A125, 180, Assumptions!$D$8), 0)</f>
        <v>-2143.2339125515778</v>
      </c>
      <c r="D125" s="38">
        <f>IFERROR(IPMT(Assumptions!$E$17,A125,180,Assumptions!$D$8), 0)</f>
        <v>-698.39909924711935</v>
      </c>
      <c r="E125" s="2">
        <f t="shared" si="28"/>
        <v>-2841.6330117986972</v>
      </c>
      <c r="F125" s="2">
        <f>IF(I124&gt;1, Assumptions!$E$19, 0)*-1</f>
        <v>-2841.6330117986968</v>
      </c>
      <c r="G125" s="24">
        <f t="shared" si="23"/>
        <v>1</v>
      </c>
      <c r="H125" s="20">
        <f t="shared" si="29"/>
        <v>198881.88022083484</v>
      </c>
      <c r="I125" s="2">
        <f>MAX(Assumptions!$D$8-SUM(Model_15y!H125), 0)</f>
        <v>141118.11977916516</v>
      </c>
      <c r="J125" s="2">
        <f>J124*(1+(Assumptions!$E$51))</f>
        <v>700776.04148642335</v>
      </c>
      <c r="K125" s="22">
        <f t="shared" si="18"/>
        <v>559657.92170725821</v>
      </c>
      <c r="L125" s="5">
        <f t="shared" si="30"/>
        <v>283881.88022083492</v>
      </c>
      <c r="M125" s="63">
        <f>L125/Assumptions!$D$6</f>
        <v>0.66795736522549398</v>
      </c>
      <c r="N125" s="24">
        <f t="shared" si="34"/>
        <v>0</v>
      </c>
      <c r="O125" s="22">
        <f>N125*Assumptions!$E$25*-1</f>
        <v>0</v>
      </c>
      <c r="P125" s="5">
        <f>Assumptions!$E$35*J125*-1</f>
        <v>-1443.4839072905561</v>
      </c>
      <c r="Q125" s="5">
        <f>J125*Assumptions!$E$36*-1</f>
        <v>-581.32043603361558</v>
      </c>
      <c r="R125" s="5">
        <f>R113+R113*Assumptions!$D$51</f>
        <v>-529.25501248377043</v>
      </c>
      <c r="S125" s="5">
        <f>S113+(S113*Assumptions!$D$51)</f>
        <v>0</v>
      </c>
      <c r="T125" s="5">
        <f t="shared" si="24"/>
        <v>0</v>
      </c>
      <c r="U125" s="22">
        <f t="shared" si="19"/>
        <v>-2554.0593558079422</v>
      </c>
      <c r="V125" s="5">
        <f>MAX(Assumptions!$E$18:$E$19)-U125</f>
        <v>5395.692367606639</v>
      </c>
      <c r="W125" s="5">
        <f t="shared" si="20"/>
        <v>-2841.6330117986968</v>
      </c>
      <c r="X125" s="5">
        <f t="shared" si="25"/>
        <v>-2554.0593558079422</v>
      </c>
      <c r="Y125" s="5">
        <f>D125*Assumptions!$D$44*-1</f>
        <v>104.75986488706791</v>
      </c>
      <c r="Z125" s="5">
        <f t="shared" si="21"/>
        <v>104.75986488706791</v>
      </c>
      <c r="AA125" s="5">
        <f t="shared" si="31"/>
        <v>36739.210304829248</v>
      </c>
      <c r="AB125" s="3">
        <f>Assumptions!$E$45</f>
        <v>6.9899151946608562E-3</v>
      </c>
      <c r="AC125" s="5">
        <f t="shared" si="32"/>
        <v>37100.774134065883</v>
      </c>
      <c r="AD125" s="4">
        <f>AC125*Assumptions!$E$43</f>
        <v>33.226544325335233</v>
      </c>
      <c r="AE125" s="2">
        <f>AD125*Assumptions!$D$44*-1</f>
        <v>-4.9839816488002846</v>
      </c>
      <c r="AF125" s="2">
        <f>AC125*Assumptions!$E$46*-1</f>
        <v>-1.2364658021098722</v>
      </c>
      <c r="AG125" s="5">
        <f t="shared" si="33"/>
        <v>37094.553686614971</v>
      </c>
      <c r="AH125" s="20">
        <f>Model_30y[[#This Row],[Mortgage Payment]]+Model_30y[[#This Row],[Total Upkeep]]+Model_30y[[#This Row],[Monthly Investment]]</f>
        <v>-3866.8693713795815</v>
      </c>
      <c r="AI125" s="5">
        <f>Model_Renter!D125*-1</f>
        <v>3978.7041765579902</v>
      </c>
      <c r="AJ125" s="5">
        <f t="shared" si="26"/>
        <v>111.83480517840871</v>
      </c>
    </row>
    <row r="126" spans="1:36" x14ac:dyDescent="0.25">
      <c r="A126" s="17">
        <f t="shared" si="27"/>
        <v>124</v>
      </c>
      <c r="B126" s="17">
        <f t="shared" si="22"/>
        <v>11</v>
      </c>
      <c r="C126" s="23">
        <f>IFERROR(PPMT(Assumptions!$E$17, A126, 180, Assumptions!$D$8), 0)</f>
        <v>-2153.6821778752665</v>
      </c>
      <c r="D126" s="38">
        <f>IFERROR(IPMT(Assumptions!$E$17,A126,180,Assumptions!$D$8), 0)</f>
        <v>-687.95083392343031</v>
      </c>
      <c r="E126" s="2">
        <f t="shared" si="28"/>
        <v>-2841.6330117986968</v>
      </c>
      <c r="F126" s="2">
        <f>IF(I125&gt;1, Assumptions!$E$19, 0)*-1</f>
        <v>-2841.6330117986968</v>
      </c>
      <c r="G126" s="24">
        <f t="shared" si="23"/>
        <v>1</v>
      </c>
      <c r="H126" s="20">
        <f t="shared" si="29"/>
        <v>201035.56239871011</v>
      </c>
      <c r="I126" s="2">
        <f>MAX(Assumptions!$D$8-SUM(Model_15y!H126), 0)</f>
        <v>138964.43760128989</v>
      </c>
      <c r="J126" s="2">
        <f>J125*(1+(Assumptions!$E$51))</f>
        <v>703631.08982405416</v>
      </c>
      <c r="K126" s="22">
        <f t="shared" si="18"/>
        <v>564666.65222276421</v>
      </c>
      <c r="L126" s="5">
        <f t="shared" si="30"/>
        <v>286035.56239871017</v>
      </c>
      <c r="M126" s="63">
        <f>L126/Assumptions!$D$6</f>
        <v>0.67302485270284751</v>
      </c>
      <c r="N126" s="24">
        <f t="shared" si="34"/>
        <v>0</v>
      </c>
      <c r="O126" s="22">
        <f>N126*Assumptions!$E$25*-1</f>
        <v>0</v>
      </c>
      <c r="P126" s="5">
        <f>Assumptions!$E$35*J126*-1</f>
        <v>-1449.3648394085621</v>
      </c>
      <c r="Q126" s="5">
        <f>J126*Assumptions!$E$36*-1</f>
        <v>-583.68880744798093</v>
      </c>
      <c r="R126" s="5">
        <f>R114+R114*Assumptions!$D$51</f>
        <v>-529.25501248377043</v>
      </c>
      <c r="S126" s="5">
        <f>S114+(S114*Assumptions!$D$51)</f>
        <v>0</v>
      </c>
      <c r="T126" s="5">
        <f t="shared" si="24"/>
        <v>0</v>
      </c>
      <c r="U126" s="22">
        <f t="shared" si="19"/>
        <v>-2562.3086593403136</v>
      </c>
      <c r="V126" s="5">
        <f>MAX(Assumptions!$E$18:$E$19)-U126</f>
        <v>5403.9416711390104</v>
      </c>
      <c r="W126" s="5">
        <f t="shared" si="20"/>
        <v>-2841.6330117986968</v>
      </c>
      <c r="X126" s="5">
        <f t="shared" si="25"/>
        <v>-2562.3086593403136</v>
      </c>
      <c r="Y126" s="5">
        <f>D126*Assumptions!$D$44*-1</f>
        <v>103.19262508851455</v>
      </c>
      <c r="Z126" s="5">
        <f t="shared" si="21"/>
        <v>103.19262508851455</v>
      </c>
      <c r="AA126" s="5">
        <f t="shared" si="31"/>
        <v>37094.553686614971</v>
      </c>
      <c r="AB126" s="3">
        <f>Assumptions!$E$45</f>
        <v>6.9899151946608562E-3</v>
      </c>
      <c r="AC126" s="5">
        <f t="shared" si="32"/>
        <v>37457.03409615672</v>
      </c>
      <c r="AD126" s="4">
        <f>AC126*Assumptions!$E$43</f>
        <v>33.54560201882105</v>
      </c>
      <c r="AE126" s="2">
        <f>AD126*Assumptions!$D$44*-1</f>
        <v>-5.0318403028231575</v>
      </c>
      <c r="AF126" s="2">
        <f>AC126*Assumptions!$E$46*-1</f>
        <v>-1.2483389575916015</v>
      </c>
      <c r="AG126" s="5">
        <f t="shared" si="33"/>
        <v>37450.753916896305</v>
      </c>
      <c r="AH126" s="20">
        <f>Model_30y[[#This Row],[Mortgage Payment]]+Model_30y[[#This Row],[Total Upkeep]]+Model_30y[[#This Row],[Monthly Investment]]</f>
        <v>-3875.6075347880414</v>
      </c>
      <c r="AI126" s="5">
        <f>Model_Renter!D126*-1</f>
        <v>3978.7041765579902</v>
      </c>
      <c r="AJ126" s="5">
        <f t="shared" si="26"/>
        <v>103.09664176994875</v>
      </c>
    </row>
    <row r="127" spans="1:36" x14ac:dyDescent="0.25">
      <c r="A127" s="17">
        <f t="shared" si="27"/>
        <v>125</v>
      </c>
      <c r="B127" s="17">
        <f t="shared" si="22"/>
        <v>11</v>
      </c>
      <c r="C127" s="23">
        <f>IFERROR(PPMT(Assumptions!$E$17, A127, 180, Assumptions!$D$8), 0)</f>
        <v>-2164.1813784924084</v>
      </c>
      <c r="D127" s="38">
        <f>IFERROR(IPMT(Assumptions!$E$17,A127,180,Assumptions!$D$8), 0)</f>
        <v>-677.45163330628839</v>
      </c>
      <c r="E127" s="2">
        <f t="shared" si="28"/>
        <v>-2841.6330117986968</v>
      </c>
      <c r="F127" s="2">
        <f>IF(I126&gt;1, Assumptions!$E$19, 0)*-1</f>
        <v>-2841.6330117986968</v>
      </c>
      <c r="G127" s="24">
        <f t="shared" si="23"/>
        <v>1</v>
      </c>
      <c r="H127" s="20">
        <f t="shared" si="29"/>
        <v>203199.74377720253</v>
      </c>
      <c r="I127" s="2">
        <f>MAX(Assumptions!$D$8-SUM(Model_15y!H127), 0)</f>
        <v>136800.25622279747</v>
      </c>
      <c r="J127" s="2">
        <f>J126*(1+(Assumptions!$E$51))</f>
        <v>706497.76998202072</v>
      </c>
      <c r="K127" s="22">
        <f t="shared" si="18"/>
        <v>569697.51375922328</v>
      </c>
      <c r="L127" s="5">
        <f t="shared" si="30"/>
        <v>288199.74377720256</v>
      </c>
      <c r="M127" s="63">
        <f>L127/Assumptions!$D$6</f>
        <v>0.67811704418165308</v>
      </c>
      <c r="N127" s="24">
        <f t="shared" si="34"/>
        <v>0</v>
      </c>
      <c r="O127" s="22">
        <f>N127*Assumptions!$E$25*-1</f>
        <v>0</v>
      </c>
      <c r="P127" s="5">
        <f>Assumptions!$E$35*J127*-1</f>
        <v>-1455.2697311719803</v>
      </c>
      <c r="Q127" s="5">
        <f>J127*Assumptions!$E$36*-1</f>
        <v>-586.06682790065406</v>
      </c>
      <c r="R127" s="5">
        <f>R115+R115*Assumptions!$D$51</f>
        <v>-529.25501248377043</v>
      </c>
      <c r="S127" s="5">
        <f>S115+(S115*Assumptions!$D$51)</f>
        <v>0</v>
      </c>
      <c r="T127" s="5">
        <f t="shared" si="24"/>
        <v>0</v>
      </c>
      <c r="U127" s="22">
        <f t="shared" si="19"/>
        <v>-2570.5915715564047</v>
      </c>
      <c r="V127" s="5">
        <f>MAX(Assumptions!$E$18:$E$19)-U127</f>
        <v>5412.2245833551015</v>
      </c>
      <c r="W127" s="5">
        <f t="shared" si="20"/>
        <v>-2841.6330117986968</v>
      </c>
      <c r="X127" s="5">
        <f t="shared" si="25"/>
        <v>-2570.5915715564047</v>
      </c>
      <c r="Y127" s="5">
        <f>D127*Assumptions!$D$44*-1</f>
        <v>101.61774499594326</v>
      </c>
      <c r="Z127" s="5">
        <f t="shared" si="21"/>
        <v>101.61774499594326</v>
      </c>
      <c r="AA127" s="5">
        <f t="shared" si="31"/>
        <v>37450.753916896305</v>
      </c>
      <c r="AB127" s="3">
        <f>Assumptions!$E$45</f>
        <v>6.9899151946608562E-3</v>
      </c>
      <c r="AC127" s="5">
        <f t="shared" si="32"/>
        <v>37814.149255747463</v>
      </c>
      <c r="AD127" s="4">
        <f>AC127*Assumptions!$E$43</f>
        <v>33.865425606234986</v>
      </c>
      <c r="AE127" s="2">
        <f>AD127*Assumptions!$D$44*-1</f>
        <v>-5.0798138409352473</v>
      </c>
      <c r="AF127" s="2">
        <f>AC127*Assumptions!$E$46*-1</f>
        <v>-1.260240614431789</v>
      </c>
      <c r="AG127" s="5">
        <f t="shared" si="33"/>
        <v>37807.809201292097</v>
      </c>
      <c r="AH127" s="20">
        <f>Model_30y[[#This Row],[Mortgage Payment]]+Model_30y[[#This Row],[Total Upkeep]]+Model_30y[[#This Row],[Monthly Investment]]</f>
        <v>-3884.3820444955272</v>
      </c>
      <c r="AI127" s="5">
        <f>Model_Renter!D127*-1</f>
        <v>3978.7041765579902</v>
      </c>
      <c r="AJ127" s="5">
        <f t="shared" si="26"/>
        <v>94.32213206246297</v>
      </c>
    </row>
    <row r="128" spans="1:36" x14ac:dyDescent="0.25">
      <c r="A128" s="17">
        <f t="shared" si="27"/>
        <v>126</v>
      </c>
      <c r="B128" s="17">
        <f t="shared" si="22"/>
        <v>11</v>
      </c>
      <c r="C128" s="23">
        <f>IFERROR(PPMT(Assumptions!$E$17, A128, 180, Assumptions!$D$8), 0)</f>
        <v>-2174.731762712559</v>
      </c>
      <c r="D128" s="38">
        <f>IFERROR(IPMT(Assumptions!$E$17,A128,180,Assumptions!$D$8), 0)</f>
        <v>-666.90124908613791</v>
      </c>
      <c r="E128" s="2">
        <f t="shared" si="28"/>
        <v>-2841.6330117986968</v>
      </c>
      <c r="F128" s="2">
        <f>IF(I127&gt;1, Assumptions!$E$19, 0)*-1</f>
        <v>-2841.6330117986968</v>
      </c>
      <c r="G128" s="24">
        <f t="shared" si="23"/>
        <v>1</v>
      </c>
      <c r="H128" s="20">
        <f t="shared" si="29"/>
        <v>205374.47553991509</v>
      </c>
      <c r="I128" s="2">
        <f>MAX(Assumptions!$D$8-SUM(Model_15y!H128), 0)</f>
        <v>134625.52446008491</v>
      </c>
      <c r="J128" s="2">
        <f>J127*(1+(Assumptions!$E$51))</f>
        <v>709376.12934979901</v>
      </c>
      <c r="K128" s="22">
        <f t="shared" si="18"/>
        <v>574750.60488971416</v>
      </c>
      <c r="L128" s="5">
        <f t="shared" si="30"/>
        <v>290374.47553991509</v>
      </c>
      <c r="M128" s="63">
        <f>L128/Assumptions!$D$6</f>
        <v>0.68323406009391785</v>
      </c>
      <c r="N128" s="24">
        <f t="shared" si="34"/>
        <v>0</v>
      </c>
      <c r="O128" s="22">
        <f>N128*Assumptions!$E$25*-1</f>
        <v>0</v>
      </c>
      <c r="P128" s="5">
        <f>Assumptions!$E$35*J128*-1</f>
        <v>-1461.1986801953717</v>
      </c>
      <c r="Q128" s="5">
        <f>J128*Assumptions!$E$36*-1</f>
        <v>-588.45453670301151</v>
      </c>
      <c r="R128" s="5">
        <f>R116+R116*Assumptions!$D$51</f>
        <v>-529.25501248377043</v>
      </c>
      <c r="S128" s="5">
        <f>S116+(S116*Assumptions!$D$51)</f>
        <v>0</v>
      </c>
      <c r="T128" s="5">
        <f t="shared" si="24"/>
        <v>0</v>
      </c>
      <c r="U128" s="22">
        <f t="shared" si="19"/>
        <v>-2578.9082293821534</v>
      </c>
      <c r="V128" s="5">
        <f>MAX(Assumptions!$E$18:$E$19)-U128</f>
        <v>5420.5412411808502</v>
      </c>
      <c r="W128" s="5">
        <f t="shared" si="20"/>
        <v>-2841.6330117986968</v>
      </c>
      <c r="X128" s="5">
        <f t="shared" si="25"/>
        <v>-2578.9082293821534</v>
      </c>
      <c r="Y128" s="5">
        <f>D128*Assumptions!$D$44*-1</f>
        <v>100.03518736292068</v>
      </c>
      <c r="Z128" s="5">
        <f t="shared" si="21"/>
        <v>100.03518736292068</v>
      </c>
      <c r="AA128" s="5">
        <f t="shared" si="31"/>
        <v>37807.809201292097</v>
      </c>
      <c r="AB128" s="3">
        <f>Assumptions!$E$45</f>
        <v>6.9899151946608562E-3</v>
      </c>
      <c r="AC128" s="5">
        <f t="shared" si="32"/>
        <v>38172.117768667966</v>
      </c>
      <c r="AD128" s="4">
        <f>AC128*Assumptions!$E$43</f>
        <v>34.186013435983426</v>
      </c>
      <c r="AE128" s="2">
        <f>AD128*Assumptions!$D$44*-1</f>
        <v>-5.1279020153975141</v>
      </c>
      <c r="AF128" s="2">
        <f>AC128*Assumptions!$E$46*-1</f>
        <v>-1.2721707111693641</v>
      </c>
      <c r="AG128" s="5">
        <f t="shared" si="33"/>
        <v>38165.717695941399</v>
      </c>
      <c r="AH128" s="20">
        <f>Model_30y[[#This Row],[Mortgage Payment]]+Model_30y[[#This Row],[Total Upkeep]]+Model_30y[[#This Row],[Monthly Investment]]</f>
        <v>-3893.1930527586228</v>
      </c>
      <c r="AI128" s="5">
        <f>Model_Renter!D128*-1</f>
        <v>3978.7041765579902</v>
      </c>
      <c r="AJ128" s="5">
        <f t="shared" si="26"/>
        <v>85.511123799367397</v>
      </c>
    </row>
    <row r="129" spans="1:36" x14ac:dyDescent="0.25">
      <c r="A129" s="17">
        <f t="shared" si="27"/>
        <v>127</v>
      </c>
      <c r="B129" s="17">
        <f t="shared" si="22"/>
        <v>11</v>
      </c>
      <c r="C129" s="23">
        <f>IFERROR(PPMT(Assumptions!$E$17, A129, 180, Assumptions!$D$8), 0)</f>
        <v>-2185.3335800557825</v>
      </c>
      <c r="D129" s="38">
        <f>IFERROR(IPMT(Assumptions!$E$17,A129,180,Assumptions!$D$8), 0)</f>
        <v>-656.29943174291407</v>
      </c>
      <c r="E129" s="2">
        <f t="shared" si="28"/>
        <v>-2841.6330117986963</v>
      </c>
      <c r="F129" s="2">
        <f>IF(I128&gt;1, Assumptions!$E$19, 0)*-1</f>
        <v>-2841.6330117986968</v>
      </c>
      <c r="G129" s="24">
        <f t="shared" si="23"/>
        <v>1</v>
      </c>
      <c r="H129" s="20">
        <f t="shared" si="29"/>
        <v>207559.80911997086</v>
      </c>
      <c r="I129" s="2">
        <f>MAX(Assumptions!$D$8-SUM(Model_15y!H129), 0)</f>
        <v>132440.19088002914</v>
      </c>
      <c r="J129" s="2">
        <f>J128*(1+(Assumptions!$E$51))</f>
        <v>712266.2155099354</v>
      </c>
      <c r="K129" s="22">
        <f t="shared" si="18"/>
        <v>579826.02462990629</v>
      </c>
      <c r="L129" s="5">
        <f t="shared" si="30"/>
        <v>292559.80911997089</v>
      </c>
      <c r="M129" s="63">
        <f>L129/Assumptions!$D$6</f>
        <v>0.68837602145875498</v>
      </c>
      <c r="N129" s="24">
        <f t="shared" si="34"/>
        <v>0</v>
      </c>
      <c r="O129" s="22">
        <f>N129*Assumptions!$E$25*-1</f>
        <v>0</v>
      </c>
      <c r="P129" s="5">
        <f>Assumptions!$E$35*J129*-1</f>
        <v>-1467.1517844909911</v>
      </c>
      <c r="Q129" s="5">
        <f>J129*Assumptions!$E$36*-1</f>
        <v>-590.85197332658902</v>
      </c>
      <c r="R129" s="5">
        <f>R117+R117*Assumptions!$D$51</f>
        <v>-529.25501248377043</v>
      </c>
      <c r="S129" s="5">
        <f>S117+(S117*Assumptions!$D$51)</f>
        <v>0</v>
      </c>
      <c r="T129" s="5">
        <f t="shared" si="24"/>
        <v>0</v>
      </c>
      <c r="U129" s="22">
        <f t="shared" si="19"/>
        <v>-2587.2587703013505</v>
      </c>
      <c r="V129" s="5">
        <f>MAX(Assumptions!$E$18:$E$19)-U129</f>
        <v>5428.8917821000468</v>
      </c>
      <c r="W129" s="5">
        <f t="shared" si="20"/>
        <v>-2841.6330117986968</v>
      </c>
      <c r="X129" s="5">
        <f t="shared" si="25"/>
        <v>-2587.2587703013505</v>
      </c>
      <c r="Y129" s="5">
        <f>D129*Assumptions!$D$44*-1</f>
        <v>98.444914761437104</v>
      </c>
      <c r="Z129" s="5">
        <f t="shared" si="21"/>
        <v>98.44491476143665</v>
      </c>
      <c r="AA129" s="5">
        <f t="shared" si="31"/>
        <v>38165.717695941399</v>
      </c>
      <c r="AB129" s="3">
        <f>Assumptions!$E$45</f>
        <v>6.9899151946608562E-3</v>
      </c>
      <c r="AC129" s="5">
        <f t="shared" si="32"/>
        <v>38530.937740740832</v>
      </c>
      <c r="AD129" s="4">
        <f>AC129*Assumptions!$E$43</f>
        <v>34.507363811687519</v>
      </c>
      <c r="AE129" s="2">
        <f>AD129*Assumptions!$D$44*-1</f>
        <v>-5.176104571753128</v>
      </c>
      <c r="AF129" s="2">
        <f>AC129*Assumptions!$E$46*-1</f>
        <v>-1.2841291846766525</v>
      </c>
      <c r="AG129" s="5">
        <f t="shared" si="33"/>
        <v>38524.477506984404</v>
      </c>
      <c r="AH129" s="20">
        <f>Model_30y[[#This Row],[Mortgage Payment]]+Model_30y[[#This Row],[Total Upkeep]]+Model_30y[[#This Row],[Monthly Investment]]</f>
        <v>-3902.0407124776157</v>
      </c>
      <c r="AI129" s="5">
        <f>Model_Renter!D129*-1</f>
        <v>3978.7041765579902</v>
      </c>
      <c r="AJ129" s="5">
        <f t="shared" si="26"/>
        <v>76.663464080374524</v>
      </c>
    </row>
    <row r="130" spans="1:36" x14ac:dyDescent="0.25">
      <c r="A130" s="17">
        <f t="shared" si="27"/>
        <v>128</v>
      </c>
      <c r="B130" s="17">
        <f t="shared" si="22"/>
        <v>11</v>
      </c>
      <c r="C130" s="23">
        <f>IFERROR(PPMT(Assumptions!$E$17, A130, 180, Assumptions!$D$8), 0)</f>
        <v>-2195.987081258555</v>
      </c>
      <c r="D130" s="38">
        <f>IFERROR(IPMT(Assumptions!$E$17,A130,180,Assumptions!$D$8), 0)</f>
        <v>-645.64593054014222</v>
      </c>
      <c r="E130" s="2">
        <f t="shared" si="28"/>
        <v>-2841.6330117986972</v>
      </c>
      <c r="F130" s="2">
        <f>IF(I129&gt;1, Assumptions!$E$19, 0)*-1</f>
        <v>-2841.6330117986968</v>
      </c>
      <c r="G130" s="24">
        <f t="shared" si="23"/>
        <v>1</v>
      </c>
      <c r="H130" s="20">
        <f t="shared" si="29"/>
        <v>209755.79620122942</v>
      </c>
      <c r="I130" s="2">
        <f>MAX(Assumptions!$D$8-SUM(Model_15y!H130), 0)</f>
        <v>130244.20379877058</v>
      </c>
      <c r="J130" s="2">
        <f>J129*(1+(Assumptions!$E$51))</f>
        <v>715168.0762388336</v>
      </c>
      <c r="K130" s="22">
        <f t="shared" ref="K130:K193" si="35">J130-I130</f>
        <v>584923.87244006305</v>
      </c>
      <c r="L130" s="5">
        <f t="shared" si="30"/>
        <v>294755.79620122944</v>
      </c>
      <c r="M130" s="63">
        <f>L130/Assumptions!$D$6</f>
        <v>0.69354304988524573</v>
      </c>
      <c r="N130" s="24">
        <f t="shared" si="34"/>
        <v>0</v>
      </c>
      <c r="O130" s="22">
        <f>N130*Assumptions!$E$25*-1</f>
        <v>0</v>
      </c>
      <c r="P130" s="5">
        <f>Assumptions!$E$35*J130*-1</f>
        <v>-1473.1291424704079</v>
      </c>
      <c r="Q130" s="5">
        <f>J130*Assumptions!$E$36*-1</f>
        <v>-593.25917740373438</v>
      </c>
      <c r="R130" s="5">
        <f>R118+R118*Assumptions!$D$51</f>
        <v>-529.25501248377043</v>
      </c>
      <c r="S130" s="5">
        <f>S118+(S118*Assumptions!$D$51)</f>
        <v>0</v>
      </c>
      <c r="T130" s="5">
        <f t="shared" si="24"/>
        <v>0</v>
      </c>
      <c r="U130" s="22">
        <f t="shared" ref="U130:U193" si="36">SUM(P130:T130)</f>
        <v>-2595.6433323579126</v>
      </c>
      <c r="V130" s="5">
        <f>MAX(Assumptions!$E$18:$E$19)-U130</f>
        <v>5437.2763441566094</v>
      </c>
      <c r="W130" s="5">
        <f t="shared" ref="W130:W193" si="37">F130</f>
        <v>-2841.6330117986968</v>
      </c>
      <c r="X130" s="5">
        <f t="shared" si="25"/>
        <v>-2595.6433323579126</v>
      </c>
      <c r="Y130" s="5">
        <f>D130*Assumptions!$D$44*-1</f>
        <v>96.84688958102133</v>
      </c>
      <c r="Z130" s="5">
        <f t="shared" ref="Z130:Z193" si="38">SUM(V130:Y130)</f>
        <v>96.84688958102133</v>
      </c>
      <c r="AA130" s="5">
        <f t="shared" si="31"/>
        <v>38524.477506984404</v>
      </c>
      <c r="AB130" s="3">
        <f>Assumptions!$E$45</f>
        <v>6.9899151946608562E-3</v>
      </c>
      <c r="AC130" s="5">
        <f t="shared" si="32"/>
        <v>38890.607227257868</v>
      </c>
      <c r="AD130" s="4">
        <f>AC130*Assumptions!$E$43</f>
        <v>34.829474991714243</v>
      </c>
      <c r="AE130" s="2">
        <f>AD130*Assumptions!$D$44*-1</f>
        <v>-5.2244212487571362</v>
      </c>
      <c r="AF130" s="2">
        <f>AC130*Assumptions!$E$46*-1</f>
        <v>-1.2961159701419291</v>
      </c>
      <c r="AG130" s="5">
        <f t="shared" si="33"/>
        <v>38884.086690038966</v>
      </c>
      <c r="AH130" s="20">
        <f>Model_30y[[#This Row],[Mortgage Payment]]+Model_30y[[#This Row],[Total Upkeep]]+Model_30y[[#This Row],[Monthly Investment]]</f>
        <v>-3910.9251771992522</v>
      </c>
      <c r="AI130" s="5">
        <f>Model_Renter!D130*-1</f>
        <v>3978.7041765579902</v>
      </c>
      <c r="AJ130" s="5">
        <f t="shared" si="26"/>
        <v>67.77899935873802</v>
      </c>
    </row>
    <row r="131" spans="1:36" x14ac:dyDescent="0.25">
      <c r="A131" s="17">
        <f t="shared" si="27"/>
        <v>129</v>
      </c>
      <c r="B131" s="17">
        <f t="shared" ref="B131:B194" si="39">ROUNDUP(A131/12,0)</f>
        <v>11</v>
      </c>
      <c r="C131" s="23">
        <f>IFERROR(PPMT(Assumptions!$E$17, A131, 180, Assumptions!$D$8), 0)</f>
        <v>-2206.6925182796899</v>
      </c>
      <c r="D131" s="38">
        <f>IFERROR(IPMT(Assumptions!$E$17,A131,180,Assumptions!$D$8), 0)</f>
        <v>-634.94049351900685</v>
      </c>
      <c r="E131" s="2">
        <f t="shared" si="28"/>
        <v>-2841.6330117986968</v>
      </c>
      <c r="F131" s="2">
        <f>IF(I130&gt;1, Assumptions!$E$19, 0)*-1</f>
        <v>-2841.6330117986968</v>
      </c>
      <c r="G131" s="24">
        <f t="shared" ref="G131:G194" si="40">IF(E131-F131&lt;1, 1, 0)</f>
        <v>1</v>
      </c>
      <c r="H131" s="20">
        <f t="shared" si="29"/>
        <v>211962.4887195091</v>
      </c>
      <c r="I131" s="2">
        <f>MAX(Assumptions!$D$8-SUM(Model_15y!H131), 0)</f>
        <v>128037.5112804909</v>
      </c>
      <c r="J131" s="2">
        <f>J130*(1+(Assumptions!$E$51))</f>
        <v>718081.75950754422</v>
      </c>
      <c r="K131" s="22">
        <f t="shared" si="35"/>
        <v>590044.24822705332</v>
      </c>
      <c r="L131" s="5">
        <f t="shared" si="30"/>
        <v>296962.48871950916</v>
      </c>
      <c r="M131" s="63">
        <f>L131/Assumptions!$D$6</f>
        <v>0.69873526757531568</v>
      </c>
      <c r="N131" s="24">
        <f t="shared" si="34"/>
        <v>0</v>
      </c>
      <c r="O131" s="22">
        <f>N131*Assumptions!$E$25*-1</f>
        <v>0</v>
      </c>
      <c r="P131" s="5">
        <f>Assumptions!$E$35*J131*-1</f>
        <v>-1479.1308529461319</v>
      </c>
      <c r="Q131" s="5">
        <f>J131*Assumptions!$E$36*-1</f>
        <v>-595.67618872826256</v>
      </c>
      <c r="R131" s="5">
        <f>R119+R119*Assumptions!$D$51</f>
        <v>-529.25501248377043</v>
      </c>
      <c r="S131" s="5">
        <f>S119+(S119*Assumptions!$D$51)</f>
        <v>0</v>
      </c>
      <c r="T131" s="5">
        <f t="shared" ref="T131:T194" si="41">O131</f>
        <v>0</v>
      </c>
      <c r="U131" s="22">
        <f t="shared" si="36"/>
        <v>-2604.0620541581648</v>
      </c>
      <c r="V131" s="5">
        <f>MAX(Assumptions!$E$18:$E$19)-U131</f>
        <v>5445.6950659568611</v>
      </c>
      <c r="W131" s="5">
        <f t="shared" si="37"/>
        <v>-2841.6330117986968</v>
      </c>
      <c r="X131" s="5">
        <f t="shared" ref="X131:X194" si="42">U131</f>
        <v>-2604.0620541581648</v>
      </c>
      <c r="Y131" s="5">
        <f>D131*Assumptions!$D$44*-1</f>
        <v>95.241074027851027</v>
      </c>
      <c r="Z131" s="5">
        <f t="shared" si="38"/>
        <v>95.241074027850573</v>
      </c>
      <c r="AA131" s="5">
        <f t="shared" si="31"/>
        <v>38884.086690038966</v>
      </c>
      <c r="AB131" s="3">
        <f>Assumptions!$E$45</f>
        <v>6.9899151946608562E-3</v>
      </c>
      <c r="AC131" s="5">
        <f t="shared" si="32"/>
        <v>39251.124232452028</v>
      </c>
      <c r="AD131" s="4">
        <f>AC131*Assumptions!$E$43</f>
        <v>35.152345188703528</v>
      </c>
      <c r="AE131" s="2">
        <f>AD131*Assumptions!$D$44*-1</f>
        <v>-5.2728517783055286</v>
      </c>
      <c r="AF131" s="2">
        <f>AC131*Assumptions!$E$46*-1</f>
        <v>-1.3081310010518192</v>
      </c>
      <c r="AG131" s="5">
        <f t="shared" si="33"/>
        <v>39244.543249672672</v>
      </c>
      <c r="AH131" s="20">
        <f>Model_30y[[#This Row],[Mortgage Payment]]+Model_30y[[#This Row],[Total Upkeep]]+Model_30y[[#This Row],[Monthly Investment]]</f>
        <v>-3919.8466011195032</v>
      </c>
      <c r="AI131" s="5">
        <f>Model_Renter!D131*-1</f>
        <v>3978.7041765579902</v>
      </c>
      <c r="AJ131" s="5">
        <f t="shared" ref="AJ131:AJ194" si="43">SUM(AH131:AI131)</f>
        <v>58.857575438486947</v>
      </c>
    </row>
    <row r="132" spans="1:36" x14ac:dyDescent="0.25">
      <c r="A132" s="17">
        <f t="shared" ref="A132:A195" si="44">A131+1</f>
        <v>130</v>
      </c>
      <c r="B132" s="17">
        <f t="shared" si="39"/>
        <v>11</v>
      </c>
      <c r="C132" s="23">
        <f>IFERROR(PPMT(Assumptions!$E$17, A132, 180, Assumptions!$D$8), 0)</f>
        <v>-2217.4501443063036</v>
      </c>
      <c r="D132" s="38">
        <f>IFERROR(IPMT(Assumptions!$E$17,A132,180,Assumptions!$D$8), 0)</f>
        <v>-624.18286749239337</v>
      </c>
      <c r="E132" s="2">
        <f t="shared" ref="E132:E195" si="45">SUM(C132:D132)</f>
        <v>-2841.6330117986972</v>
      </c>
      <c r="F132" s="2">
        <f>IF(I131&gt;1, Assumptions!$E$19, 0)*-1</f>
        <v>-2841.6330117986968</v>
      </c>
      <c r="G132" s="24">
        <f t="shared" si="40"/>
        <v>1</v>
      </c>
      <c r="H132" s="20">
        <f t="shared" ref="H132:H195" si="46">H131+C132*-1</f>
        <v>214179.93886381539</v>
      </c>
      <c r="I132" s="2">
        <f>MAX(Assumptions!$D$8-SUM(Model_15y!H132), 0)</f>
        <v>125820.06113618461</v>
      </c>
      <c r="J132" s="2">
        <f>J131*(1+(Assumptions!$E$51))</f>
        <v>721007.31348255801</v>
      </c>
      <c r="K132" s="22">
        <f t="shared" si="35"/>
        <v>595187.2523463734</v>
      </c>
      <c r="L132" s="5">
        <f t="shared" ref="L132:L195" si="47">L131+C132*-1</f>
        <v>299179.93886381545</v>
      </c>
      <c r="M132" s="63">
        <f>L132/Assumptions!$D$6</f>
        <v>0.70395279732662464</v>
      </c>
      <c r="N132" s="24">
        <f t="shared" si="34"/>
        <v>0</v>
      </c>
      <c r="O132" s="22">
        <f>N132*Assumptions!$E$25*-1</f>
        <v>0</v>
      </c>
      <c r="P132" s="5">
        <f>Assumptions!$E$35*J132*-1</f>
        <v>-1485.157015133248</v>
      </c>
      <c r="Q132" s="5">
        <f>J132*Assumptions!$E$36*-1</f>
        <v>-598.10304725611343</v>
      </c>
      <c r="R132" s="5">
        <f>R120+R120*Assumptions!$D$51</f>
        <v>-529.25501248377043</v>
      </c>
      <c r="S132" s="5">
        <f>S120+(S120*Assumptions!$D$51)</f>
        <v>0</v>
      </c>
      <c r="T132" s="5">
        <f t="shared" si="41"/>
        <v>0</v>
      </c>
      <c r="U132" s="22">
        <f t="shared" si="36"/>
        <v>-2612.5150748731317</v>
      </c>
      <c r="V132" s="5">
        <f>MAX(Assumptions!$E$18:$E$19)-U132</f>
        <v>5454.1480866718284</v>
      </c>
      <c r="W132" s="5">
        <f t="shared" si="37"/>
        <v>-2841.6330117986968</v>
      </c>
      <c r="X132" s="5">
        <f t="shared" si="42"/>
        <v>-2612.5150748731317</v>
      </c>
      <c r="Y132" s="5">
        <f>D132*Assumptions!$D$44*-1</f>
        <v>93.627430123859</v>
      </c>
      <c r="Z132" s="5">
        <f t="shared" si="38"/>
        <v>93.627430123859</v>
      </c>
      <c r="AA132" s="5">
        <f t="shared" ref="AA132:AA195" si="48">AG131</f>
        <v>39244.543249672672</v>
      </c>
      <c r="AB132" s="3">
        <f>Assumptions!$E$45</f>
        <v>6.9899151946608562E-3</v>
      </c>
      <c r="AC132" s="5">
        <f t="shared" ref="AC132:AC195" si="49">(AA132+Z132)+(AA132*AB132)</f>
        <v>39612.486708964941</v>
      </c>
      <c r="AD132" s="4">
        <f>AC132*Assumptions!$E$43</f>
        <v>35.475972569091383</v>
      </c>
      <c r="AE132" s="2">
        <f>AD132*Assumptions!$D$44*-1</f>
        <v>-5.3213958853637076</v>
      </c>
      <c r="AF132" s="2">
        <f>AC132*Assumptions!$E$46*-1</f>
        <v>-1.3201742091735518</v>
      </c>
      <c r="AG132" s="5">
        <f t="shared" ref="AG132:AG195" si="50">AC132+SUM(AE132:AF132)</f>
        <v>39605.845138870405</v>
      </c>
      <c r="AH132" s="20">
        <f>Model_30y[[#This Row],[Mortgage Payment]]+Model_30y[[#This Row],[Total Upkeep]]+Model_30y[[#This Row],[Monthly Investment]]</f>
        <v>-3928.8051390863411</v>
      </c>
      <c r="AI132" s="5">
        <f>Model_Renter!D132*-1</f>
        <v>3978.7041765579902</v>
      </c>
      <c r="AJ132" s="5">
        <f t="shared" si="43"/>
        <v>49.899037471649081</v>
      </c>
    </row>
    <row r="133" spans="1:36" x14ac:dyDescent="0.25">
      <c r="A133" s="17">
        <f t="shared" si="44"/>
        <v>131</v>
      </c>
      <c r="B133" s="17">
        <f t="shared" si="39"/>
        <v>11</v>
      </c>
      <c r="C133" s="23">
        <f>IFERROR(PPMT(Assumptions!$E$17, A133, 180, Assumptions!$D$8), 0)</f>
        <v>-2228.2602137597969</v>
      </c>
      <c r="D133" s="38">
        <f>IFERROR(IPMT(Assumptions!$E$17,A133,180,Assumptions!$D$8), 0)</f>
        <v>-613.37279803889999</v>
      </c>
      <c r="E133" s="2">
        <f t="shared" si="45"/>
        <v>-2841.6330117986968</v>
      </c>
      <c r="F133" s="2">
        <f>IF(I132&gt;1, Assumptions!$E$19, 0)*-1</f>
        <v>-2841.6330117986968</v>
      </c>
      <c r="G133" s="24">
        <f t="shared" si="40"/>
        <v>1</v>
      </c>
      <c r="H133" s="20">
        <f t="shared" si="46"/>
        <v>216408.19907757518</v>
      </c>
      <c r="I133" s="2">
        <f>MAX(Assumptions!$D$8-SUM(Model_15y!H133), 0)</f>
        <v>123591.80092242482</v>
      </c>
      <c r="J133" s="2">
        <f>J132*(1+(Assumptions!$E$51))</f>
        <v>723944.78652660165</v>
      </c>
      <c r="K133" s="22">
        <f t="shared" si="35"/>
        <v>600352.98560417676</v>
      </c>
      <c r="L133" s="5">
        <f t="shared" si="47"/>
        <v>301408.19907757523</v>
      </c>
      <c r="M133" s="63">
        <f>L133/Assumptions!$D$6</f>
        <v>0.70919576253547112</v>
      </c>
      <c r="N133" s="24">
        <f t="shared" si="34"/>
        <v>0</v>
      </c>
      <c r="O133" s="22">
        <f>N133*Assumptions!$E$25*-1</f>
        <v>0</v>
      </c>
      <c r="P133" s="5">
        <f>Assumptions!$E$35*J133*-1</f>
        <v>-1491.2077286510544</v>
      </c>
      <c r="Q133" s="5">
        <f>J133*Assumptions!$E$36*-1</f>
        <v>-600.5397931060121</v>
      </c>
      <c r="R133" s="5">
        <f>R121+R121*Assumptions!$D$51</f>
        <v>-529.25501248377043</v>
      </c>
      <c r="S133" s="5">
        <f>S121+(S121*Assumptions!$D$51)</f>
        <v>0</v>
      </c>
      <c r="T133" s="5">
        <f t="shared" si="41"/>
        <v>0</v>
      </c>
      <c r="U133" s="22">
        <f t="shared" si="36"/>
        <v>-2621.0025342408367</v>
      </c>
      <c r="V133" s="5">
        <f>MAX(Assumptions!$E$18:$E$19)-U133</f>
        <v>5462.6355460395334</v>
      </c>
      <c r="W133" s="5">
        <f t="shared" si="37"/>
        <v>-2841.6330117986968</v>
      </c>
      <c r="X133" s="5">
        <f t="shared" si="42"/>
        <v>-2621.0025342408367</v>
      </c>
      <c r="Y133" s="5">
        <f>D133*Assumptions!$D$44*-1</f>
        <v>92.005919705834998</v>
      </c>
      <c r="Z133" s="5">
        <f t="shared" si="38"/>
        <v>92.005919705834998</v>
      </c>
      <c r="AA133" s="5">
        <f t="shared" si="48"/>
        <v>39605.845138870405</v>
      </c>
      <c r="AB133" s="3">
        <f>Assumptions!$E$45</f>
        <v>6.9899151946608562E-3</v>
      </c>
      <c r="AC133" s="5">
        <f t="shared" si="49"/>
        <v>39974.69255730982</v>
      </c>
      <c r="AD133" s="4">
        <f>AC133*Assumptions!$E$43</f>
        <v>35.800355252628876</v>
      </c>
      <c r="AE133" s="2">
        <f>AD133*Assumptions!$D$44*-1</f>
        <v>-5.370053287894331</v>
      </c>
      <c r="AF133" s="2">
        <f>AC133*Assumptions!$E$46*-1</f>
        <v>-1.332245524537061</v>
      </c>
      <c r="AG133" s="5">
        <f t="shared" si="50"/>
        <v>39967.99025849739</v>
      </c>
      <c r="AH133" s="20">
        <f>Model_30y[[#This Row],[Mortgage Payment]]+Model_30y[[#This Row],[Total Upkeep]]+Model_30y[[#This Row],[Monthly Investment]]</f>
        <v>-3937.8009466025278</v>
      </c>
      <c r="AI133" s="5">
        <f>Model_Renter!D133*-1</f>
        <v>3978.7041765579902</v>
      </c>
      <c r="AJ133" s="5">
        <f t="shared" si="43"/>
        <v>40.903229955462393</v>
      </c>
    </row>
    <row r="134" spans="1:36" x14ac:dyDescent="0.25">
      <c r="A134" s="17">
        <f t="shared" si="44"/>
        <v>132</v>
      </c>
      <c r="B134" s="17">
        <f t="shared" si="39"/>
        <v>11</v>
      </c>
      <c r="C134" s="23">
        <f>IFERROR(PPMT(Assumptions!$E$17, A134, 180, Assumptions!$D$8), 0)</f>
        <v>-2239.1229823018757</v>
      </c>
      <c r="D134" s="38">
        <f>IFERROR(IPMT(Assumptions!$E$17,A134,180,Assumptions!$D$8), 0)</f>
        <v>-602.51002949682106</v>
      </c>
      <c r="E134" s="2">
        <f t="shared" si="45"/>
        <v>-2841.6330117986968</v>
      </c>
      <c r="F134" s="2">
        <f>IF(I133&gt;1, Assumptions!$E$19, 0)*-1</f>
        <v>-2841.6330117986968</v>
      </c>
      <c r="G134" s="24">
        <f t="shared" si="40"/>
        <v>1</v>
      </c>
      <c r="H134" s="20">
        <f t="shared" si="46"/>
        <v>218647.32205987704</v>
      </c>
      <c r="I134" s="2">
        <f>MAX(Assumptions!$D$8-SUM(Model_15y!H134), 0)</f>
        <v>121352.67794012296</v>
      </c>
      <c r="J134" s="2">
        <f>J133*(1+(Assumptions!$E$51))</f>
        <v>726894.22719943791</v>
      </c>
      <c r="K134" s="22">
        <f t="shared" si="35"/>
        <v>605541.54925931501</v>
      </c>
      <c r="L134" s="5">
        <f t="shared" si="47"/>
        <v>303647.3220598771</v>
      </c>
      <c r="M134" s="63">
        <f>L134/Assumptions!$D$6</f>
        <v>0.71446428719971078</v>
      </c>
      <c r="N134" s="24">
        <f t="shared" si="34"/>
        <v>0</v>
      </c>
      <c r="O134" s="22">
        <f>N134*Assumptions!$E$25*-1</f>
        <v>0</v>
      </c>
      <c r="P134" s="5">
        <f>Assumptions!$E$35*J134*-1</f>
        <v>-1497.2830935247118</v>
      </c>
      <c r="Q134" s="5">
        <f>J134*Assumptions!$E$36*-1</f>
        <v>-602.9864665601325</v>
      </c>
      <c r="R134" s="5">
        <f>R122+R122*Assumptions!$D$51</f>
        <v>-529.25501248377043</v>
      </c>
      <c r="S134" s="5">
        <f>S122+(S122*Assumptions!$D$51)</f>
        <v>0</v>
      </c>
      <c r="T134" s="5">
        <f t="shared" si="41"/>
        <v>0</v>
      </c>
      <c r="U134" s="22">
        <f t="shared" si="36"/>
        <v>-2629.5245725686145</v>
      </c>
      <c r="V134" s="5">
        <f>MAX(Assumptions!$E$18:$E$19)-U134</f>
        <v>5471.1575843673108</v>
      </c>
      <c r="W134" s="5">
        <f t="shared" si="37"/>
        <v>-2841.6330117986968</v>
      </c>
      <c r="X134" s="5">
        <f t="shared" si="42"/>
        <v>-2629.5245725686145</v>
      </c>
      <c r="Y134" s="5">
        <f>D134*Assumptions!$D$44*-1</f>
        <v>90.376504424523162</v>
      </c>
      <c r="Z134" s="5">
        <f t="shared" si="38"/>
        <v>90.376504424522707</v>
      </c>
      <c r="AA134" s="5">
        <f t="shared" si="48"/>
        <v>39967.99025849739</v>
      </c>
      <c r="AB134" s="3">
        <f>Assumptions!$E$45</f>
        <v>6.9899151946608562E-3</v>
      </c>
      <c r="AC134" s="5">
        <f t="shared" si="49"/>
        <v>40337.739625329843</v>
      </c>
      <c r="AD134" s="4">
        <f>AC134*Assumptions!$E$43</f>
        <v>36.125491311897093</v>
      </c>
      <c r="AE134" s="2">
        <f>AD134*Assumptions!$D$44*-1</f>
        <v>-5.418823696784564</v>
      </c>
      <c r="AF134" s="2">
        <f>AC134*Assumptions!$E$46*-1</f>
        <v>-1.3443448754169349</v>
      </c>
      <c r="AG134" s="5">
        <f t="shared" si="50"/>
        <v>40330.976456757642</v>
      </c>
      <c r="AH134" s="20">
        <f>Model_30y[[#This Row],[Mortgage Payment]]+Model_30y[[#This Row],[Total Upkeep]]+Model_30y[[#This Row],[Monthly Investment]]</f>
        <v>-3946.8341798284182</v>
      </c>
      <c r="AI134" s="5">
        <f>Model_Renter!D134*-1</f>
        <v>3978.7041765579902</v>
      </c>
      <c r="AJ134" s="5">
        <f t="shared" si="43"/>
        <v>31.869996729571994</v>
      </c>
    </row>
    <row r="135" spans="1:36" x14ac:dyDescent="0.25">
      <c r="A135" s="17">
        <f t="shared" si="44"/>
        <v>133</v>
      </c>
      <c r="B135" s="17">
        <f t="shared" si="39"/>
        <v>12</v>
      </c>
      <c r="C135" s="23">
        <f>IFERROR(PPMT(Assumptions!$E$17, A135, 180, Assumptions!$D$8), 0)</f>
        <v>-2250.0387068405976</v>
      </c>
      <c r="D135" s="38">
        <f>IFERROR(IPMT(Assumptions!$E$17,A135,180,Assumptions!$D$8), 0)</f>
        <v>-591.59430495809931</v>
      </c>
      <c r="E135" s="2">
        <f t="shared" si="45"/>
        <v>-2841.6330117986968</v>
      </c>
      <c r="F135" s="2">
        <f>IF(I134&gt;1, Assumptions!$E$19, 0)*-1</f>
        <v>-2841.6330117986968</v>
      </c>
      <c r="G135" s="24">
        <f t="shared" si="40"/>
        <v>1</v>
      </c>
      <c r="H135" s="20">
        <f t="shared" si="46"/>
        <v>220897.36076671764</v>
      </c>
      <c r="I135" s="2">
        <f>MAX(Assumptions!$D$8-SUM(Model_15y!H135), 0)</f>
        <v>119102.63923328236</v>
      </c>
      <c r="J135" s="2">
        <f>J134*(1+(Assumptions!$E$51))</f>
        <v>729855.68425866787</v>
      </c>
      <c r="K135" s="22">
        <f t="shared" si="35"/>
        <v>610753.04502538545</v>
      </c>
      <c r="L135" s="5">
        <f t="shared" si="47"/>
        <v>305897.3607667177</v>
      </c>
      <c r="M135" s="63">
        <f>L135/Assumptions!$D$6</f>
        <v>0.71975849592168872</v>
      </c>
      <c r="N135" s="24">
        <f t="shared" si="34"/>
        <v>0</v>
      </c>
      <c r="O135" s="22">
        <f>N135*Assumptions!$E$25*-1</f>
        <v>0</v>
      </c>
      <c r="P135" s="5">
        <f>Assumptions!$E$35*J135*-1</f>
        <v>-1503.3832101868957</v>
      </c>
      <c r="Q135" s="5">
        <f>J135*Assumptions!$E$36*-1</f>
        <v>-605.44310806476324</v>
      </c>
      <c r="R135" s="5">
        <f>R123+R123*Assumptions!$D$51</f>
        <v>-555.71776310795894</v>
      </c>
      <c r="S135" s="5">
        <f>S123+(S123*Assumptions!$D$51)</f>
        <v>0</v>
      </c>
      <c r="T135" s="5">
        <f t="shared" si="41"/>
        <v>0</v>
      </c>
      <c r="U135" s="22">
        <f t="shared" si="36"/>
        <v>-2664.5440813596178</v>
      </c>
      <c r="V135" s="5">
        <f>MAX(Assumptions!$E$18:$E$19)-U135</f>
        <v>5506.1770931583142</v>
      </c>
      <c r="W135" s="5">
        <f t="shared" si="37"/>
        <v>-2841.6330117986968</v>
      </c>
      <c r="X135" s="5">
        <f t="shared" si="42"/>
        <v>-2664.5440813596178</v>
      </c>
      <c r="Y135" s="5">
        <f>D135*Assumptions!$D$44*-1</f>
        <v>88.7391457437149</v>
      </c>
      <c r="Z135" s="5">
        <f t="shared" si="38"/>
        <v>88.739145743714445</v>
      </c>
      <c r="AA135" s="5">
        <f t="shared" si="48"/>
        <v>40330.976456757642</v>
      </c>
      <c r="AB135" s="3">
        <f>Assumptions!$E$45</f>
        <v>6.9899151946608562E-3</v>
      </c>
      <c r="AC135" s="5">
        <f t="shared" si="49"/>
        <v>40701.625707651954</v>
      </c>
      <c r="AD135" s="4">
        <f>AC135*Assumptions!$E$43</f>
        <v>36.45137877181795</v>
      </c>
      <c r="AE135" s="2">
        <f>AD135*Assumptions!$D$44*-1</f>
        <v>-5.4677068157726927</v>
      </c>
      <c r="AF135" s="2">
        <f>AC135*Assumptions!$E$46*-1</f>
        <v>-1.3564721883142123</v>
      </c>
      <c r="AG135" s="5">
        <f t="shared" si="50"/>
        <v>40694.801528647869</v>
      </c>
      <c r="AH135" s="20">
        <f>Model_30y[[#This Row],[Mortgage Payment]]+Model_30y[[#This Row],[Total Upkeep]]+Model_30y[[#This Row],[Monthly Investment]]</f>
        <v>-3982.367746208964</v>
      </c>
      <c r="AI135" s="5">
        <f>Model_Renter!D135*-1</f>
        <v>4127.5077127612594</v>
      </c>
      <c r="AJ135" s="5">
        <f t="shared" si="43"/>
        <v>145.13996655229539</v>
      </c>
    </row>
    <row r="136" spans="1:36" x14ac:dyDescent="0.25">
      <c r="A136" s="17">
        <f t="shared" si="44"/>
        <v>134</v>
      </c>
      <c r="B136" s="17">
        <f t="shared" si="39"/>
        <v>12</v>
      </c>
      <c r="C136" s="23">
        <f>IFERROR(PPMT(Assumptions!$E$17, A136, 180, Assumptions!$D$8), 0)</f>
        <v>-2261.0076455364451</v>
      </c>
      <c r="D136" s="38">
        <f>IFERROR(IPMT(Assumptions!$E$17,A136,180,Assumptions!$D$8), 0)</f>
        <v>-580.62536626225153</v>
      </c>
      <c r="E136" s="2">
        <f t="shared" si="45"/>
        <v>-2841.6330117986968</v>
      </c>
      <c r="F136" s="2">
        <f>IF(I135&gt;1, Assumptions!$E$19, 0)*-1</f>
        <v>-2841.6330117986968</v>
      </c>
      <c r="G136" s="24">
        <f t="shared" si="40"/>
        <v>1</v>
      </c>
      <c r="H136" s="20">
        <f t="shared" si="46"/>
        <v>223158.36841225409</v>
      </c>
      <c r="I136" s="2">
        <f>MAX(Assumptions!$D$8-SUM(Model_15y!H136), 0)</f>
        <v>116841.63158774591</v>
      </c>
      <c r="J136" s="2">
        <f>J135*(1+(Assumptions!$E$51))</f>
        <v>732829.20666053705</v>
      </c>
      <c r="K136" s="22">
        <f t="shared" si="35"/>
        <v>615987.57507279119</v>
      </c>
      <c r="L136" s="5">
        <f t="shared" si="47"/>
        <v>308158.36841225415</v>
      </c>
      <c r="M136" s="63">
        <f>L136/Assumptions!$D$6</f>
        <v>0.72507851391118627</v>
      </c>
      <c r="N136" s="24">
        <f t="shared" si="34"/>
        <v>0</v>
      </c>
      <c r="O136" s="22">
        <f>N136*Assumptions!$E$25*-1</f>
        <v>0</v>
      </c>
      <c r="P136" s="5">
        <f>Assumptions!$E$35*J136*-1</f>
        <v>-1509.5081794794557</v>
      </c>
      <c r="Q136" s="5">
        <f>J136*Assumptions!$E$36*-1</f>
        <v>-607.90975823097597</v>
      </c>
      <c r="R136" s="5">
        <f>R124+R124*Assumptions!$D$51</f>
        <v>-555.71776310795894</v>
      </c>
      <c r="S136" s="5">
        <f>S124+(S124*Assumptions!$D$51)</f>
        <v>0</v>
      </c>
      <c r="T136" s="5">
        <f t="shared" si="41"/>
        <v>0</v>
      </c>
      <c r="U136" s="22">
        <f t="shared" si="36"/>
        <v>-2673.1357008183909</v>
      </c>
      <c r="V136" s="5">
        <f>MAX(Assumptions!$E$18:$E$19)-U136</f>
        <v>5514.7687126170877</v>
      </c>
      <c r="W136" s="5">
        <f t="shared" si="37"/>
        <v>-2841.6330117986968</v>
      </c>
      <c r="X136" s="5">
        <f t="shared" si="42"/>
        <v>-2673.1357008183909</v>
      </c>
      <c r="Y136" s="5">
        <f>D136*Assumptions!$D$44*-1</f>
        <v>87.09380493933773</v>
      </c>
      <c r="Z136" s="5">
        <f t="shared" si="38"/>
        <v>87.09380493933773</v>
      </c>
      <c r="AA136" s="5">
        <f t="shared" si="48"/>
        <v>40694.801528647869</v>
      </c>
      <c r="AB136" s="3">
        <f>Assumptions!$E$45</f>
        <v>6.9899151946608562E-3</v>
      </c>
      <c r="AC136" s="5">
        <f t="shared" si="49"/>
        <v>41066.34854513601</v>
      </c>
      <c r="AD136" s="4">
        <f>AC136*Assumptions!$E$43</f>
        <v>36.778015609160889</v>
      </c>
      <c r="AE136" s="2">
        <f>AD136*Assumptions!$D$44*-1</f>
        <v>-5.516702341374133</v>
      </c>
      <c r="AF136" s="2">
        <f>AC136*Assumptions!$E$46*-1</f>
        <v>-1.3686273879380237</v>
      </c>
      <c r="AG136" s="5">
        <f t="shared" si="50"/>
        <v>41059.4632154067</v>
      </c>
      <c r="AH136" s="20">
        <f>Model_30y[[#This Row],[Mortgage Payment]]+Model_30y[[#This Row],[Total Upkeep]]+Model_30y[[#This Row],[Monthly Investment]]</f>
        <v>-3991.4763019797811</v>
      </c>
      <c r="AI136" s="5">
        <f>Model_Renter!D136*-1</f>
        <v>4127.5077127612594</v>
      </c>
      <c r="AJ136" s="5">
        <f t="shared" si="43"/>
        <v>136.03141078147837</v>
      </c>
    </row>
    <row r="137" spans="1:36" x14ac:dyDescent="0.25">
      <c r="A137" s="17">
        <f t="shared" si="44"/>
        <v>135</v>
      </c>
      <c r="B137" s="17">
        <f t="shared" si="39"/>
        <v>12</v>
      </c>
      <c r="C137" s="23">
        <f>IFERROR(PPMT(Assumptions!$E$17, A137, 180, Assumptions!$D$8), 0)</f>
        <v>-2272.0300578084357</v>
      </c>
      <c r="D137" s="38">
        <f>IFERROR(IPMT(Assumptions!$E$17,A137,180,Assumptions!$D$8), 0)</f>
        <v>-569.60295399026143</v>
      </c>
      <c r="E137" s="2">
        <f t="shared" si="45"/>
        <v>-2841.6330117986972</v>
      </c>
      <c r="F137" s="2">
        <f>IF(I136&gt;1, Assumptions!$E$19, 0)*-1</f>
        <v>-2841.6330117986968</v>
      </c>
      <c r="G137" s="24">
        <f t="shared" si="40"/>
        <v>1</v>
      </c>
      <c r="H137" s="20">
        <f t="shared" si="46"/>
        <v>225430.39847006253</v>
      </c>
      <c r="I137" s="2">
        <f>MAX(Assumptions!$D$8-SUM(Model_15y!H137), 0)</f>
        <v>114569.60152993747</v>
      </c>
      <c r="J137" s="2">
        <f>J136*(1+(Assumptions!$E$51))</f>
        <v>735814.84356074489</v>
      </c>
      <c r="K137" s="22">
        <f t="shared" si="35"/>
        <v>621245.24203080742</v>
      </c>
      <c r="L137" s="5">
        <f t="shared" si="47"/>
        <v>310430.39847006259</v>
      </c>
      <c r="M137" s="63">
        <f>L137/Assumptions!$D$6</f>
        <v>0.73042446698838259</v>
      </c>
      <c r="N137" s="24">
        <f t="shared" si="34"/>
        <v>0</v>
      </c>
      <c r="O137" s="22">
        <f>N137*Assumptions!$E$25*-1</f>
        <v>0</v>
      </c>
      <c r="P137" s="5">
        <f>Assumptions!$E$35*J137*-1</f>
        <v>-1515.6581026550846</v>
      </c>
      <c r="Q137" s="5">
        <f>J137*Assumptions!$E$36*-1</f>
        <v>-610.3864578352966</v>
      </c>
      <c r="R137" s="5">
        <f>R125+R125*Assumptions!$D$51</f>
        <v>-555.71776310795894</v>
      </c>
      <c r="S137" s="5">
        <f>S125+(S125*Assumptions!$D$51)</f>
        <v>0</v>
      </c>
      <c r="T137" s="5">
        <f t="shared" si="41"/>
        <v>0</v>
      </c>
      <c r="U137" s="22">
        <f t="shared" si="36"/>
        <v>-2681.7623235983401</v>
      </c>
      <c r="V137" s="5">
        <f>MAX(Assumptions!$E$18:$E$19)-U137</f>
        <v>5523.3953353970373</v>
      </c>
      <c r="W137" s="5">
        <f t="shared" si="37"/>
        <v>-2841.6330117986968</v>
      </c>
      <c r="X137" s="5">
        <f t="shared" si="42"/>
        <v>-2681.7623235983401</v>
      </c>
      <c r="Y137" s="5">
        <f>D137*Assumptions!$D$44*-1</f>
        <v>85.440443098539205</v>
      </c>
      <c r="Z137" s="5">
        <f t="shared" si="38"/>
        <v>85.44044309853966</v>
      </c>
      <c r="AA137" s="5">
        <f t="shared" si="48"/>
        <v>41059.4632154067</v>
      </c>
      <c r="AB137" s="3">
        <f>Assumptions!$E$45</f>
        <v>6.9899151946608562E-3</v>
      </c>
      <c r="AC137" s="5">
        <f t="shared" si="49"/>
        <v>41431.905824319227</v>
      </c>
      <c r="AD137" s="4">
        <f>AC137*Assumptions!$E$43</f>
        <v>37.105399752045322</v>
      </c>
      <c r="AE137" s="2">
        <f>AD137*Assumptions!$D$44*-1</f>
        <v>-5.5658099628067985</v>
      </c>
      <c r="AF137" s="2">
        <f>AC137*Assumptions!$E$46*-1</f>
        <v>-1.3808103971870775</v>
      </c>
      <c r="AG137" s="5">
        <f t="shared" si="50"/>
        <v>41424.959203959232</v>
      </c>
      <c r="AH137" s="20">
        <f>Model_30y[[#This Row],[Mortgage Payment]]+Model_30y[[#This Row],[Total Upkeep]]+Model_30y[[#This Row],[Monthly Investment]]</f>
        <v>-4000.6227559151212</v>
      </c>
      <c r="AI137" s="5">
        <f>Model_Renter!D137*-1</f>
        <v>4127.5077127612594</v>
      </c>
      <c r="AJ137" s="5">
        <f t="shared" si="43"/>
        <v>126.88495684613827</v>
      </c>
    </row>
    <row r="138" spans="1:36" x14ac:dyDescent="0.25">
      <c r="A138" s="17">
        <f t="shared" si="44"/>
        <v>136</v>
      </c>
      <c r="B138" s="17">
        <f t="shared" si="39"/>
        <v>12</v>
      </c>
      <c r="C138" s="23">
        <f>IFERROR(PPMT(Assumptions!$E$17, A138, 180, Assumptions!$D$8), 0)</f>
        <v>-2283.1062043402517</v>
      </c>
      <c r="D138" s="38">
        <f>IFERROR(IPMT(Assumptions!$E$17,A138,180,Assumptions!$D$8), 0)</f>
        <v>-558.52680745844521</v>
      </c>
      <c r="E138" s="2">
        <f t="shared" si="45"/>
        <v>-2841.6330117986968</v>
      </c>
      <c r="F138" s="2">
        <f>IF(I137&gt;1, Assumptions!$E$19, 0)*-1</f>
        <v>-2841.6330117986968</v>
      </c>
      <c r="G138" s="24">
        <f t="shared" si="40"/>
        <v>1</v>
      </c>
      <c r="H138" s="20">
        <f t="shared" si="46"/>
        <v>227713.50467440279</v>
      </c>
      <c r="I138" s="2">
        <f>MAX(Assumptions!$D$8-SUM(Model_15y!H138), 0)</f>
        <v>112286.49532559721</v>
      </c>
      <c r="J138" s="2">
        <f>J137*(1+(Assumptions!$E$51))</f>
        <v>738812.6443152572</v>
      </c>
      <c r="K138" s="22">
        <f t="shared" si="35"/>
        <v>626526.14898965997</v>
      </c>
      <c r="L138" s="5">
        <f t="shared" si="47"/>
        <v>312713.50467440282</v>
      </c>
      <c r="M138" s="63">
        <f>L138/Assumptions!$D$6</f>
        <v>0.7357964815868302</v>
      </c>
      <c r="N138" s="24">
        <f t="shared" si="34"/>
        <v>0</v>
      </c>
      <c r="O138" s="22">
        <f>N138*Assumptions!$E$25*-1</f>
        <v>0</v>
      </c>
      <c r="P138" s="5">
        <f>Assumptions!$E$35*J138*-1</f>
        <v>-1521.833081378991</v>
      </c>
      <c r="Q138" s="5">
        <f>J138*Assumptions!$E$36*-1</f>
        <v>-612.87324782038024</v>
      </c>
      <c r="R138" s="5">
        <f>R126+R126*Assumptions!$D$51</f>
        <v>-555.71776310795894</v>
      </c>
      <c r="S138" s="5">
        <f>S126+(S126*Assumptions!$D$51)</f>
        <v>0</v>
      </c>
      <c r="T138" s="5">
        <f t="shared" si="41"/>
        <v>0</v>
      </c>
      <c r="U138" s="22">
        <f t="shared" si="36"/>
        <v>-2690.4240923073303</v>
      </c>
      <c r="V138" s="5">
        <f>MAX(Assumptions!$E$18:$E$19)-U138</f>
        <v>5532.0571041060266</v>
      </c>
      <c r="W138" s="5">
        <f t="shared" si="37"/>
        <v>-2841.6330117986968</v>
      </c>
      <c r="X138" s="5">
        <f t="shared" si="42"/>
        <v>-2690.4240923073303</v>
      </c>
      <c r="Y138" s="5">
        <f>D138*Assumptions!$D$44*-1</f>
        <v>83.779021118766778</v>
      </c>
      <c r="Z138" s="5">
        <f t="shared" si="38"/>
        <v>83.779021118766323</v>
      </c>
      <c r="AA138" s="5">
        <f t="shared" si="48"/>
        <v>41424.959203959232</v>
      </c>
      <c r="AB138" s="3">
        <f>Assumptions!$E$45</f>
        <v>6.9899151946608562E-3</v>
      </c>
      <c r="AC138" s="5">
        <f t="shared" si="49"/>
        <v>41798.295176855958</v>
      </c>
      <c r="AD138" s="4">
        <f>AC138*Assumptions!$E$43</f>
        <v>37.433529079438912</v>
      </c>
      <c r="AE138" s="2">
        <f>AD138*Assumptions!$D$44*-1</f>
        <v>-5.6150293619158367</v>
      </c>
      <c r="AF138" s="2">
        <f>AC138*Assumptions!$E$46*-1</f>
        <v>-1.3930211371309882</v>
      </c>
      <c r="AG138" s="5">
        <f t="shared" si="50"/>
        <v>41791.28712635691</v>
      </c>
      <c r="AH138" s="20">
        <f>Model_30y[[#This Row],[Mortgage Payment]]+Model_30y[[#This Row],[Total Upkeep]]+Model_30y[[#This Row],[Monthly Investment]]</f>
        <v>-4009.8072668339728</v>
      </c>
      <c r="AI138" s="5">
        <f>Model_Renter!D138*-1</f>
        <v>4127.5077127612594</v>
      </c>
      <c r="AJ138" s="5">
        <f t="shared" si="43"/>
        <v>117.70044592728664</v>
      </c>
    </row>
    <row r="139" spans="1:36" x14ac:dyDescent="0.25">
      <c r="A139" s="17">
        <f t="shared" si="44"/>
        <v>137</v>
      </c>
      <c r="B139" s="17">
        <f t="shared" si="39"/>
        <v>12</v>
      </c>
      <c r="C139" s="23">
        <f>IFERROR(PPMT(Assumptions!$E$17, A139, 180, Assumptions!$D$8), 0)</f>
        <v>-2294.2363470864102</v>
      </c>
      <c r="D139" s="38">
        <f>IFERROR(IPMT(Assumptions!$E$17,A139,180,Assumptions!$D$8), 0)</f>
        <v>-547.39666471228657</v>
      </c>
      <c r="E139" s="2">
        <f t="shared" si="45"/>
        <v>-2841.6330117986968</v>
      </c>
      <c r="F139" s="2">
        <f>IF(I138&gt;1, Assumptions!$E$19, 0)*-1</f>
        <v>-2841.6330117986968</v>
      </c>
      <c r="G139" s="24">
        <f t="shared" si="40"/>
        <v>1</v>
      </c>
      <c r="H139" s="20">
        <f t="shared" si="46"/>
        <v>230007.7410214892</v>
      </c>
      <c r="I139" s="2">
        <f>MAX(Assumptions!$D$8-SUM(Model_15y!H139), 0)</f>
        <v>109992.2589785108</v>
      </c>
      <c r="J139" s="2">
        <f>J138*(1+(Assumptions!$E$51))</f>
        <v>741822.65848112211</v>
      </c>
      <c r="K139" s="22">
        <f t="shared" si="35"/>
        <v>631830.39950261125</v>
      </c>
      <c r="L139" s="5">
        <f t="shared" si="47"/>
        <v>315007.74102148926</v>
      </c>
      <c r="M139" s="63">
        <f>L139/Assumptions!$D$6</f>
        <v>0.74119468475644534</v>
      </c>
      <c r="N139" s="24">
        <f t="shared" si="34"/>
        <v>0</v>
      </c>
      <c r="O139" s="22">
        <f>N139*Assumptions!$E$25*-1</f>
        <v>0</v>
      </c>
      <c r="P139" s="5">
        <f>Assumptions!$E$35*J139*-1</f>
        <v>-1528.03321773058</v>
      </c>
      <c r="Q139" s="5">
        <f>J139*Assumptions!$E$36*-1</f>
        <v>-615.37016929568711</v>
      </c>
      <c r="R139" s="5">
        <f>R127+R127*Assumptions!$D$51</f>
        <v>-555.71776310795894</v>
      </c>
      <c r="S139" s="5">
        <f>S127+(S127*Assumptions!$D$51)</f>
        <v>0</v>
      </c>
      <c r="T139" s="5">
        <f t="shared" si="41"/>
        <v>0</v>
      </c>
      <c r="U139" s="22">
        <f t="shared" si="36"/>
        <v>-2699.1211501342259</v>
      </c>
      <c r="V139" s="5">
        <f>MAX(Assumptions!$E$18:$E$19)-U139</f>
        <v>5540.7541619329222</v>
      </c>
      <c r="W139" s="5">
        <f t="shared" si="37"/>
        <v>-2841.6330117986968</v>
      </c>
      <c r="X139" s="5">
        <f t="shared" si="42"/>
        <v>-2699.1211501342259</v>
      </c>
      <c r="Y139" s="5">
        <f>D139*Assumptions!$D$44*-1</f>
        <v>82.109499706842982</v>
      </c>
      <c r="Z139" s="5">
        <f t="shared" si="38"/>
        <v>82.109499706842527</v>
      </c>
      <c r="AA139" s="5">
        <f t="shared" si="48"/>
        <v>41791.28712635691</v>
      </c>
      <c r="AB139" s="3">
        <f>Assumptions!$E$45</f>
        <v>6.9899151946608562E-3</v>
      </c>
      <c r="AC139" s="5">
        <f t="shared" si="49"/>
        <v>42165.514178952712</v>
      </c>
      <c r="AD139" s="4">
        <f>AC139*Assumptions!$E$43</f>
        <v>37.762401420651592</v>
      </c>
      <c r="AE139" s="2">
        <f>AD139*Assumptions!$D$44*-1</f>
        <v>-5.6643602130977388</v>
      </c>
      <c r="AF139" s="2">
        <f>AC139*Assumptions!$E$46*-1</f>
        <v>-1.4052595269914476</v>
      </c>
      <c r="AG139" s="5">
        <f t="shared" si="50"/>
        <v>42158.444559212621</v>
      </c>
      <c r="AH139" s="20">
        <f>Model_30y[[#This Row],[Mortgage Payment]]+Model_30y[[#This Row],[Total Upkeep]]+Model_30y[[#This Row],[Monthly Investment]]</f>
        <v>-4019.0299942271054</v>
      </c>
      <c r="AI139" s="5">
        <f>Model_Renter!D139*-1</f>
        <v>4127.5077127612594</v>
      </c>
      <c r="AJ139" s="5">
        <f t="shared" si="43"/>
        <v>108.47771853415406</v>
      </c>
    </row>
    <row r="140" spans="1:36" x14ac:dyDescent="0.25">
      <c r="A140" s="17">
        <f t="shared" si="44"/>
        <v>138</v>
      </c>
      <c r="B140" s="17">
        <f t="shared" si="39"/>
        <v>12</v>
      </c>
      <c r="C140" s="23">
        <f>IFERROR(PPMT(Assumptions!$E$17, A140, 180, Assumptions!$D$8), 0)</f>
        <v>-2305.4207492784567</v>
      </c>
      <c r="D140" s="38">
        <f>IFERROR(IPMT(Assumptions!$E$17,A140,180,Assumptions!$D$8), 0)</f>
        <v>-536.21226252024019</v>
      </c>
      <c r="E140" s="2">
        <f t="shared" si="45"/>
        <v>-2841.6330117986968</v>
      </c>
      <c r="F140" s="2">
        <f>IF(I139&gt;1, Assumptions!$E$19, 0)*-1</f>
        <v>-2841.6330117986968</v>
      </c>
      <c r="G140" s="24">
        <f t="shared" si="40"/>
        <v>1</v>
      </c>
      <c r="H140" s="20">
        <f t="shared" si="46"/>
        <v>232313.16177076765</v>
      </c>
      <c r="I140" s="2">
        <f>MAX(Assumptions!$D$8-SUM(Model_15y!H140), 0)</f>
        <v>107686.83822923235</v>
      </c>
      <c r="J140" s="2">
        <f>J139*(1+(Assumptions!$E$51))</f>
        <v>744844.93581728928</v>
      </c>
      <c r="K140" s="22">
        <f t="shared" si="35"/>
        <v>637158.09758805693</v>
      </c>
      <c r="L140" s="5">
        <f t="shared" si="47"/>
        <v>317313.16177076771</v>
      </c>
      <c r="M140" s="63">
        <f>L140/Assumptions!$D$6</f>
        <v>0.74661920416651228</v>
      </c>
      <c r="N140" s="24">
        <f t="shared" si="34"/>
        <v>0</v>
      </c>
      <c r="O140" s="22">
        <f>N140*Assumptions!$E$25*-1</f>
        <v>0</v>
      </c>
      <c r="P140" s="5">
        <f>Assumptions!$E$35*J140*-1</f>
        <v>-1534.2586142051409</v>
      </c>
      <c r="Q140" s="5">
        <f>J140*Assumptions!$E$36*-1</f>
        <v>-617.87726353816231</v>
      </c>
      <c r="R140" s="5">
        <f>R128+R128*Assumptions!$D$51</f>
        <v>-555.71776310795894</v>
      </c>
      <c r="S140" s="5">
        <f>S128+(S128*Assumptions!$D$51)</f>
        <v>0</v>
      </c>
      <c r="T140" s="5">
        <f t="shared" si="41"/>
        <v>0</v>
      </c>
      <c r="U140" s="22">
        <f t="shared" si="36"/>
        <v>-2707.8536408512623</v>
      </c>
      <c r="V140" s="5">
        <f>MAX(Assumptions!$E$18:$E$19)-U140</f>
        <v>5549.4866526499591</v>
      </c>
      <c r="W140" s="5">
        <f t="shared" si="37"/>
        <v>-2841.6330117986968</v>
      </c>
      <c r="X140" s="5">
        <f t="shared" si="42"/>
        <v>-2707.8536408512623</v>
      </c>
      <c r="Y140" s="5">
        <f>D140*Assumptions!$D$44*-1</f>
        <v>80.431839378036031</v>
      </c>
      <c r="Z140" s="5">
        <f t="shared" si="38"/>
        <v>80.431839378036031</v>
      </c>
      <c r="AA140" s="5">
        <f t="shared" si="48"/>
        <v>42158.444559212621</v>
      </c>
      <c r="AB140" s="3">
        <f>Assumptions!$E$45</f>
        <v>6.9899151946608562E-3</v>
      </c>
      <c r="AC140" s="5">
        <f t="shared" si="49"/>
        <v>42533.560350798361</v>
      </c>
      <c r="AD140" s="4">
        <f>AC140*Assumptions!$E$43</f>
        <v>38.092014554825276</v>
      </c>
      <c r="AE140" s="2">
        <f>AD140*Assumptions!$D$44*-1</f>
        <v>-5.7138021832237911</v>
      </c>
      <c r="AF140" s="2">
        <f>AC140*Assumptions!$E$46*-1</f>
        <v>-1.4175254841232356</v>
      </c>
      <c r="AG140" s="5">
        <f t="shared" si="50"/>
        <v>42526.429023131015</v>
      </c>
      <c r="AH140" s="20">
        <f>Model_30y[[#This Row],[Mortgage Payment]]+Model_30y[[#This Row],[Total Upkeep]]+Model_30y[[#This Row],[Monthly Investment]]</f>
        <v>-4028.2910982599492</v>
      </c>
      <c r="AI140" s="5">
        <f>Model_Renter!D140*-1</f>
        <v>4127.5077127612594</v>
      </c>
      <c r="AJ140" s="5">
        <f t="shared" si="43"/>
        <v>99.216614501310232</v>
      </c>
    </row>
    <row r="141" spans="1:36" x14ac:dyDescent="0.25">
      <c r="A141" s="17">
        <f t="shared" si="44"/>
        <v>139</v>
      </c>
      <c r="B141" s="17">
        <f t="shared" si="39"/>
        <v>12</v>
      </c>
      <c r="C141" s="23">
        <f>IFERROR(PPMT(Assumptions!$E$17, A141, 180, Assumptions!$D$8), 0)</f>
        <v>-2316.659675431189</v>
      </c>
      <c r="D141" s="38">
        <f>IFERROR(IPMT(Assumptions!$E$17,A141,180,Assumptions!$D$8), 0)</f>
        <v>-524.97333636750773</v>
      </c>
      <c r="E141" s="2">
        <f t="shared" si="45"/>
        <v>-2841.6330117986968</v>
      </c>
      <c r="F141" s="2">
        <f>IF(I140&gt;1, Assumptions!$E$19, 0)*-1</f>
        <v>-2841.6330117986968</v>
      </c>
      <c r="G141" s="24">
        <f t="shared" si="40"/>
        <v>1</v>
      </c>
      <c r="H141" s="20">
        <f t="shared" si="46"/>
        <v>234629.82144619882</v>
      </c>
      <c r="I141" s="2">
        <f>MAX(Assumptions!$D$8-SUM(Model_15y!H141), 0)</f>
        <v>105370.17855380118</v>
      </c>
      <c r="J141" s="2">
        <f>J140*(1+(Assumptions!$E$51))</f>
        <v>747879.52628543251</v>
      </c>
      <c r="K141" s="22">
        <f t="shared" si="35"/>
        <v>642509.34773163137</v>
      </c>
      <c r="L141" s="5">
        <f t="shared" si="47"/>
        <v>319629.82144619891</v>
      </c>
      <c r="M141" s="63">
        <f>L141/Assumptions!$D$6</f>
        <v>0.75207016810870331</v>
      </c>
      <c r="N141" s="24">
        <f t="shared" si="34"/>
        <v>0</v>
      </c>
      <c r="O141" s="22">
        <f>N141*Assumptions!$E$25*-1</f>
        <v>0</v>
      </c>
      <c r="P141" s="5">
        <f>Assumptions!$E$35*J141*-1</f>
        <v>-1540.5093737155414</v>
      </c>
      <c r="Q141" s="5">
        <f>J141*Assumptions!$E$36*-1</f>
        <v>-620.39457199291871</v>
      </c>
      <c r="R141" s="5">
        <f>R129+R129*Assumptions!$D$51</f>
        <v>-555.71776310795894</v>
      </c>
      <c r="S141" s="5">
        <f>S129+(S129*Assumptions!$D$51)</f>
        <v>0</v>
      </c>
      <c r="T141" s="5">
        <f t="shared" si="41"/>
        <v>0</v>
      </c>
      <c r="U141" s="22">
        <f t="shared" si="36"/>
        <v>-2716.621708816419</v>
      </c>
      <c r="V141" s="5">
        <f>MAX(Assumptions!$E$18:$E$19)-U141</f>
        <v>5558.2547206151157</v>
      </c>
      <c r="W141" s="5">
        <f t="shared" si="37"/>
        <v>-2841.6330117986968</v>
      </c>
      <c r="X141" s="5">
        <f t="shared" si="42"/>
        <v>-2716.621708816419</v>
      </c>
      <c r="Y141" s="5">
        <f>D141*Assumptions!$D$44*-1</f>
        <v>78.746000455126151</v>
      </c>
      <c r="Z141" s="5">
        <f t="shared" si="38"/>
        <v>78.746000455126151</v>
      </c>
      <c r="AA141" s="5">
        <f t="shared" si="48"/>
        <v>42526.429023131015</v>
      </c>
      <c r="AB141" s="3">
        <f>Assumptions!$E$45</f>
        <v>6.9899151946608562E-3</v>
      </c>
      <c r="AC141" s="5">
        <f t="shared" si="49"/>
        <v>42902.431155989587</v>
      </c>
      <c r="AD141" s="4">
        <f>AC141*Assumptions!$E$43</f>
        <v>38.422366210419298</v>
      </c>
      <c r="AE141" s="2">
        <f>AD141*Assumptions!$D$44*-1</f>
        <v>-5.7633549315628949</v>
      </c>
      <c r="AF141" s="2">
        <f>AC141*Assumptions!$E$46*-1</f>
        <v>-1.4298189239950709</v>
      </c>
      <c r="AG141" s="5">
        <f t="shared" si="50"/>
        <v>42895.237982134029</v>
      </c>
      <c r="AH141" s="20">
        <f>Model_30y[[#This Row],[Mortgage Payment]]+Model_30y[[#This Row],[Total Upkeep]]+Model_30y[[#This Row],[Monthly Investment]]</f>
        <v>-4037.5907397754818</v>
      </c>
      <c r="AI141" s="5">
        <f>Model_Renter!D141*-1</f>
        <v>4127.5077127612594</v>
      </c>
      <c r="AJ141" s="5">
        <f t="shared" si="43"/>
        <v>89.916972985777647</v>
      </c>
    </row>
    <row r="142" spans="1:36" x14ac:dyDescent="0.25">
      <c r="A142" s="17">
        <f t="shared" si="44"/>
        <v>140</v>
      </c>
      <c r="B142" s="17">
        <f t="shared" si="39"/>
        <v>12</v>
      </c>
      <c r="C142" s="23">
        <f>IFERROR(PPMT(Assumptions!$E$17, A142, 180, Assumptions!$D$8), 0)</f>
        <v>-2327.9533913489163</v>
      </c>
      <c r="D142" s="38">
        <f>IFERROR(IPMT(Assumptions!$E$17,A142,180,Assumptions!$D$8), 0)</f>
        <v>-513.67962044978071</v>
      </c>
      <c r="E142" s="2">
        <f t="shared" si="45"/>
        <v>-2841.6330117986972</v>
      </c>
      <c r="F142" s="2">
        <f>IF(I141&gt;1, Assumptions!$E$19, 0)*-1</f>
        <v>-2841.6330117986968</v>
      </c>
      <c r="G142" s="24">
        <f t="shared" si="40"/>
        <v>1</v>
      </c>
      <c r="H142" s="20">
        <f t="shared" si="46"/>
        <v>236957.77483754774</v>
      </c>
      <c r="I142" s="2">
        <f>MAX(Assumptions!$D$8-SUM(Model_15y!H142), 0)</f>
        <v>103042.22516245226</v>
      </c>
      <c r="J142" s="2">
        <f>J141*(1+(Assumptions!$E$51))</f>
        <v>750926.48005077569</v>
      </c>
      <c r="K142" s="22">
        <f t="shared" si="35"/>
        <v>647884.25488832337</v>
      </c>
      <c r="L142" s="5">
        <f t="shared" si="47"/>
        <v>321957.77483754785</v>
      </c>
      <c r="M142" s="63">
        <f>L142/Assumptions!$D$6</f>
        <v>0.75754770550011263</v>
      </c>
      <c r="N142" s="24">
        <f t="shared" si="34"/>
        <v>0</v>
      </c>
      <c r="O142" s="22">
        <f>N142*Assumptions!$E$25*-1</f>
        <v>0</v>
      </c>
      <c r="P142" s="5">
        <f>Assumptions!$E$35*J142*-1</f>
        <v>-1546.7855995939292</v>
      </c>
      <c r="Q142" s="5">
        <f>J142*Assumptions!$E$36*-1</f>
        <v>-622.92213627392141</v>
      </c>
      <c r="R142" s="5">
        <f>R130+R130*Assumptions!$D$51</f>
        <v>-555.71776310795894</v>
      </c>
      <c r="S142" s="5">
        <f>S130+(S130*Assumptions!$D$51)</f>
        <v>0</v>
      </c>
      <c r="T142" s="5">
        <f t="shared" si="41"/>
        <v>0</v>
      </c>
      <c r="U142" s="22">
        <f t="shared" si="36"/>
        <v>-2725.4254989758097</v>
      </c>
      <c r="V142" s="5">
        <f>MAX(Assumptions!$E$18:$E$19)-U142</f>
        <v>5567.0585107745064</v>
      </c>
      <c r="W142" s="5">
        <f t="shared" si="37"/>
        <v>-2841.6330117986968</v>
      </c>
      <c r="X142" s="5">
        <f t="shared" si="42"/>
        <v>-2725.4254989758097</v>
      </c>
      <c r="Y142" s="5">
        <f>D142*Assumptions!$D$44*-1</f>
        <v>77.051943067467107</v>
      </c>
      <c r="Z142" s="5">
        <f t="shared" si="38"/>
        <v>77.051943067467107</v>
      </c>
      <c r="AA142" s="5">
        <f t="shared" si="48"/>
        <v>42895.237982134029</v>
      </c>
      <c r="AB142" s="3">
        <f>Assumptions!$E$45</f>
        <v>6.9899151946608562E-3</v>
      </c>
      <c r="AC142" s="5">
        <f t="shared" si="49"/>
        <v>43272.124000951408</v>
      </c>
      <c r="AD142" s="4">
        <f>AC142*Assumptions!$E$43</f>
        <v>38.753454064691439</v>
      </c>
      <c r="AE142" s="2">
        <f>AD142*Assumptions!$D$44*-1</f>
        <v>-5.8130181097037159</v>
      </c>
      <c r="AF142" s="2">
        <f>AC142*Assumptions!$E$46*-1</f>
        <v>-1.4421397601702999</v>
      </c>
      <c r="AG142" s="5">
        <f t="shared" si="50"/>
        <v>43264.868843081531</v>
      </c>
      <c r="AH142" s="20">
        <f>Model_30y[[#This Row],[Mortgage Payment]]+Model_30y[[#This Row],[Total Upkeep]]+Model_30y[[#This Row],[Monthly Investment]]</f>
        <v>-4046.9290802971309</v>
      </c>
      <c r="AI142" s="5">
        <f>Model_Renter!D142*-1</f>
        <v>4127.5077127612594</v>
      </c>
      <c r="AJ142" s="5">
        <f t="shared" si="43"/>
        <v>80.578632464128532</v>
      </c>
    </row>
    <row r="143" spans="1:36" x14ac:dyDescent="0.25">
      <c r="A143" s="17">
        <f t="shared" si="44"/>
        <v>141</v>
      </c>
      <c r="B143" s="17">
        <f t="shared" si="39"/>
        <v>12</v>
      </c>
      <c r="C143" s="23">
        <f>IFERROR(PPMT(Assumptions!$E$17, A143, 180, Assumptions!$D$8), 0)</f>
        <v>-2339.3021641317423</v>
      </c>
      <c r="D143" s="38">
        <f>IFERROR(IPMT(Assumptions!$E$17,A143,180,Assumptions!$D$8), 0)</f>
        <v>-502.33084766695475</v>
      </c>
      <c r="E143" s="2">
        <f t="shared" si="45"/>
        <v>-2841.6330117986972</v>
      </c>
      <c r="F143" s="2">
        <f>IF(I142&gt;1, Assumptions!$E$19, 0)*-1</f>
        <v>-2841.6330117986968</v>
      </c>
      <c r="G143" s="24">
        <f t="shared" si="40"/>
        <v>1</v>
      </c>
      <c r="H143" s="20">
        <f t="shared" si="46"/>
        <v>239297.07700167948</v>
      </c>
      <c r="I143" s="2">
        <f>MAX(Assumptions!$D$8-SUM(Model_15y!H143), 0)</f>
        <v>100702.92299832052</v>
      </c>
      <c r="J143" s="2">
        <f>J142*(1+(Assumptions!$E$51))</f>
        <v>753985.8474829219</v>
      </c>
      <c r="K143" s="22">
        <f t="shared" si="35"/>
        <v>653282.92448460136</v>
      </c>
      <c r="L143" s="5">
        <f t="shared" si="47"/>
        <v>324297.07700167957</v>
      </c>
      <c r="M143" s="63">
        <f>L143/Assumptions!$D$6</f>
        <v>0.76305194588630487</v>
      </c>
      <c r="N143" s="24">
        <f t="shared" si="34"/>
        <v>0</v>
      </c>
      <c r="O143" s="22">
        <f>N143*Assumptions!$E$25*-1</f>
        <v>0</v>
      </c>
      <c r="P143" s="5">
        <f>Assumptions!$E$35*J143*-1</f>
        <v>-1553.0873955934396</v>
      </c>
      <c r="Q143" s="5">
        <f>J143*Assumptions!$E$36*-1</f>
        <v>-625.45999816467611</v>
      </c>
      <c r="R143" s="5">
        <f>R131+R131*Assumptions!$D$51</f>
        <v>-555.71776310795894</v>
      </c>
      <c r="S143" s="5">
        <f>S131+(S131*Assumptions!$D$51)</f>
        <v>0</v>
      </c>
      <c r="T143" s="5">
        <f t="shared" si="41"/>
        <v>0</v>
      </c>
      <c r="U143" s="22">
        <f t="shared" si="36"/>
        <v>-2734.2651568660744</v>
      </c>
      <c r="V143" s="5">
        <f>MAX(Assumptions!$E$18:$E$19)-U143</f>
        <v>5575.8981686647712</v>
      </c>
      <c r="W143" s="5">
        <f t="shared" si="37"/>
        <v>-2841.6330117986968</v>
      </c>
      <c r="X143" s="5">
        <f t="shared" si="42"/>
        <v>-2734.2651568660744</v>
      </c>
      <c r="Y143" s="5">
        <f>D143*Assumptions!$D$44*-1</f>
        <v>75.349627150043204</v>
      </c>
      <c r="Z143" s="5">
        <f t="shared" si="38"/>
        <v>75.349627150043204</v>
      </c>
      <c r="AA143" s="5">
        <f t="shared" si="48"/>
        <v>43264.868843081531</v>
      </c>
      <c r="AB143" s="3">
        <f>Assumptions!$E$45</f>
        <v>6.9899151946608562E-3</v>
      </c>
      <c r="AC143" s="5">
        <f t="shared" si="49"/>
        <v>43642.636234352838</v>
      </c>
      <c r="AD143" s="4">
        <f>AC143*Assumptions!$E$43</f>
        <v>39.085275743174634</v>
      </c>
      <c r="AE143" s="2">
        <f>AD143*Assumptions!$D$44*-1</f>
        <v>-5.8627913614761953</v>
      </c>
      <c r="AF143" s="2">
        <f>AC143*Assumptions!$E$46*-1</f>
        <v>-1.4544879042874215</v>
      </c>
      <c r="AG143" s="5">
        <f t="shared" si="50"/>
        <v>43635.318955087074</v>
      </c>
      <c r="AH143" s="20">
        <f>Model_30y[[#This Row],[Mortgage Payment]]+Model_30y[[#This Row],[Total Upkeep]]+Model_30y[[#This Row],[Monthly Investment]]</f>
        <v>-4056.3062820316827</v>
      </c>
      <c r="AI143" s="5">
        <f>Model_Renter!D143*-1</f>
        <v>4127.5077127612594</v>
      </c>
      <c r="AJ143" s="5">
        <f t="shared" si="43"/>
        <v>71.201430729576714</v>
      </c>
    </row>
    <row r="144" spans="1:36" x14ac:dyDescent="0.25">
      <c r="A144" s="17">
        <f t="shared" si="44"/>
        <v>142</v>
      </c>
      <c r="B144" s="17">
        <f t="shared" si="39"/>
        <v>12</v>
      </c>
      <c r="C144" s="23">
        <f>IFERROR(PPMT(Assumptions!$E$17, A144, 180, Assumptions!$D$8), 0)</f>
        <v>-2350.7062621818845</v>
      </c>
      <c r="D144" s="38">
        <f>IFERROR(IPMT(Assumptions!$E$17,A144,180,Assumptions!$D$8), 0)</f>
        <v>-490.92674961681246</v>
      </c>
      <c r="E144" s="2">
        <f t="shared" si="45"/>
        <v>-2841.6330117986972</v>
      </c>
      <c r="F144" s="2">
        <f>IF(I143&gt;1, Assumptions!$E$19, 0)*-1</f>
        <v>-2841.6330117986968</v>
      </c>
      <c r="G144" s="24">
        <f t="shared" si="40"/>
        <v>1</v>
      </c>
      <c r="H144" s="20">
        <f t="shared" si="46"/>
        <v>241647.78326386138</v>
      </c>
      <c r="I144" s="2">
        <f>MAX(Assumptions!$D$8-SUM(Model_15y!H144), 0)</f>
        <v>98352.216736138624</v>
      </c>
      <c r="J144" s="2">
        <f>J143*(1+(Assumptions!$E$51))</f>
        <v>757057.6791566863</v>
      </c>
      <c r="K144" s="22">
        <f t="shared" si="35"/>
        <v>658705.46242054761</v>
      </c>
      <c r="L144" s="5">
        <f t="shared" si="47"/>
        <v>326647.78326386143</v>
      </c>
      <c r="M144" s="63">
        <f>L144/Assumptions!$D$6</f>
        <v>0.7685830194443799</v>
      </c>
      <c r="N144" s="24">
        <f t="shared" si="34"/>
        <v>0</v>
      </c>
      <c r="O144" s="22">
        <f>N144*Assumptions!$E$25*-1</f>
        <v>0</v>
      </c>
      <c r="P144" s="5">
        <f>Assumptions!$E$35*J144*-1</f>
        <v>-1559.4148658899112</v>
      </c>
      <c r="Q144" s="5">
        <f>J144*Assumptions!$E$36*-1</f>
        <v>-628.00819961891943</v>
      </c>
      <c r="R144" s="5">
        <f>R132+R132*Assumptions!$D$51</f>
        <v>-555.71776310795894</v>
      </c>
      <c r="S144" s="5">
        <f>S132+(S132*Assumptions!$D$51)</f>
        <v>0</v>
      </c>
      <c r="T144" s="5">
        <f t="shared" si="41"/>
        <v>0</v>
      </c>
      <c r="U144" s="22">
        <f t="shared" si="36"/>
        <v>-2743.1408286167893</v>
      </c>
      <c r="V144" s="5">
        <f>MAX(Assumptions!$E$18:$E$19)-U144</f>
        <v>5584.7738404154861</v>
      </c>
      <c r="W144" s="5">
        <f t="shared" si="37"/>
        <v>-2841.6330117986968</v>
      </c>
      <c r="X144" s="5">
        <f t="shared" si="42"/>
        <v>-2743.1408286167893</v>
      </c>
      <c r="Y144" s="5">
        <f>D144*Assumptions!$D$44*-1</f>
        <v>73.63901244252186</v>
      </c>
      <c r="Z144" s="5">
        <f t="shared" si="38"/>
        <v>73.63901244252186</v>
      </c>
      <c r="AA144" s="5">
        <f t="shared" si="48"/>
        <v>43635.318955087074</v>
      </c>
      <c r="AB144" s="3">
        <f>Assumptions!$E$45</f>
        <v>6.9899151946608562E-3</v>
      </c>
      <c r="AC144" s="5">
        <f t="shared" si="49"/>
        <v>44013.965146517636</v>
      </c>
      <c r="AD144" s="4">
        <f>AC144*Assumptions!$E$43</f>
        <v>39.417828819149221</v>
      </c>
      <c r="AE144" s="2">
        <f>AD144*Assumptions!$D$44*-1</f>
        <v>-5.912674322872383</v>
      </c>
      <c r="AF144" s="2">
        <f>AC144*Assumptions!$E$46*-1</f>
        <v>-1.466863266040449</v>
      </c>
      <c r="AG144" s="5">
        <f t="shared" si="50"/>
        <v>44006.585608928726</v>
      </c>
      <c r="AH144" s="20">
        <f>Model_30y[[#This Row],[Mortgage Payment]]+Model_30y[[#This Row],[Total Upkeep]]+Model_30y[[#This Row],[Monthly Investment]]</f>
        <v>-4065.7225078722122</v>
      </c>
      <c r="AI144" s="5">
        <f>Model_Renter!D144*-1</f>
        <v>4127.5077127612594</v>
      </c>
      <c r="AJ144" s="5">
        <f t="shared" si="43"/>
        <v>61.785204889047236</v>
      </c>
    </row>
    <row r="145" spans="1:36" x14ac:dyDescent="0.25">
      <c r="A145" s="17">
        <f t="shared" si="44"/>
        <v>143</v>
      </c>
      <c r="B145" s="17">
        <f t="shared" si="39"/>
        <v>12</v>
      </c>
      <c r="C145" s="23">
        <f>IFERROR(PPMT(Assumptions!$E$17, A145, 180, Assumptions!$D$8), 0)</f>
        <v>-2362.1659552100209</v>
      </c>
      <c r="D145" s="38">
        <f>IFERROR(IPMT(Assumptions!$E$17,A145,180,Assumptions!$D$8), 0)</f>
        <v>-479.4670565886758</v>
      </c>
      <c r="E145" s="2">
        <f t="shared" si="45"/>
        <v>-2841.6330117986968</v>
      </c>
      <c r="F145" s="2">
        <f>IF(I144&gt;1, Assumptions!$E$19, 0)*-1</f>
        <v>-2841.6330117986968</v>
      </c>
      <c r="G145" s="24">
        <f t="shared" si="40"/>
        <v>1</v>
      </c>
      <c r="H145" s="20">
        <f t="shared" si="46"/>
        <v>244009.94921907139</v>
      </c>
      <c r="I145" s="2">
        <f>MAX(Assumptions!$D$8-SUM(Model_15y!H145), 0)</f>
        <v>95990.050780928606</v>
      </c>
      <c r="J145" s="2">
        <f>J144*(1+(Assumptions!$E$51))</f>
        <v>760142.02585293213</v>
      </c>
      <c r="K145" s="22">
        <f t="shared" si="35"/>
        <v>664151.97507200355</v>
      </c>
      <c r="L145" s="5">
        <f t="shared" si="47"/>
        <v>329009.94921907148</v>
      </c>
      <c r="M145" s="63">
        <f>L145/Assumptions!$D$6</f>
        <v>0.77414105698605051</v>
      </c>
      <c r="N145" s="24">
        <f t="shared" si="34"/>
        <v>0</v>
      </c>
      <c r="O145" s="22">
        <f>N145*Assumptions!$E$25*-1</f>
        <v>0</v>
      </c>
      <c r="P145" s="5">
        <f>Assumptions!$E$35*J145*-1</f>
        <v>-1565.7681150836079</v>
      </c>
      <c r="Q145" s="5">
        <f>J145*Assumptions!$E$36*-1</f>
        <v>-630.56678276131299</v>
      </c>
      <c r="R145" s="5">
        <f>R133+R133*Assumptions!$D$51</f>
        <v>-555.71776310795894</v>
      </c>
      <c r="S145" s="5">
        <f>S133+(S133*Assumptions!$D$51)</f>
        <v>0</v>
      </c>
      <c r="T145" s="5">
        <f t="shared" si="41"/>
        <v>0</v>
      </c>
      <c r="U145" s="22">
        <f t="shared" si="36"/>
        <v>-2752.0526609528797</v>
      </c>
      <c r="V145" s="5">
        <f>MAX(Assumptions!$E$18:$E$19)-U145</f>
        <v>5593.6856727515769</v>
      </c>
      <c r="W145" s="5">
        <f t="shared" si="37"/>
        <v>-2841.6330117986968</v>
      </c>
      <c r="X145" s="5">
        <f t="shared" si="42"/>
        <v>-2752.0526609528797</v>
      </c>
      <c r="Y145" s="5">
        <f>D145*Assumptions!$D$44*-1</f>
        <v>71.920058488301365</v>
      </c>
      <c r="Z145" s="5">
        <f t="shared" si="38"/>
        <v>71.920058488301819</v>
      </c>
      <c r="AA145" s="5">
        <f t="shared" si="48"/>
        <v>44006.585608928726</v>
      </c>
      <c r="AB145" s="3">
        <f>Assumptions!$E$45</f>
        <v>6.9899151946608562E-3</v>
      </c>
      <c r="AC145" s="5">
        <f t="shared" si="49"/>
        <v>44386.107968830023</v>
      </c>
      <c r="AD145" s="4">
        <f>AC145*Assumptions!$E$43</f>
        <v>39.751110813110756</v>
      </c>
      <c r="AE145" s="2">
        <f>AD145*Assumptions!$D$44*-1</f>
        <v>-5.9626666219666129</v>
      </c>
      <c r="AF145" s="2">
        <f>AC145*Assumptions!$E$46*-1</f>
        <v>-1.4792657531591049</v>
      </c>
      <c r="AG145" s="5">
        <f t="shared" si="50"/>
        <v>44378.666036454895</v>
      </c>
      <c r="AH145" s="20">
        <f>Model_30y[[#This Row],[Mortgage Payment]]+Model_30y[[#This Row],[Total Upkeep]]+Model_30y[[#This Row],[Monthly Investment]]</f>
        <v>-4075.1779214010203</v>
      </c>
      <c r="AI145" s="5">
        <f>Model_Renter!D145*-1</f>
        <v>4127.5077127612594</v>
      </c>
      <c r="AJ145" s="5">
        <f t="shared" si="43"/>
        <v>52.329791360239142</v>
      </c>
    </row>
    <row r="146" spans="1:36" x14ac:dyDescent="0.25">
      <c r="A146" s="17">
        <f t="shared" si="44"/>
        <v>144</v>
      </c>
      <c r="B146" s="17">
        <f t="shared" si="39"/>
        <v>12</v>
      </c>
      <c r="C146" s="23">
        <f>IFERROR(PPMT(Assumptions!$E$17, A146, 180, Assumptions!$D$8), 0)</f>
        <v>-2373.6815142416699</v>
      </c>
      <c r="D146" s="38">
        <f>IFERROR(IPMT(Assumptions!$E$17,A146,180,Assumptions!$D$8), 0)</f>
        <v>-467.95149755702704</v>
      </c>
      <c r="E146" s="2">
        <f t="shared" si="45"/>
        <v>-2841.6330117986968</v>
      </c>
      <c r="F146" s="2">
        <f>IF(I145&gt;1, Assumptions!$E$19, 0)*-1</f>
        <v>-2841.6330117986968</v>
      </c>
      <c r="G146" s="24">
        <f t="shared" si="40"/>
        <v>1</v>
      </c>
      <c r="H146" s="20">
        <f t="shared" si="46"/>
        <v>246383.63073331307</v>
      </c>
      <c r="I146" s="2">
        <f>MAX(Assumptions!$D$8-SUM(Model_15y!H146), 0)</f>
        <v>93616.369266686932</v>
      </c>
      <c r="J146" s="2">
        <f>J145*(1+(Assumptions!$E$51))</f>
        <v>763238.93855941016</v>
      </c>
      <c r="K146" s="22">
        <f t="shared" si="35"/>
        <v>669622.5692927232</v>
      </c>
      <c r="L146" s="5">
        <f t="shared" si="47"/>
        <v>331383.63073331316</v>
      </c>
      <c r="M146" s="63">
        <f>L146/Assumptions!$D$6</f>
        <v>0.77972618996073684</v>
      </c>
      <c r="N146" s="24">
        <f t="shared" ref="N146:N209" si="51">IF(M146&lt;0.2, 1, 0)</f>
        <v>0</v>
      </c>
      <c r="O146" s="22">
        <f>N146*Assumptions!$E$25*-1</f>
        <v>0</v>
      </c>
      <c r="P146" s="5">
        <f>Assumptions!$E$35*J146*-1</f>
        <v>-1572.1472482009483</v>
      </c>
      <c r="Q146" s="5">
        <f>J146*Assumptions!$E$36*-1</f>
        <v>-633.13578988813947</v>
      </c>
      <c r="R146" s="5">
        <f>R134+R134*Assumptions!$D$51</f>
        <v>-555.71776310795894</v>
      </c>
      <c r="S146" s="5">
        <f>S134+(S134*Assumptions!$D$51)</f>
        <v>0</v>
      </c>
      <c r="T146" s="5">
        <f t="shared" si="41"/>
        <v>0</v>
      </c>
      <c r="U146" s="22">
        <f t="shared" si="36"/>
        <v>-2761.0008011970467</v>
      </c>
      <c r="V146" s="5">
        <f>MAX(Assumptions!$E$18:$E$19)-U146</f>
        <v>5602.6338129957439</v>
      </c>
      <c r="W146" s="5">
        <f t="shared" si="37"/>
        <v>-2841.6330117986968</v>
      </c>
      <c r="X146" s="5">
        <f t="shared" si="42"/>
        <v>-2761.0008011970467</v>
      </c>
      <c r="Y146" s="5">
        <f>D146*Assumptions!$D$44*-1</f>
        <v>70.19272463355405</v>
      </c>
      <c r="Z146" s="5">
        <f t="shared" si="38"/>
        <v>70.192724633554505</v>
      </c>
      <c r="AA146" s="5">
        <f t="shared" si="48"/>
        <v>44378.666036454895</v>
      </c>
      <c r="AB146" s="3">
        <f>Assumptions!$E$45</f>
        <v>6.9899151946608562E-3</v>
      </c>
      <c r="AC146" s="5">
        <f t="shared" si="49"/>
        <v>44759.061873135448</v>
      </c>
      <c r="AD146" s="4">
        <f>AC146*Assumptions!$E$43</f>
        <v>40.0851191922333</v>
      </c>
      <c r="AE146" s="2">
        <f>AD146*Assumptions!$D$44*-1</f>
        <v>-6.0127678788349952</v>
      </c>
      <c r="AF146" s="2">
        <f>AC146*Assumptions!$E$46*-1</f>
        <v>-1.4916952713888498</v>
      </c>
      <c r="AG146" s="5">
        <f t="shared" si="50"/>
        <v>44751.557409985224</v>
      </c>
      <c r="AH146" s="20">
        <f>Model_30y[[#This Row],[Mortgage Payment]]+Model_30y[[#This Row],[Total Upkeep]]+Model_30y[[#This Row],[Monthly Investment]]</f>
        <v>-4084.6726868925844</v>
      </c>
      <c r="AI146" s="5">
        <f>Model_Renter!D146*-1</f>
        <v>4127.5077127612594</v>
      </c>
      <c r="AJ146" s="5">
        <f t="shared" si="43"/>
        <v>42.835025868675075</v>
      </c>
    </row>
    <row r="147" spans="1:36" x14ac:dyDescent="0.25">
      <c r="A147" s="17">
        <f t="shared" si="44"/>
        <v>145</v>
      </c>
      <c r="B147" s="17">
        <f t="shared" si="39"/>
        <v>13</v>
      </c>
      <c r="C147" s="23">
        <f>IFERROR(PPMT(Assumptions!$E$17, A147, 180, Assumptions!$D$8), 0)</f>
        <v>-2385.253211623598</v>
      </c>
      <c r="D147" s="38">
        <f>IFERROR(IPMT(Assumptions!$E$17,A147,180,Assumptions!$D$8), 0)</f>
        <v>-456.37980017509886</v>
      </c>
      <c r="E147" s="2">
        <f t="shared" si="45"/>
        <v>-2841.6330117986968</v>
      </c>
      <c r="F147" s="2">
        <f>IF(I146&gt;1, Assumptions!$E$19, 0)*-1</f>
        <v>-2841.6330117986968</v>
      </c>
      <c r="G147" s="24">
        <f t="shared" si="40"/>
        <v>1</v>
      </c>
      <c r="H147" s="20">
        <f t="shared" si="46"/>
        <v>248768.88394493668</v>
      </c>
      <c r="I147" s="2">
        <f>MAX(Assumptions!$D$8-SUM(Model_15y!H147), 0)</f>
        <v>91231.116055063321</v>
      </c>
      <c r="J147" s="2">
        <f>J146*(1+(Assumptions!$E$51))</f>
        <v>766348.46847160161</v>
      </c>
      <c r="K147" s="22">
        <f t="shared" si="35"/>
        <v>675117.35241653828</v>
      </c>
      <c r="L147" s="5">
        <f t="shared" si="47"/>
        <v>333768.88394493674</v>
      </c>
      <c r="M147" s="63">
        <f>L147/Assumptions!$D$6</f>
        <v>0.78533855045867462</v>
      </c>
      <c r="N147" s="24">
        <f t="shared" si="51"/>
        <v>0</v>
      </c>
      <c r="O147" s="22">
        <f>N147*Assumptions!$E$25*-1</f>
        <v>0</v>
      </c>
      <c r="P147" s="5">
        <f>Assumptions!$E$35*J147*-1</f>
        <v>-1578.552370696241</v>
      </c>
      <c r="Q147" s="5">
        <f>J147*Assumptions!$E$36*-1</f>
        <v>-635.71526346800169</v>
      </c>
      <c r="R147" s="5">
        <f>R135+R135*Assumptions!$D$51</f>
        <v>-583.50365126335691</v>
      </c>
      <c r="S147" s="5">
        <f>S135+(S135*Assumptions!$D$51)</f>
        <v>0</v>
      </c>
      <c r="T147" s="5">
        <f t="shared" si="41"/>
        <v>0</v>
      </c>
      <c r="U147" s="22">
        <f t="shared" si="36"/>
        <v>-2797.7712854275997</v>
      </c>
      <c r="V147" s="5">
        <f>MAX(Assumptions!$E$18:$E$19)-U147</f>
        <v>5639.404297226296</v>
      </c>
      <c r="W147" s="5">
        <f t="shared" si="37"/>
        <v>-2841.6330117986968</v>
      </c>
      <c r="X147" s="5">
        <f t="shared" si="42"/>
        <v>-2797.7712854275997</v>
      </c>
      <c r="Y147" s="5">
        <f>D147*Assumptions!$D$44*-1</f>
        <v>68.456970026264827</v>
      </c>
      <c r="Z147" s="5">
        <f t="shared" si="38"/>
        <v>68.456970026264372</v>
      </c>
      <c r="AA147" s="5">
        <f t="shared" si="48"/>
        <v>44751.557409985224</v>
      </c>
      <c r="AB147" s="3">
        <f>Assumptions!$E$45</f>
        <v>6.9899151946608562E-3</v>
      </c>
      <c r="AC147" s="5">
        <f t="shared" si="49"/>
        <v>45132.823971136284</v>
      </c>
      <c r="AD147" s="4">
        <f>AC147*Assumptions!$E$43</f>
        <v>40.419851369828272</v>
      </c>
      <c r="AE147" s="2">
        <f>AD147*Assumptions!$D$44*-1</f>
        <v>-6.0629777054742409</v>
      </c>
      <c r="AF147" s="2">
        <f>AC147*Assumptions!$E$46*-1</f>
        <v>-1.5041517244707421</v>
      </c>
      <c r="AG147" s="5">
        <f t="shared" si="50"/>
        <v>45125.256841706338</v>
      </c>
      <c r="AH147" s="20">
        <f>Model_30y[[#This Row],[Mortgage Payment]]+Model_30y[[#This Row],[Total Upkeep]]+Model_30y[[#This Row],[Monthly Investment]]</f>
        <v>-4121.9928574719197</v>
      </c>
      <c r="AI147" s="5">
        <f>Model_Renter!D147*-1</f>
        <v>4281.8765012185313</v>
      </c>
      <c r="AJ147" s="5">
        <f t="shared" si="43"/>
        <v>159.8836437466116</v>
      </c>
    </row>
    <row r="148" spans="1:36" x14ac:dyDescent="0.25">
      <c r="A148" s="17">
        <f t="shared" si="44"/>
        <v>146</v>
      </c>
      <c r="B148" s="17">
        <f t="shared" si="39"/>
        <v>13</v>
      </c>
      <c r="C148" s="23">
        <f>IFERROR(PPMT(Assumptions!$E$17, A148, 180, Assumptions!$D$8), 0)</f>
        <v>-2396.8813210302633</v>
      </c>
      <c r="D148" s="38">
        <f>IFERROR(IPMT(Assumptions!$E$17,A148,180,Assumptions!$D$8), 0)</f>
        <v>-444.75169076843378</v>
      </c>
      <c r="E148" s="2">
        <f t="shared" si="45"/>
        <v>-2841.6330117986972</v>
      </c>
      <c r="F148" s="2">
        <f>IF(I147&gt;1, Assumptions!$E$19, 0)*-1</f>
        <v>-2841.6330117986968</v>
      </c>
      <c r="G148" s="24">
        <f t="shared" si="40"/>
        <v>1</v>
      </c>
      <c r="H148" s="20">
        <f t="shared" si="46"/>
        <v>251165.76526596694</v>
      </c>
      <c r="I148" s="2">
        <f>MAX(Assumptions!$D$8-SUM(Model_15y!H148), 0)</f>
        <v>88834.23473403306</v>
      </c>
      <c r="J148" s="2">
        <f>J147*(1+(Assumptions!$E$51))</f>
        <v>769470.66699356423</v>
      </c>
      <c r="K148" s="22">
        <f t="shared" si="35"/>
        <v>680636.43225953123</v>
      </c>
      <c r="L148" s="5">
        <f t="shared" si="47"/>
        <v>336165.765265967</v>
      </c>
      <c r="M148" s="63">
        <f>L148/Assumptions!$D$6</f>
        <v>0.79097827121403996</v>
      </c>
      <c r="N148" s="24">
        <f t="shared" si="51"/>
        <v>0</v>
      </c>
      <c r="O148" s="22">
        <f>N148*Assumptions!$E$25*-1</f>
        <v>0</v>
      </c>
      <c r="P148" s="5">
        <f>Assumptions!$E$35*J148*-1</f>
        <v>-1584.9835884534291</v>
      </c>
      <c r="Q148" s="5">
        <f>J148*Assumptions!$E$36*-1</f>
        <v>-638.30524614252499</v>
      </c>
      <c r="R148" s="5">
        <f>R136+R136*Assumptions!$D$51</f>
        <v>-583.50365126335691</v>
      </c>
      <c r="S148" s="5">
        <f>S136+(S136*Assumptions!$D$51)</f>
        <v>0</v>
      </c>
      <c r="T148" s="5">
        <f t="shared" si="41"/>
        <v>0</v>
      </c>
      <c r="U148" s="22">
        <f t="shared" si="36"/>
        <v>-2806.792485859311</v>
      </c>
      <c r="V148" s="5">
        <f>MAX(Assumptions!$E$18:$E$19)-U148</f>
        <v>5648.4254976580078</v>
      </c>
      <c r="W148" s="5">
        <f t="shared" si="37"/>
        <v>-2841.6330117986968</v>
      </c>
      <c r="X148" s="5">
        <f t="shared" si="42"/>
        <v>-2806.792485859311</v>
      </c>
      <c r="Y148" s="5">
        <f>D148*Assumptions!$D$44*-1</f>
        <v>66.712753615265058</v>
      </c>
      <c r="Z148" s="5">
        <f t="shared" si="38"/>
        <v>66.712753615265058</v>
      </c>
      <c r="AA148" s="5">
        <f t="shared" si="48"/>
        <v>45125.256841706338</v>
      </c>
      <c r="AB148" s="3">
        <f>Assumptions!$E$45</f>
        <v>6.9899151946608562E-3</v>
      </c>
      <c r="AC148" s="5">
        <f t="shared" si="49"/>
        <v>45507.391313782413</v>
      </c>
      <c r="AD148" s="4">
        <f>AC148*Assumptions!$E$43</f>
        <v>40.755304704798633</v>
      </c>
      <c r="AE148" s="2">
        <f>AD148*Assumptions!$D$44*-1</f>
        <v>-6.1132957057197945</v>
      </c>
      <c r="AF148" s="2">
        <f>AC148*Assumptions!$E$46*-1</f>
        <v>-1.5166350141211284</v>
      </c>
      <c r="AG148" s="5">
        <f t="shared" si="50"/>
        <v>45499.761383062571</v>
      </c>
      <c r="AH148" s="20">
        <f>Model_30y[[#This Row],[Mortgage Payment]]+Model_30y[[#This Row],[Total Upkeep]]+Model_30y[[#This Row],[Monthly Investment]]</f>
        <v>-4131.5668224959672</v>
      </c>
      <c r="AI148" s="5">
        <f>Model_Renter!D148*-1</f>
        <v>4281.8765012185313</v>
      </c>
      <c r="AJ148" s="5">
        <f t="shared" si="43"/>
        <v>150.30967872256406</v>
      </c>
    </row>
    <row r="149" spans="1:36" x14ac:dyDescent="0.25">
      <c r="A149" s="17">
        <f t="shared" si="44"/>
        <v>147</v>
      </c>
      <c r="B149" s="17">
        <f t="shared" si="39"/>
        <v>13</v>
      </c>
      <c r="C149" s="23">
        <f>IFERROR(PPMT(Assumptions!$E$17, A149, 180, Assumptions!$D$8), 0)</f>
        <v>-2408.5661174702855</v>
      </c>
      <c r="D149" s="38">
        <f>IFERROR(IPMT(Assumptions!$E$17,A149,180,Assumptions!$D$8), 0)</f>
        <v>-433.06689432841125</v>
      </c>
      <c r="E149" s="2">
        <f t="shared" si="45"/>
        <v>-2841.6330117986968</v>
      </c>
      <c r="F149" s="2">
        <f>IF(I148&gt;1, Assumptions!$E$19, 0)*-1</f>
        <v>-2841.6330117986968</v>
      </c>
      <c r="G149" s="24">
        <f t="shared" si="40"/>
        <v>1</v>
      </c>
      <c r="H149" s="20">
        <f t="shared" si="46"/>
        <v>253574.33138343724</v>
      </c>
      <c r="I149" s="2">
        <f>MAX(Assumptions!$D$8-SUM(Model_15y!H149), 0)</f>
        <v>86425.668616562762</v>
      </c>
      <c r="J149" s="2">
        <f>J148*(1+(Assumptions!$E$51))</f>
        <v>772605.58573878242</v>
      </c>
      <c r="K149" s="22">
        <f t="shared" si="35"/>
        <v>686179.91712221969</v>
      </c>
      <c r="L149" s="5">
        <f t="shared" si="47"/>
        <v>338574.33138343727</v>
      </c>
      <c r="M149" s="63">
        <f>L149/Assumptions!$D$6</f>
        <v>0.79664548560808768</v>
      </c>
      <c r="N149" s="24">
        <f t="shared" si="51"/>
        <v>0</v>
      </c>
      <c r="O149" s="22">
        <f>N149*Assumptions!$E$25*-1</f>
        <v>0</v>
      </c>
      <c r="P149" s="5">
        <f>Assumptions!$E$35*J149*-1</f>
        <v>-1591.4410077878395</v>
      </c>
      <c r="Q149" s="5">
        <f>J149*Assumptions!$E$36*-1</f>
        <v>-640.90578072706171</v>
      </c>
      <c r="R149" s="5">
        <f>R137+R137*Assumptions!$D$51</f>
        <v>-583.50365126335691</v>
      </c>
      <c r="S149" s="5">
        <f>S137+(S137*Assumptions!$D$51)</f>
        <v>0</v>
      </c>
      <c r="T149" s="5">
        <f t="shared" si="41"/>
        <v>0</v>
      </c>
      <c r="U149" s="22">
        <f t="shared" si="36"/>
        <v>-2815.8504397782581</v>
      </c>
      <c r="V149" s="5">
        <f>MAX(Assumptions!$E$18:$E$19)-U149</f>
        <v>5657.4834515769544</v>
      </c>
      <c r="W149" s="5">
        <f t="shared" si="37"/>
        <v>-2841.6330117986968</v>
      </c>
      <c r="X149" s="5">
        <f t="shared" si="42"/>
        <v>-2815.8504397782581</v>
      </c>
      <c r="Y149" s="5">
        <f>D149*Assumptions!$D$44*-1</f>
        <v>64.960034149261688</v>
      </c>
      <c r="Z149" s="5">
        <f t="shared" si="38"/>
        <v>64.960034149261233</v>
      </c>
      <c r="AA149" s="5">
        <f t="shared" si="48"/>
        <v>45499.761383062571</v>
      </c>
      <c r="AB149" s="3">
        <f>Assumptions!$E$45</f>
        <v>6.9899151946608562E-3</v>
      </c>
      <c r="AC149" s="5">
        <f t="shared" si="49"/>
        <v>45882.760890656748</v>
      </c>
      <c r="AD149" s="4">
        <f>AC149*Assumptions!$E$43</f>
        <v>41.091476501088607</v>
      </c>
      <c r="AE149" s="2">
        <f>AD149*Assumptions!$D$44*-1</f>
        <v>-6.1637214751632907</v>
      </c>
      <c r="AF149" s="2">
        <f>AC149*Assumptions!$E$46*-1</f>
        <v>-1.529145040011165</v>
      </c>
      <c r="AG149" s="5">
        <f t="shared" si="50"/>
        <v>45875.068024141576</v>
      </c>
      <c r="AH149" s="20">
        <f>Model_30y[[#This Row],[Mortgage Payment]]+Model_30y[[#This Row],[Total Upkeep]]+Model_30y[[#This Row],[Monthly Investment]]</f>
        <v>-4141.1806364889671</v>
      </c>
      <c r="AI149" s="5">
        <f>Model_Renter!D149*-1</f>
        <v>4281.8765012185313</v>
      </c>
      <c r="AJ149" s="5">
        <f t="shared" si="43"/>
        <v>140.69586472956416</v>
      </c>
    </row>
    <row r="150" spans="1:36" x14ac:dyDescent="0.25">
      <c r="A150" s="17">
        <f t="shared" si="44"/>
        <v>148</v>
      </c>
      <c r="B150" s="17">
        <f t="shared" si="39"/>
        <v>13</v>
      </c>
      <c r="C150" s="23">
        <f>IFERROR(PPMT(Assumptions!$E$17, A150, 180, Assumptions!$D$8), 0)</f>
        <v>-2420.3078772929534</v>
      </c>
      <c r="D150" s="38">
        <f>IFERROR(IPMT(Assumptions!$E$17,A150,180,Assumptions!$D$8), 0)</f>
        <v>-421.32513450574362</v>
      </c>
      <c r="E150" s="2">
        <f t="shared" si="45"/>
        <v>-2841.6330117986972</v>
      </c>
      <c r="F150" s="2">
        <f>IF(I149&gt;1, Assumptions!$E$19, 0)*-1</f>
        <v>-2841.6330117986968</v>
      </c>
      <c r="G150" s="24">
        <f t="shared" si="40"/>
        <v>1</v>
      </c>
      <c r="H150" s="20">
        <f t="shared" si="46"/>
        <v>255994.63926073018</v>
      </c>
      <c r="I150" s="2">
        <f>MAX(Assumptions!$D$8-SUM(Model_15y!H150), 0)</f>
        <v>84005.360739269818</v>
      </c>
      <c r="J150" s="2">
        <f>J149*(1+(Assumptions!$E$51))</f>
        <v>775753.27653102041</v>
      </c>
      <c r="K150" s="22">
        <f t="shared" si="35"/>
        <v>691747.91579175065</v>
      </c>
      <c r="L150" s="5">
        <f t="shared" si="47"/>
        <v>340994.63926073024</v>
      </c>
      <c r="M150" s="63">
        <f>L150/Assumptions!$D$6</f>
        <v>0.80234032767230645</v>
      </c>
      <c r="N150" s="24">
        <f t="shared" si="51"/>
        <v>0</v>
      </c>
      <c r="O150" s="22">
        <f>N150*Assumptions!$E$25*-1</f>
        <v>0</v>
      </c>
      <c r="P150" s="5">
        <f>Assumptions!$E$35*J150*-1</f>
        <v>-1597.9247354479412</v>
      </c>
      <c r="Q150" s="5">
        <f>J150*Assumptions!$E$36*-1</f>
        <v>-643.51691021139959</v>
      </c>
      <c r="R150" s="5">
        <f>R138+R138*Assumptions!$D$51</f>
        <v>-583.50365126335691</v>
      </c>
      <c r="S150" s="5">
        <f>S138+(S138*Assumptions!$D$51)</f>
        <v>0</v>
      </c>
      <c r="T150" s="5">
        <f t="shared" si="41"/>
        <v>0</v>
      </c>
      <c r="U150" s="22">
        <f t="shared" si="36"/>
        <v>-2824.9452969226977</v>
      </c>
      <c r="V150" s="5">
        <f>MAX(Assumptions!$E$18:$E$19)-U150</f>
        <v>5666.5783087213949</v>
      </c>
      <c r="W150" s="5">
        <f t="shared" si="37"/>
        <v>-2841.6330117986968</v>
      </c>
      <c r="X150" s="5">
        <f t="shared" si="42"/>
        <v>-2824.9452969226977</v>
      </c>
      <c r="Y150" s="5">
        <f>D150*Assumptions!$D$44*-1</f>
        <v>63.19877017586154</v>
      </c>
      <c r="Z150" s="5">
        <f t="shared" si="38"/>
        <v>63.198770175861995</v>
      </c>
      <c r="AA150" s="5">
        <f t="shared" si="48"/>
        <v>45875.068024141576</v>
      </c>
      <c r="AB150" s="3">
        <f>Assumptions!$E$45</f>
        <v>6.9899151946608562E-3</v>
      </c>
      <c r="AC150" s="5">
        <f t="shared" si="49"/>
        <v>46258.929629355487</v>
      </c>
      <c r="AD150" s="4">
        <f>AC150*Assumptions!$E$43</f>
        <v>41.428364007128614</v>
      </c>
      <c r="AE150" s="2">
        <f>AD150*Assumptions!$D$44*-1</f>
        <v>-6.2142546010692916</v>
      </c>
      <c r="AF150" s="2">
        <f>AC150*Assumptions!$E$46*-1</f>
        <v>-1.5416816997461631</v>
      </c>
      <c r="AG150" s="5">
        <f t="shared" si="50"/>
        <v>46251.173693054669</v>
      </c>
      <c r="AH150" s="20">
        <f>Model_30y[[#This Row],[Mortgage Payment]]+Model_30y[[#This Row],[Total Upkeep]]+Model_30y[[#This Row],[Monthly Investment]]</f>
        <v>-4150.8344665238737</v>
      </c>
      <c r="AI150" s="5">
        <f>Model_Renter!D150*-1</f>
        <v>4281.8765012185313</v>
      </c>
      <c r="AJ150" s="5">
        <f t="shared" si="43"/>
        <v>131.04203469465756</v>
      </c>
    </row>
    <row r="151" spans="1:36" x14ac:dyDescent="0.25">
      <c r="A151" s="17">
        <f t="shared" si="44"/>
        <v>149</v>
      </c>
      <c r="B151" s="17">
        <f t="shared" si="39"/>
        <v>13</v>
      </c>
      <c r="C151" s="23">
        <f>IFERROR(PPMT(Assumptions!$E$17, A151, 180, Assumptions!$D$8), 0)</f>
        <v>-2432.1068781947565</v>
      </c>
      <c r="D151" s="38">
        <f>IFERROR(IPMT(Assumptions!$E$17,A151,180,Assumptions!$D$8), 0)</f>
        <v>-409.52613360394048</v>
      </c>
      <c r="E151" s="2">
        <f t="shared" si="45"/>
        <v>-2841.6330117986972</v>
      </c>
      <c r="F151" s="2">
        <f>IF(I150&gt;1, Assumptions!$E$19, 0)*-1</f>
        <v>-2841.6330117986968</v>
      </c>
      <c r="G151" s="24">
        <f t="shared" si="40"/>
        <v>1</v>
      </c>
      <c r="H151" s="20">
        <f t="shared" si="46"/>
        <v>258426.74613892494</v>
      </c>
      <c r="I151" s="2">
        <f>MAX(Assumptions!$D$8-SUM(Model_15y!H151), 0)</f>
        <v>81573.253861075063</v>
      </c>
      <c r="J151" s="2">
        <f>J150*(1+(Assumptions!$E$51))</f>
        <v>778913.79140517861</v>
      </c>
      <c r="K151" s="22">
        <f t="shared" si="35"/>
        <v>697340.53754410357</v>
      </c>
      <c r="L151" s="5">
        <f t="shared" si="47"/>
        <v>343426.74613892502</v>
      </c>
      <c r="M151" s="63">
        <f>L151/Assumptions!$D$6</f>
        <v>0.8080629320915883</v>
      </c>
      <c r="N151" s="24">
        <f t="shared" si="51"/>
        <v>0</v>
      </c>
      <c r="O151" s="22">
        <f>N151*Assumptions!$E$25*-1</f>
        <v>0</v>
      </c>
      <c r="P151" s="5">
        <f>Assumptions!$E$35*J151*-1</f>
        <v>-1604.4348786171099</v>
      </c>
      <c r="Q151" s="5">
        <f>J151*Assumptions!$E$36*-1</f>
        <v>-646.13867776047175</v>
      </c>
      <c r="R151" s="5">
        <f>R139+R139*Assumptions!$D$51</f>
        <v>-583.50365126335691</v>
      </c>
      <c r="S151" s="5">
        <f>S139+(S139*Assumptions!$D$51)</f>
        <v>0</v>
      </c>
      <c r="T151" s="5">
        <f t="shared" si="41"/>
        <v>0</v>
      </c>
      <c r="U151" s="22">
        <f t="shared" si="36"/>
        <v>-2834.0772076409385</v>
      </c>
      <c r="V151" s="5">
        <f>MAX(Assumptions!$E$18:$E$19)-U151</f>
        <v>5675.7102194396357</v>
      </c>
      <c r="W151" s="5">
        <f t="shared" si="37"/>
        <v>-2841.6330117986968</v>
      </c>
      <c r="X151" s="5">
        <f t="shared" si="42"/>
        <v>-2834.0772076409385</v>
      </c>
      <c r="Y151" s="5">
        <f>D151*Assumptions!$D$44*-1</f>
        <v>61.428920040591066</v>
      </c>
      <c r="Z151" s="5">
        <f t="shared" si="38"/>
        <v>61.428920040591521</v>
      </c>
      <c r="AA151" s="5">
        <f t="shared" si="48"/>
        <v>46251.173693054669</v>
      </c>
      <c r="AB151" s="3">
        <f>Assumptions!$E$45</f>
        <v>6.9899151946608562E-3</v>
      </c>
      <c r="AC151" s="5">
        <f t="shared" si="49"/>
        <v>46635.894394863244</v>
      </c>
      <c r="AD151" s="4">
        <f>AC151*Assumptions!$E$43</f>
        <v>41.76596441527569</v>
      </c>
      <c r="AE151" s="2">
        <f>AD151*Assumptions!$D$44*-1</f>
        <v>-6.2648946622913533</v>
      </c>
      <c r="AF151" s="2">
        <f>AC151*Assumptions!$E$46*-1</f>
        <v>-1.5542448888447629</v>
      </c>
      <c r="AG151" s="5">
        <f t="shared" si="50"/>
        <v>46628.075255312106</v>
      </c>
      <c r="AH151" s="20">
        <f>Model_30y[[#This Row],[Mortgage Payment]]+Model_30y[[#This Row],[Total Upkeep]]+Model_30y[[#This Row],[Monthly Investment]]</f>
        <v>-4160.528480380769</v>
      </c>
      <c r="AI151" s="5">
        <f>Model_Renter!D151*-1</f>
        <v>4281.8765012185313</v>
      </c>
      <c r="AJ151" s="5">
        <f t="shared" si="43"/>
        <v>121.34802083776231</v>
      </c>
    </row>
    <row r="152" spans="1:36" x14ac:dyDescent="0.25">
      <c r="A152" s="17">
        <f t="shared" si="44"/>
        <v>150</v>
      </c>
      <c r="B152" s="17">
        <f t="shared" si="39"/>
        <v>13</v>
      </c>
      <c r="C152" s="23">
        <f>IFERROR(PPMT(Assumptions!$E$17, A152, 180, Assumptions!$D$8), 0)</f>
        <v>-2443.963399225956</v>
      </c>
      <c r="D152" s="38">
        <f>IFERROR(IPMT(Assumptions!$E$17,A152,180,Assumptions!$D$8), 0)</f>
        <v>-397.66961257274102</v>
      </c>
      <c r="E152" s="2">
        <f t="shared" si="45"/>
        <v>-2841.6330117986972</v>
      </c>
      <c r="F152" s="2">
        <f>IF(I151&gt;1, Assumptions!$E$19, 0)*-1</f>
        <v>-2841.6330117986968</v>
      </c>
      <c r="G152" s="24">
        <f t="shared" si="40"/>
        <v>1</v>
      </c>
      <c r="H152" s="20">
        <f t="shared" si="46"/>
        <v>260870.7095381509</v>
      </c>
      <c r="I152" s="2">
        <f>MAX(Assumptions!$D$8-SUM(Model_15y!H152), 0)</f>
        <v>79129.290461849101</v>
      </c>
      <c r="J152" s="2">
        <f>J151*(1+(Assumptions!$E$51))</f>
        <v>782087.18260815414</v>
      </c>
      <c r="K152" s="22">
        <f t="shared" si="35"/>
        <v>702957.89214630506</v>
      </c>
      <c r="L152" s="5">
        <f t="shared" si="47"/>
        <v>345870.70953815099</v>
      </c>
      <c r="M152" s="63">
        <f>L152/Assumptions!$D$6</f>
        <v>0.81381343420741403</v>
      </c>
      <c r="N152" s="24">
        <f t="shared" si="51"/>
        <v>0</v>
      </c>
      <c r="O152" s="22">
        <f>N152*Assumptions!$E$25*-1</f>
        <v>0</v>
      </c>
      <c r="P152" s="5">
        <f>Assumptions!$E$35*J152*-1</f>
        <v>-1610.9715449153987</v>
      </c>
      <c r="Q152" s="5">
        <f>J152*Assumptions!$E$36*-1</f>
        <v>-648.77112671507075</v>
      </c>
      <c r="R152" s="5">
        <f>R140+R140*Assumptions!$D$51</f>
        <v>-583.50365126335691</v>
      </c>
      <c r="S152" s="5">
        <f>S140+(S140*Assumptions!$D$51)</f>
        <v>0</v>
      </c>
      <c r="T152" s="5">
        <f t="shared" si="41"/>
        <v>0</v>
      </c>
      <c r="U152" s="22">
        <f t="shared" si="36"/>
        <v>-2843.2463228938263</v>
      </c>
      <c r="V152" s="5">
        <f>MAX(Assumptions!$E$18:$E$19)-U152</f>
        <v>5684.8793346925231</v>
      </c>
      <c r="W152" s="5">
        <f t="shared" si="37"/>
        <v>-2841.6330117986968</v>
      </c>
      <c r="X152" s="5">
        <f t="shared" si="42"/>
        <v>-2843.2463228938263</v>
      </c>
      <c r="Y152" s="5">
        <f>D152*Assumptions!$D$44*-1</f>
        <v>59.65044188591115</v>
      </c>
      <c r="Z152" s="5">
        <f t="shared" si="38"/>
        <v>59.65044188591115</v>
      </c>
      <c r="AA152" s="5">
        <f t="shared" si="48"/>
        <v>46628.075255312106</v>
      </c>
      <c r="AB152" s="3">
        <f>Assumptions!$E$45</f>
        <v>6.9899151946608562E-3</v>
      </c>
      <c r="AC152" s="5">
        <f t="shared" si="49"/>
        <v>47013.651988922909</v>
      </c>
      <c r="AD152" s="4">
        <f>AC152*Assumptions!$E$43</f>
        <v>42.104274861249124</v>
      </c>
      <c r="AE152" s="2">
        <f>AD152*Assumptions!$D$44*-1</f>
        <v>-6.315641229187368</v>
      </c>
      <c r="AF152" s="2">
        <f>AC152*Assumptions!$E$46*-1</f>
        <v>-1.5668345007179341</v>
      </c>
      <c r="AG152" s="5">
        <f t="shared" si="50"/>
        <v>47005.769513193001</v>
      </c>
      <c r="AH152" s="20">
        <f>Model_30y[[#This Row],[Mortgage Payment]]+Model_30y[[#This Row],[Total Upkeep]]+Model_30y[[#This Row],[Monthly Investment]]</f>
        <v>-4170.2628465498874</v>
      </c>
      <c r="AI152" s="5">
        <f>Model_Renter!D152*-1</f>
        <v>4281.8765012185313</v>
      </c>
      <c r="AJ152" s="5">
        <f t="shared" si="43"/>
        <v>111.6136546686439</v>
      </c>
    </row>
    <row r="153" spans="1:36" x14ac:dyDescent="0.25">
      <c r="A153" s="17">
        <f t="shared" si="44"/>
        <v>151</v>
      </c>
      <c r="B153" s="17">
        <f t="shared" si="39"/>
        <v>13</v>
      </c>
      <c r="C153" s="23">
        <f>IFERROR(PPMT(Assumptions!$E$17, A153, 180, Assumptions!$D$8), 0)</f>
        <v>-2455.8777207971825</v>
      </c>
      <c r="D153" s="38">
        <f>IFERROR(IPMT(Assumptions!$E$17,A153,180,Assumptions!$D$8), 0)</f>
        <v>-385.75529100151454</v>
      </c>
      <c r="E153" s="2">
        <f t="shared" si="45"/>
        <v>-2841.6330117986972</v>
      </c>
      <c r="F153" s="2">
        <f>IF(I152&gt;1, Assumptions!$E$19, 0)*-1</f>
        <v>-2841.6330117986968</v>
      </c>
      <c r="G153" s="24">
        <f t="shared" si="40"/>
        <v>1</v>
      </c>
      <c r="H153" s="20">
        <f t="shared" si="46"/>
        <v>263326.58725894807</v>
      </c>
      <c r="I153" s="2">
        <f>MAX(Assumptions!$D$8-SUM(Model_15y!H153), 0)</f>
        <v>76673.412741051929</v>
      </c>
      <c r="J153" s="2">
        <f>J152*(1+(Assumptions!$E$51))</f>
        <v>785273.50259970454</v>
      </c>
      <c r="K153" s="22">
        <f t="shared" si="35"/>
        <v>708600.08985865256</v>
      </c>
      <c r="L153" s="5">
        <f t="shared" si="47"/>
        <v>348326.58725894819</v>
      </c>
      <c r="M153" s="63">
        <f>L153/Assumptions!$D$6</f>
        <v>0.81959197002105455</v>
      </c>
      <c r="N153" s="24">
        <f t="shared" si="51"/>
        <v>0</v>
      </c>
      <c r="O153" s="22">
        <f>N153*Assumptions!$E$25*-1</f>
        <v>0</v>
      </c>
      <c r="P153" s="5">
        <f>Assumptions!$E$35*J153*-1</f>
        <v>-1617.5348424013193</v>
      </c>
      <c r="Q153" s="5">
        <f>J153*Assumptions!$E$36*-1</f>
        <v>-651.41430059256504</v>
      </c>
      <c r="R153" s="5">
        <f>R141+R141*Assumptions!$D$51</f>
        <v>-583.50365126335691</v>
      </c>
      <c r="S153" s="5">
        <f>S141+(S141*Assumptions!$D$51)</f>
        <v>0</v>
      </c>
      <c r="T153" s="5">
        <f t="shared" si="41"/>
        <v>0</v>
      </c>
      <c r="U153" s="22">
        <f t="shared" si="36"/>
        <v>-2852.4527942572413</v>
      </c>
      <c r="V153" s="5">
        <f>MAX(Assumptions!$E$18:$E$19)-U153</f>
        <v>5694.0858060559385</v>
      </c>
      <c r="W153" s="5">
        <f t="shared" si="37"/>
        <v>-2841.6330117986968</v>
      </c>
      <c r="X153" s="5">
        <f t="shared" si="42"/>
        <v>-2852.4527942572413</v>
      </c>
      <c r="Y153" s="5">
        <f>D153*Assumptions!$D$44*-1</f>
        <v>57.863293650227178</v>
      </c>
      <c r="Z153" s="5">
        <f t="shared" si="38"/>
        <v>57.863293650227632</v>
      </c>
      <c r="AA153" s="5">
        <f t="shared" si="48"/>
        <v>47005.769513193001</v>
      </c>
      <c r="AB153" s="3">
        <f>Assumptions!$E$45</f>
        <v>6.9899151946608562E-3</v>
      </c>
      <c r="AC153" s="5">
        <f t="shared" si="49"/>
        <v>47392.199149400221</v>
      </c>
      <c r="AD153" s="4">
        <f>AC153*Assumptions!$E$43</f>
        <v>42.443292423561395</v>
      </c>
      <c r="AE153" s="2">
        <f>AD153*Assumptions!$D$44*-1</f>
        <v>-6.3664938635342088</v>
      </c>
      <c r="AF153" s="2">
        <f>AC153*Assumptions!$E$46*-1</f>
        <v>-1.5794504266477982</v>
      </c>
      <c r="AG153" s="5">
        <f t="shared" si="50"/>
        <v>47384.253205110042</v>
      </c>
      <c r="AH153" s="20">
        <f>Model_30y[[#This Row],[Mortgage Payment]]+Model_30y[[#This Row],[Total Upkeep]]+Model_30y[[#This Row],[Monthly Investment]]</f>
        <v>-4180.0377342346637</v>
      </c>
      <c r="AI153" s="5">
        <f>Model_Renter!D153*-1</f>
        <v>4281.8765012185313</v>
      </c>
      <c r="AJ153" s="5">
        <f t="shared" si="43"/>
        <v>101.83876698386757</v>
      </c>
    </row>
    <row r="154" spans="1:36" x14ac:dyDescent="0.25">
      <c r="A154" s="17">
        <f t="shared" si="44"/>
        <v>152</v>
      </c>
      <c r="B154" s="17">
        <f t="shared" si="39"/>
        <v>13</v>
      </c>
      <c r="C154" s="23">
        <f>IFERROR(PPMT(Assumptions!$E$17, A154, 180, Assumptions!$D$8), 0)</f>
        <v>-2467.8501246860687</v>
      </c>
      <c r="D154" s="38">
        <f>IFERROR(IPMT(Assumptions!$E$17,A154,180,Assumptions!$D$8), 0)</f>
        <v>-373.78288711262832</v>
      </c>
      <c r="E154" s="2">
        <f t="shared" si="45"/>
        <v>-2841.6330117986972</v>
      </c>
      <c r="F154" s="2">
        <f>IF(I153&gt;1, Assumptions!$E$19, 0)*-1</f>
        <v>-2841.6330117986968</v>
      </c>
      <c r="G154" s="24">
        <f t="shared" si="40"/>
        <v>1</v>
      </c>
      <c r="H154" s="20">
        <f t="shared" si="46"/>
        <v>265794.43738363415</v>
      </c>
      <c r="I154" s="2">
        <f>MAX(Assumptions!$D$8-SUM(Model_15y!H154), 0)</f>
        <v>74205.562616365845</v>
      </c>
      <c r="J154" s="2">
        <f>J153*(1+(Assumptions!$E$51))</f>
        <v>788472.80405331485</v>
      </c>
      <c r="K154" s="22">
        <f t="shared" si="35"/>
        <v>714267.241436949</v>
      </c>
      <c r="L154" s="5">
        <f t="shared" si="47"/>
        <v>350794.43738363427</v>
      </c>
      <c r="M154" s="63">
        <f>L154/Assumptions!$D$6</f>
        <v>0.82539867619678653</v>
      </c>
      <c r="N154" s="24">
        <f t="shared" si="51"/>
        <v>0</v>
      </c>
      <c r="O154" s="22">
        <f>N154*Assumptions!$E$25*-1</f>
        <v>0</v>
      </c>
      <c r="P154" s="5">
        <f>Assumptions!$E$35*J154*-1</f>
        <v>-1624.1248795736262</v>
      </c>
      <c r="Q154" s="5">
        <f>J154*Assumptions!$E$36*-1</f>
        <v>-654.06824308761782</v>
      </c>
      <c r="R154" s="5">
        <f>R142+R142*Assumptions!$D$51</f>
        <v>-583.50365126335691</v>
      </c>
      <c r="S154" s="5">
        <f>S142+(S142*Assumptions!$D$51)</f>
        <v>0</v>
      </c>
      <c r="T154" s="5">
        <f t="shared" si="41"/>
        <v>0</v>
      </c>
      <c r="U154" s="22">
        <f t="shared" si="36"/>
        <v>-2861.6967739246011</v>
      </c>
      <c r="V154" s="5">
        <f>MAX(Assumptions!$E$18:$E$19)-U154</f>
        <v>5703.3297857232974</v>
      </c>
      <c r="W154" s="5">
        <f t="shared" si="37"/>
        <v>-2841.6330117986968</v>
      </c>
      <c r="X154" s="5">
        <f t="shared" si="42"/>
        <v>-2861.6967739246011</v>
      </c>
      <c r="Y154" s="5">
        <f>D154*Assumptions!$D$44*-1</f>
        <v>56.067433066894246</v>
      </c>
      <c r="Z154" s="5">
        <f t="shared" si="38"/>
        <v>56.067433066893791</v>
      </c>
      <c r="AA154" s="5">
        <f t="shared" si="48"/>
        <v>47384.253205110042</v>
      </c>
      <c r="AB154" s="3">
        <f>Assumptions!$E$45</f>
        <v>6.9899151946608562E-3</v>
      </c>
      <c r="AC154" s="5">
        <f t="shared" si="49"/>
        <v>47771.532549642987</v>
      </c>
      <c r="AD154" s="4">
        <f>AC154*Assumptions!$E$43</f>
        <v>42.783014122944309</v>
      </c>
      <c r="AE154" s="2">
        <f>AD154*Assumptions!$D$44*-1</f>
        <v>-6.4174521184416458</v>
      </c>
      <c r="AF154" s="2">
        <f>AC154*Assumptions!$E$46*-1</f>
        <v>-1.5920925557662731</v>
      </c>
      <c r="AG154" s="5">
        <f t="shared" si="50"/>
        <v>47763.523004968782</v>
      </c>
      <c r="AH154" s="20">
        <f>Model_30y[[#This Row],[Mortgage Payment]]+Model_30y[[#This Row],[Total Upkeep]]+Model_30y[[#This Row],[Monthly Investment]]</f>
        <v>-4189.8533133547844</v>
      </c>
      <c r="AI154" s="5">
        <f>Model_Renter!D154*-1</f>
        <v>4281.8765012185313</v>
      </c>
      <c r="AJ154" s="5">
        <f t="shared" si="43"/>
        <v>92.023187863746898</v>
      </c>
    </row>
    <row r="155" spans="1:36" x14ac:dyDescent="0.25">
      <c r="A155" s="17">
        <f t="shared" si="44"/>
        <v>153</v>
      </c>
      <c r="B155" s="17">
        <f t="shared" si="39"/>
        <v>13</v>
      </c>
      <c r="C155" s="23">
        <f>IFERROR(PPMT(Assumptions!$E$17, A155, 180, Assumptions!$D$8), 0)</f>
        <v>-2479.8808940439135</v>
      </c>
      <c r="D155" s="38">
        <f>IFERROR(IPMT(Assumptions!$E$17,A155,180,Assumptions!$D$8), 0)</f>
        <v>-361.75211775478368</v>
      </c>
      <c r="E155" s="2">
        <f t="shared" si="45"/>
        <v>-2841.6330117986972</v>
      </c>
      <c r="F155" s="2">
        <f>IF(I154&gt;1, Assumptions!$E$19, 0)*-1</f>
        <v>-2841.6330117986968</v>
      </c>
      <c r="G155" s="24">
        <f t="shared" si="40"/>
        <v>1</v>
      </c>
      <c r="H155" s="20">
        <f t="shared" si="46"/>
        <v>268274.31827767804</v>
      </c>
      <c r="I155" s="2">
        <f>MAX(Assumptions!$D$8-SUM(Model_15y!H155), 0)</f>
        <v>71725.681722321955</v>
      </c>
      <c r="J155" s="2">
        <f>J154*(1+(Assumptions!$E$51))</f>
        <v>791685.13985706831</v>
      </c>
      <c r="K155" s="22">
        <f t="shared" si="35"/>
        <v>719959.45813474641</v>
      </c>
      <c r="L155" s="5">
        <f t="shared" si="47"/>
        <v>353274.31827767816</v>
      </c>
      <c r="M155" s="63">
        <f>L155/Assumptions!$D$6</f>
        <v>0.83123369006512504</v>
      </c>
      <c r="N155" s="24">
        <f t="shared" si="51"/>
        <v>0</v>
      </c>
      <c r="O155" s="22">
        <f>N155*Assumptions!$E$25*-1</f>
        <v>0</v>
      </c>
      <c r="P155" s="5">
        <f>Assumptions!$E$35*J155*-1</f>
        <v>-1630.7417653731122</v>
      </c>
      <c r="Q155" s="5">
        <f>J155*Assumptions!$E$36*-1</f>
        <v>-656.73299807291016</v>
      </c>
      <c r="R155" s="5">
        <f>R143+R143*Assumptions!$D$51</f>
        <v>-583.50365126335691</v>
      </c>
      <c r="S155" s="5">
        <f>S143+(S143*Assumptions!$D$51)</f>
        <v>0</v>
      </c>
      <c r="T155" s="5">
        <f t="shared" si="41"/>
        <v>0</v>
      </c>
      <c r="U155" s="22">
        <f t="shared" si="36"/>
        <v>-2870.9784147093792</v>
      </c>
      <c r="V155" s="5">
        <f>MAX(Assumptions!$E$18:$E$19)-U155</f>
        <v>5712.611426508076</v>
      </c>
      <c r="W155" s="5">
        <f t="shared" si="37"/>
        <v>-2841.6330117986968</v>
      </c>
      <c r="X155" s="5">
        <f t="shared" si="42"/>
        <v>-2870.9784147093792</v>
      </c>
      <c r="Y155" s="5">
        <f>D155*Assumptions!$D$44*-1</f>
        <v>54.262817663217554</v>
      </c>
      <c r="Z155" s="5">
        <f t="shared" si="38"/>
        <v>54.262817663217554</v>
      </c>
      <c r="AA155" s="5">
        <f t="shared" si="48"/>
        <v>47763.523004968782</v>
      </c>
      <c r="AB155" s="3">
        <f>Assumptions!$E$45</f>
        <v>6.9899151946608562E-3</v>
      </c>
      <c r="AC155" s="5">
        <f t="shared" si="49"/>
        <v>48151.648797834969</v>
      </c>
      <c r="AD155" s="4">
        <f>AC155*Assumptions!$E$43</f>
        <v>43.123436921770335</v>
      </c>
      <c r="AE155" s="2">
        <f>AD155*Assumptions!$D$44*-1</f>
        <v>-6.4685155382655504</v>
      </c>
      <c r="AF155" s="2">
        <f>AC155*Assumptions!$E$46*-1</f>
        <v>-1.60476077503354</v>
      </c>
      <c r="AG155" s="5">
        <f t="shared" si="50"/>
        <v>48143.57552152167</v>
      </c>
      <c r="AH155" s="20">
        <f>Model_30y[[#This Row],[Mortgage Payment]]+Model_30y[[#This Row],[Total Upkeep]]+Model_30y[[#This Row],[Monthly Investment]]</f>
        <v>-4199.7097545492588</v>
      </c>
      <c r="AI155" s="5">
        <f>Model_Renter!D155*-1</f>
        <v>4281.8765012185313</v>
      </c>
      <c r="AJ155" s="5">
        <f t="shared" si="43"/>
        <v>82.16674666927247</v>
      </c>
    </row>
    <row r="156" spans="1:36" x14ac:dyDescent="0.25">
      <c r="A156" s="17">
        <f t="shared" si="44"/>
        <v>154</v>
      </c>
      <c r="B156" s="17">
        <f t="shared" si="39"/>
        <v>13</v>
      </c>
      <c r="C156" s="23">
        <f>IFERROR(PPMT(Assumptions!$E$17, A156, 180, Assumptions!$D$8), 0)</f>
        <v>-2491.9703134023775</v>
      </c>
      <c r="D156" s="38">
        <f>IFERROR(IPMT(Assumptions!$E$17,A156,180,Assumptions!$D$8), 0)</f>
        <v>-349.66269839631951</v>
      </c>
      <c r="E156" s="2">
        <f t="shared" si="45"/>
        <v>-2841.6330117986972</v>
      </c>
      <c r="F156" s="2">
        <f>IF(I155&gt;1, Assumptions!$E$19, 0)*-1</f>
        <v>-2841.6330117986968</v>
      </c>
      <c r="G156" s="24">
        <f t="shared" si="40"/>
        <v>1</v>
      </c>
      <c r="H156" s="20">
        <f t="shared" si="46"/>
        <v>270766.2885910804</v>
      </c>
      <c r="I156" s="2">
        <f>MAX(Assumptions!$D$8-SUM(Model_15y!H156), 0)</f>
        <v>69233.711408919597</v>
      </c>
      <c r="J156" s="2">
        <f>J155*(1+(Assumptions!$E$51))</f>
        <v>794910.56311452098</v>
      </c>
      <c r="K156" s="22">
        <f t="shared" si="35"/>
        <v>725676.85170560144</v>
      </c>
      <c r="L156" s="5">
        <f t="shared" si="47"/>
        <v>355766.28859108052</v>
      </c>
      <c r="M156" s="63">
        <f>L156/Assumptions!$D$6</f>
        <v>0.83709714962607185</v>
      </c>
      <c r="N156" s="24">
        <f t="shared" si="51"/>
        <v>0</v>
      </c>
      <c r="O156" s="22">
        <f>N156*Assumptions!$E$25*-1</f>
        <v>0</v>
      </c>
      <c r="P156" s="5">
        <f>Assumptions!$E$35*J156*-1</f>
        <v>-1637.3856091844075</v>
      </c>
      <c r="Q156" s="5">
        <f>J156*Assumptions!$E$36*-1</f>
        <v>-659.40860959986571</v>
      </c>
      <c r="R156" s="5">
        <f>R144+R144*Assumptions!$D$51</f>
        <v>-583.50365126335691</v>
      </c>
      <c r="S156" s="5">
        <f>S144+(S144*Assumptions!$D$51)</f>
        <v>0</v>
      </c>
      <c r="T156" s="5">
        <f t="shared" si="41"/>
        <v>0</v>
      </c>
      <c r="U156" s="22">
        <f t="shared" si="36"/>
        <v>-2880.2978700476301</v>
      </c>
      <c r="V156" s="5">
        <f>MAX(Assumptions!$E$18:$E$19)-U156</f>
        <v>5721.9308818463269</v>
      </c>
      <c r="W156" s="5">
        <f t="shared" si="37"/>
        <v>-2841.6330117986968</v>
      </c>
      <c r="X156" s="5">
        <f t="shared" si="42"/>
        <v>-2880.2978700476301</v>
      </c>
      <c r="Y156" s="5">
        <f>D156*Assumptions!$D$44*-1</f>
        <v>52.449404759447923</v>
      </c>
      <c r="Z156" s="5">
        <f t="shared" si="38"/>
        <v>52.449404759447923</v>
      </c>
      <c r="AA156" s="5">
        <f t="shared" si="48"/>
        <v>48143.57552152167</v>
      </c>
      <c r="AB156" s="3">
        <f>Assumptions!$E$45</f>
        <v>6.9899151946608562E-3</v>
      </c>
      <c r="AC156" s="5">
        <f t="shared" si="49"/>
        <v>48532.544436344309</v>
      </c>
      <c r="AD156" s="4">
        <f>AC156*Assumptions!$E$43</f>
        <v>43.464557723469099</v>
      </c>
      <c r="AE156" s="2">
        <f>AD156*Assumptions!$D$44*-1</f>
        <v>-6.519683658520365</v>
      </c>
      <c r="AF156" s="2">
        <f>AC156*Assumptions!$E$46*-1</f>
        <v>-1.6174549692163285</v>
      </c>
      <c r="AG156" s="5">
        <f t="shared" si="50"/>
        <v>48524.407297716571</v>
      </c>
      <c r="AH156" s="20">
        <f>Model_30y[[#This Row],[Mortgage Payment]]+Model_30y[[#This Row],[Total Upkeep]]+Model_30y[[#This Row],[Monthly Investment]]</f>
        <v>-4209.6072291795008</v>
      </c>
      <c r="AI156" s="5">
        <f>Model_Renter!D156*-1</f>
        <v>4281.8765012185313</v>
      </c>
      <c r="AJ156" s="5">
        <f t="shared" si="43"/>
        <v>72.269272039030511</v>
      </c>
    </row>
    <row r="157" spans="1:36" x14ac:dyDescent="0.25">
      <c r="A157" s="17">
        <f t="shared" si="44"/>
        <v>155</v>
      </c>
      <c r="B157" s="17">
        <f t="shared" si="39"/>
        <v>13</v>
      </c>
      <c r="C157" s="23">
        <f>IFERROR(PPMT(Assumptions!$E$17, A157, 180, Assumptions!$D$8), 0)</f>
        <v>-2504.1186686802139</v>
      </c>
      <c r="D157" s="38">
        <f>IFERROR(IPMT(Assumptions!$E$17,A157,180,Assumptions!$D$8), 0)</f>
        <v>-337.51434311848305</v>
      </c>
      <c r="E157" s="2">
        <f t="shared" si="45"/>
        <v>-2841.6330117986968</v>
      </c>
      <c r="F157" s="2">
        <f>IF(I156&gt;1, Assumptions!$E$19, 0)*-1</f>
        <v>-2841.6330117986968</v>
      </c>
      <c r="G157" s="24">
        <f t="shared" si="40"/>
        <v>1</v>
      </c>
      <c r="H157" s="20">
        <f t="shared" si="46"/>
        <v>273270.4072597606</v>
      </c>
      <c r="I157" s="2">
        <f>MAX(Assumptions!$D$8-SUM(Model_15y!H157), 0)</f>
        <v>66729.592740239401</v>
      </c>
      <c r="J157" s="2">
        <f>J156*(1+(Assumptions!$E$51))</f>
        <v>798149.1271455792</v>
      </c>
      <c r="K157" s="22">
        <f t="shared" si="35"/>
        <v>731419.53440533974</v>
      </c>
      <c r="L157" s="5">
        <f t="shared" si="47"/>
        <v>358270.40725976072</v>
      </c>
      <c r="M157" s="63">
        <f>L157/Assumptions!$D$6</f>
        <v>0.84298919355237811</v>
      </c>
      <c r="N157" s="24">
        <f t="shared" si="51"/>
        <v>0</v>
      </c>
      <c r="O157" s="22">
        <f>N157*Assumptions!$E$25*-1</f>
        <v>0</v>
      </c>
      <c r="P157" s="5">
        <f>Assumptions!$E$35*J157*-1</f>
        <v>-1644.0565208377893</v>
      </c>
      <c r="Q157" s="5">
        <f>J157*Assumptions!$E$36*-1</f>
        <v>-662.09512189937902</v>
      </c>
      <c r="R157" s="5">
        <f>R145+R145*Assumptions!$D$51</f>
        <v>-583.50365126335691</v>
      </c>
      <c r="S157" s="5">
        <f>S145+(S145*Assumptions!$D$51)</f>
        <v>0</v>
      </c>
      <c r="T157" s="5">
        <f t="shared" si="41"/>
        <v>0</v>
      </c>
      <c r="U157" s="22">
        <f t="shared" si="36"/>
        <v>-2889.6552940005254</v>
      </c>
      <c r="V157" s="5">
        <f>MAX(Assumptions!$E$18:$E$19)-U157</f>
        <v>5731.2883057992221</v>
      </c>
      <c r="W157" s="5">
        <f t="shared" si="37"/>
        <v>-2841.6330117986968</v>
      </c>
      <c r="X157" s="5">
        <f t="shared" si="42"/>
        <v>-2889.6552940005254</v>
      </c>
      <c r="Y157" s="5">
        <f>D157*Assumptions!$D$44*-1</f>
        <v>50.627151467772457</v>
      </c>
      <c r="Z157" s="5">
        <f t="shared" si="38"/>
        <v>50.627151467772457</v>
      </c>
      <c r="AA157" s="5">
        <f t="shared" si="48"/>
        <v>48524.407297716571</v>
      </c>
      <c r="AB157" s="3">
        <f>Assumptions!$E$45</f>
        <v>6.9899151946608562E-3</v>
      </c>
      <c r="AC157" s="5">
        <f t="shared" si="49"/>
        <v>48914.215941066563</v>
      </c>
      <c r="AD157" s="4">
        <f>AC157*Assumptions!$E$43</f>
        <v>43.80637337193901</v>
      </c>
      <c r="AE157" s="2">
        <f>AD157*Assumptions!$D$44*-1</f>
        <v>-6.5709560057908512</v>
      </c>
      <c r="AF157" s="2">
        <f>AC157*Assumptions!$E$46*-1</f>
        <v>-1.6301750208660206</v>
      </c>
      <c r="AG157" s="5">
        <f t="shared" si="50"/>
        <v>48906.014810039909</v>
      </c>
      <c r="AH157" s="20">
        <f>Model_30y[[#This Row],[Mortgage Payment]]+Model_30y[[#This Row],[Total Upkeep]]+Model_30y[[#This Row],[Monthly Investment]]</f>
        <v>-4219.5459093324216</v>
      </c>
      <c r="AI157" s="5">
        <f>Model_Renter!D157*-1</f>
        <v>4281.8765012185313</v>
      </c>
      <c r="AJ157" s="5">
        <f t="shared" si="43"/>
        <v>62.330591886109687</v>
      </c>
    </row>
    <row r="158" spans="1:36" x14ac:dyDescent="0.25">
      <c r="A158" s="17">
        <f t="shared" si="44"/>
        <v>156</v>
      </c>
      <c r="B158" s="17">
        <f t="shared" si="39"/>
        <v>13</v>
      </c>
      <c r="C158" s="23">
        <f>IFERROR(PPMT(Assumptions!$E$17, A158, 180, Assumptions!$D$8), 0)</f>
        <v>-2516.3262471900298</v>
      </c>
      <c r="D158" s="38">
        <f>IFERROR(IPMT(Assumptions!$E$17,A158,180,Assumptions!$D$8), 0)</f>
        <v>-325.30676460866692</v>
      </c>
      <c r="E158" s="2">
        <f t="shared" si="45"/>
        <v>-2841.6330117986968</v>
      </c>
      <c r="F158" s="2">
        <f>IF(I157&gt;1, Assumptions!$E$19, 0)*-1</f>
        <v>-2841.6330117986968</v>
      </c>
      <c r="G158" s="24">
        <f t="shared" si="40"/>
        <v>1</v>
      </c>
      <c r="H158" s="20">
        <f t="shared" si="46"/>
        <v>275786.73350695061</v>
      </c>
      <c r="I158" s="2">
        <f>MAX(Assumptions!$D$8-SUM(Model_15y!H158), 0)</f>
        <v>64213.266493049392</v>
      </c>
      <c r="J158" s="2">
        <f>J157*(1+(Assumptions!$E$51))</f>
        <v>801400.88548738114</v>
      </c>
      <c r="K158" s="22">
        <f t="shared" si="35"/>
        <v>737187.61899433169</v>
      </c>
      <c r="L158" s="5">
        <f t="shared" si="47"/>
        <v>360786.73350695072</v>
      </c>
      <c r="M158" s="63">
        <f>L158/Assumptions!$D$6</f>
        <v>0.84890996119282525</v>
      </c>
      <c r="N158" s="24">
        <f t="shared" si="51"/>
        <v>0</v>
      </c>
      <c r="O158" s="22">
        <f>N158*Assumptions!$E$25*-1</f>
        <v>0</v>
      </c>
      <c r="P158" s="5">
        <f>Assumptions!$E$35*J158*-1</f>
        <v>-1650.7546106109967</v>
      </c>
      <c r="Q158" s="5">
        <f>J158*Assumptions!$E$36*-1</f>
        <v>-664.79257938254682</v>
      </c>
      <c r="R158" s="5">
        <f>R146+R146*Assumptions!$D$51</f>
        <v>-583.50365126335691</v>
      </c>
      <c r="S158" s="5">
        <f>S146+(S146*Assumptions!$D$51)</f>
        <v>0</v>
      </c>
      <c r="T158" s="5">
        <f t="shared" si="41"/>
        <v>0</v>
      </c>
      <c r="U158" s="22">
        <f t="shared" si="36"/>
        <v>-2899.0508412569006</v>
      </c>
      <c r="V158" s="5">
        <f>MAX(Assumptions!$E$18:$E$19)-U158</f>
        <v>5740.6838530555979</v>
      </c>
      <c r="W158" s="5">
        <f t="shared" si="37"/>
        <v>-2841.6330117986968</v>
      </c>
      <c r="X158" s="5">
        <f t="shared" si="42"/>
        <v>-2899.0508412569006</v>
      </c>
      <c r="Y158" s="5">
        <f>D158*Assumptions!$D$44*-1</f>
        <v>48.796014691300037</v>
      </c>
      <c r="Z158" s="5">
        <f t="shared" si="38"/>
        <v>48.796014691300492</v>
      </c>
      <c r="AA158" s="5">
        <f t="shared" si="48"/>
        <v>48906.014810039909</v>
      </c>
      <c r="AB158" s="3">
        <f>Assumptions!$E$45</f>
        <v>6.9899151946608562E-3</v>
      </c>
      <c r="AC158" s="5">
        <f t="shared" si="49"/>
        <v>49296.659720762218</v>
      </c>
      <c r="AD158" s="4">
        <f>AC158*Assumptions!$E$43</f>
        <v>44.148880650953942</v>
      </c>
      <c r="AE158" s="2">
        <f>AD158*Assumptions!$D$44*-1</f>
        <v>-6.6223320976430911</v>
      </c>
      <c r="AF158" s="2">
        <f>AC158*Assumptions!$E$46*-1</f>
        <v>-1.6429208102965738</v>
      </c>
      <c r="AG158" s="5">
        <f t="shared" si="50"/>
        <v>49288.394467854276</v>
      </c>
      <c r="AH158" s="20">
        <f>Model_30y[[#This Row],[Mortgage Payment]]+Model_30y[[#This Row],[Total Upkeep]]+Model_30y[[#This Row],[Monthly Investment]]</f>
        <v>-4229.5259678235434</v>
      </c>
      <c r="AI158" s="5">
        <f>Model_Renter!D158*-1</f>
        <v>4281.8765012185313</v>
      </c>
      <c r="AJ158" s="5">
        <f t="shared" si="43"/>
        <v>52.350533394987906</v>
      </c>
    </row>
    <row r="159" spans="1:36" x14ac:dyDescent="0.25">
      <c r="A159" s="17">
        <f t="shared" si="44"/>
        <v>157</v>
      </c>
      <c r="B159" s="17">
        <f t="shared" si="39"/>
        <v>14</v>
      </c>
      <c r="C159" s="23">
        <f>IFERROR(PPMT(Assumptions!$E$17, A159, 180, Assumptions!$D$8), 0)</f>
        <v>-2528.5933376450812</v>
      </c>
      <c r="D159" s="38">
        <f>IFERROR(IPMT(Assumptions!$E$17,A159,180,Assumptions!$D$8), 0)</f>
        <v>-313.03967415361558</v>
      </c>
      <c r="E159" s="2">
        <f t="shared" si="45"/>
        <v>-2841.6330117986968</v>
      </c>
      <c r="F159" s="2">
        <f>IF(I158&gt;1, Assumptions!$E$19, 0)*-1</f>
        <v>-2841.6330117986968</v>
      </c>
      <c r="G159" s="24">
        <f t="shared" si="40"/>
        <v>1</v>
      </c>
      <c r="H159" s="20">
        <f t="shared" si="46"/>
        <v>278315.32684459566</v>
      </c>
      <c r="I159" s="2">
        <f>MAX(Assumptions!$D$8-SUM(Model_15y!H159), 0)</f>
        <v>61684.673155404336</v>
      </c>
      <c r="J159" s="2">
        <f>J158*(1+(Assumptions!$E$51))</f>
        <v>804665.89189518208</v>
      </c>
      <c r="K159" s="22">
        <f t="shared" si="35"/>
        <v>742981.2187397778</v>
      </c>
      <c r="L159" s="5">
        <f t="shared" si="47"/>
        <v>363315.32684459578</v>
      </c>
      <c r="M159" s="63">
        <f>L159/Assumptions!$D$6</f>
        <v>0.85485959257551947</v>
      </c>
      <c r="N159" s="24">
        <f t="shared" si="51"/>
        <v>0</v>
      </c>
      <c r="O159" s="22">
        <f>N159*Assumptions!$E$25*-1</f>
        <v>0</v>
      </c>
      <c r="P159" s="5">
        <f>Assumptions!$E$35*J159*-1</f>
        <v>-1657.4799892310539</v>
      </c>
      <c r="Q159" s="5">
        <f>J159*Assumptions!$E$36*-1</f>
        <v>-667.50102664140218</v>
      </c>
      <c r="R159" s="5">
        <f>R147+R147*Assumptions!$D$51</f>
        <v>-612.67883382652474</v>
      </c>
      <c r="S159" s="5">
        <f>S147+(S147*Assumptions!$D$51)</f>
        <v>0</v>
      </c>
      <c r="T159" s="5">
        <f t="shared" si="41"/>
        <v>0</v>
      </c>
      <c r="U159" s="22">
        <f t="shared" si="36"/>
        <v>-2937.6598496989805</v>
      </c>
      <c r="V159" s="5">
        <f>MAX(Assumptions!$E$18:$E$19)-U159</f>
        <v>5779.2928614976772</v>
      </c>
      <c r="W159" s="5">
        <f t="shared" si="37"/>
        <v>-2841.6330117986968</v>
      </c>
      <c r="X159" s="5">
        <f t="shared" si="42"/>
        <v>-2937.6598496989805</v>
      </c>
      <c r="Y159" s="5">
        <f>D159*Assumptions!$D$44*-1</f>
        <v>46.955951123042333</v>
      </c>
      <c r="Z159" s="5">
        <f t="shared" si="38"/>
        <v>46.955951123042333</v>
      </c>
      <c r="AA159" s="5">
        <f t="shared" si="48"/>
        <v>49288.394467854276</v>
      </c>
      <c r="AB159" s="3">
        <f>Assumptions!$E$45</f>
        <v>6.9899151946608562E-3</v>
      </c>
      <c r="AC159" s="5">
        <f t="shared" si="49"/>
        <v>49679.872116388608</v>
      </c>
      <c r="AD159" s="4">
        <f>AC159*Assumptions!$E$43</f>
        <v>44.492076283564927</v>
      </c>
      <c r="AE159" s="2">
        <f>AD159*Assumptions!$D$44*-1</f>
        <v>-6.6738114425347392</v>
      </c>
      <c r="AF159" s="2">
        <f>AC159*Assumptions!$E$46*-1</f>
        <v>-1.6556922155622542</v>
      </c>
      <c r="AG159" s="5">
        <f t="shared" si="50"/>
        <v>49671.542612730511</v>
      </c>
      <c r="AH159" s="20">
        <f>Model_30y[[#This Row],[Mortgage Payment]]+Model_30y[[#This Row],[Total Upkeep]]+Model_30y[[#This Row],[Monthly Investment]]</f>
        <v>-4268.7227607632831</v>
      </c>
      <c r="AI159" s="5">
        <f>Model_Renter!D159*-1</f>
        <v>4442.0186823641052</v>
      </c>
      <c r="AJ159" s="5">
        <f t="shared" si="43"/>
        <v>173.29592160082211</v>
      </c>
    </row>
    <row r="160" spans="1:36" x14ac:dyDescent="0.25">
      <c r="A160" s="17">
        <f t="shared" si="44"/>
        <v>158</v>
      </c>
      <c r="B160" s="17">
        <f t="shared" si="39"/>
        <v>14</v>
      </c>
      <c r="C160" s="23">
        <f>IFERROR(PPMT(Assumptions!$E$17, A160, 180, Assumptions!$D$8), 0)</f>
        <v>-2540.9202301661012</v>
      </c>
      <c r="D160" s="38">
        <f>IFERROR(IPMT(Assumptions!$E$17,A160,180,Assumptions!$D$8), 0)</f>
        <v>-300.71278163259581</v>
      </c>
      <c r="E160" s="2">
        <f t="shared" si="45"/>
        <v>-2841.6330117986972</v>
      </c>
      <c r="F160" s="2">
        <f>IF(I159&gt;1, Assumptions!$E$19, 0)*-1</f>
        <v>-2841.6330117986968</v>
      </c>
      <c r="G160" s="24">
        <f t="shared" si="40"/>
        <v>1</v>
      </c>
      <c r="H160" s="20">
        <f t="shared" si="46"/>
        <v>280856.24707476178</v>
      </c>
      <c r="I160" s="2">
        <f>MAX(Assumptions!$D$8-SUM(Model_15y!H160), 0)</f>
        <v>59143.752925238223</v>
      </c>
      <c r="J160" s="2">
        <f>J159*(1+(Assumptions!$E$51))</f>
        <v>807944.20034324285</v>
      </c>
      <c r="K160" s="22">
        <f t="shared" si="35"/>
        <v>748800.44741800462</v>
      </c>
      <c r="L160" s="5">
        <f t="shared" si="47"/>
        <v>365856.24707476189</v>
      </c>
      <c r="M160" s="63">
        <f>L160/Assumptions!$D$6</f>
        <v>0.8608382284112045</v>
      </c>
      <c r="N160" s="24">
        <f t="shared" si="51"/>
        <v>0</v>
      </c>
      <c r="O160" s="22">
        <f>N160*Assumptions!$E$25*-1</f>
        <v>0</v>
      </c>
      <c r="P160" s="5">
        <f>Assumptions!$E$35*J160*-1</f>
        <v>-1664.2327678761014</v>
      </c>
      <c r="Q160" s="5">
        <f>J160*Assumptions!$E$36*-1</f>
        <v>-670.22050844965156</v>
      </c>
      <c r="R160" s="5">
        <f>R148+R148*Assumptions!$D$51</f>
        <v>-612.67883382652474</v>
      </c>
      <c r="S160" s="5">
        <f>S148+(S148*Assumptions!$D$51)</f>
        <v>0</v>
      </c>
      <c r="T160" s="5">
        <f t="shared" si="41"/>
        <v>0</v>
      </c>
      <c r="U160" s="22">
        <f t="shared" si="36"/>
        <v>-2947.1321101522776</v>
      </c>
      <c r="V160" s="5">
        <f>MAX(Assumptions!$E$18:$E$19)-U160</f>
        <v>5788.7651219509744</v>
      </c>
      <c r="W160" s="5">
        <f t="shared" si="37"/>
        <v>-2841.6330117986968</v>
      </c>
      <c r="X160" s="5">
        <f t="shared" si="42"/>
        <v>-2947.1321101522776</v>
      </c>
      <c r="Y160" s="5">
        <f>D160*Assumptions!$D$44*-1</f>
        <v>45.106917244889367</v>
      </c>
      <c r="Z160" s="5">
        <f t="shared" si="38"/>
        <v>45.106917244889367</v>
      </c>
      <c r="AA160" s="5">
        <f t="shared" si="48"/>
        <v>49671.542612730511</v>
      </c>
      <c r="AB160" s="3">
        <f>Assumptions!$E$45</f>
        <v>6.9899151946608562E-3</v>
      </c>
      <c r="AC160" s="5">
        <f t="shared" si="49"/>
        <v>50063.84940042637</v>
      </c>
      <c r="AD160" s="4">
        <f>AC160*Assumptions!$E$43</f>
        <v>44.835956931496959</v>
      </c>
      <c r="AE160" s="2">
        <f>AD160*Assumptions!$D$44*-1</f>
        <v>-6.7253935397245437</v>
      </c>
      <c r="AF160" s="2">
        <f>AC160*Assumptions!$E$46*-1</f>
        <v>-1.6684891124351899</v>
      </c>
      <c r="AG160" s="5">
        <f t="shared" si="50"/>
        <v>50055.455517774208</v>
      </c>
      <c r="AH160" s="20">
        <f>Model_30y[[#This Row],[Mortgage Payment]]+Model_30y[[#This Row],[Total Upkeep]]+Model_30y[[#This Row],[Monthly Investment]]</f>
        <v>-4278.7860973074285</v>
      </c>
      <c r="AI160" s="5">
        <f>Model_Renter!D160*-1</f>
        <v>4442.0186823641052</v>
      </c>
      <c r="AJ160" s="5">
        <f t="shared" si="43"/>
        <v>163.23258505667673</v>
      </c>
    </row>
    <row r="161" spans="1:36" x14ac:dyDescent="0.25">
      <c r="A161" s="17">
        <f t="shared" si="44"/>
        <v>159</v>
      </c>
      <c r="B161" s="17">
        <f t="shared" si="39"/>
        <v>14</v>
      </c>
      <c r="C161" s="23">
        <f>IFERROR(PPMT(Assumptions!$E$17, A161, 180, Assumptions!$D$8), 0)</f>
        <v>-2553.3072162881608</v>
      </c>
      <c r="D161" s="38">
        <f>IFERROR(IPMT(Assumptions!$E$17,A161,180,Assumptions!$D$8), 0)</f>
        <v>-288.32579551053607</v>
      </c>
      <c r="E161" s="2">
        <f t="shared" si="45"/>
        <v>-2841.6330117986968</v>
      </c>
      <c r="F161" s="2">
        <f>IF(I160&gt;1, Assumptions!$E$19, 0)*-1</f>
        <v>-2841.6330117986968</v>
      </c>
      <c r="G161" s="24">
        <f t="shared" si="40"/>
        <v>1</v>
      </c>
      <c r="H161" s="20">
        <f t="shared" si="46"/>
        <v>283409.55429104995</v>
      </c>
      <c r="I161" s="2">
        <f>MAX(Assumptions!$D$8-SUM(Model_15y!H161), 0)</f>
        <v>56590.44570895005</v>
      </c>
      <c r="J161" s="2">
        <f>J160*(1+(Assumptions!$E$51))</f>
        <v>811235.86502572196</v>
      </c>
      <c r="K161" s="22">
        <f t="shared" si="35"/>
        <v>754645.41931677191</v>
      </c>
      <c r="L161" s="5">
        <f t="shared" si="47"/>
        <v>368409.55429105007</v>
      </c>
      <c r="M161" s="63">
        <f>L161/Assumptions!$D$6</f>
        <v>0.86684601009658835</v>
      </c>
      <c r="N161" s="24">
        <f t="shared" si="51"/>
        <v>0</v>
      </c>
      <c r="O161" s="22">
        <f>N161*Assumptions!$E$25*-1</f>
        <v>0</v>
      </c>
      <c r="P161" s="5">
        <f>Assumptions!$E$35*J161*-1</f>
        <v>-1671.0130581772323</v>
      </c>
      <c r="Q161" s="5">
        <f>J161*Assumptions!$E$36*-1</f>
        <v>-672.95106976341515</v>
      </c>
      <c r="R161" s="5">
        <f>R149+R149*Assumptions!$D$51</f>
        <v>-612.67883382652474</v>
      </c>
      <c r="S161" s="5">
        <f>S149+(S149*Assumptions!$D$51)</f>
        <v>0</v>
      </c>
      <c r="T161" s="5">
        <f t="shared" si="41"/>
        <v>0</v>
      </c>
      <c r="U161" s="22">
        <f t="shared" si="36"/>
        <v>-2956.642961767172</v>
      </c>
      <c r="V161" s="5">
        <f>MAX(Assumptions!$E$18:$E$19)-U161</f>
        <v>5798.2759735658692</v>
      </c>
      <c r="W161" s="5">
        <f t="shared" si="37"/>
        <v>-2841.6330117986968</v>
      </c>
      <c r="X161" s="5">
        <f t="shared" si="42"/>
        <v>-2956.642961767172</v>
      </c>
      <c r="Y161" s="5">
        <f>D161*Assumptions!$D$44*-1</f>
        <v>43.248869326580412</v>
      </c>
      <c r="Z161" s="5">
        <f t="shared" si="38"/>
        <v>43.248869326580866</v>
      </c>
      <c r="AA161" s="5">
        <f t="shared" si="48"/>
        <v>50055.455517774208</v>
      </c>
      <c r="AB161" s="3">
        <f>Assumptions!$E$45</f>
        <v>6.9899151946608562E-3</v>
      </c>
      <c r="AC161" s="5">
        <f t="shared" si="49"/>
        <v>50448.587776200155</v>
      </c>
      <c r="AD161" s="4">
        <f>AC161*Assumptions!$E$43</f>
        <v>45.180519194540615</v>
      </c>
      <c r="AE161" s="2">
        <f>AD161*Assumptions!$D$44*-1</f>
        <v>-6.7770778791810917</v>
      </c>
      <c r="AF161" s="2">
        <f>AC161*Assumptions!$E$46*-1</f>
        <v>-1.6813113743827319</v>
      </c>
      <c r="AG161" s="5">
        <f t="shared" si="50"/>
        <v>50440.129386946588</v>
      </c>
      <c r="AH161" s="20">
        <f>Model_30y[[#This Row],[Mortgage Payment]]+Model_30y[[#This Row],[Total Upkeep]]+Model_30y[[#This Row],[Monthly Investment]]</f>
        <v>-4288.8913350392786</v>
      </c>
      <c r="AI161" s="5">
        <f>Model_Renter!D161*-1</f>
        <v>4442.0186823641052</v>
      </c>
      <c r="AJ161" s="5">
        <f t="shared" si="43"/>
        <v>153.12734732482659</v>
      </c>
    </row>
    <row r="162" spans="1:36" x14ac:dyDescent="0.25">
      <c r="A162" s="17">
        <f t="shared" si="44"/>
        <v>160</v>
      </c>
      <c r="B162" s="17">
        <f t="shared" si="39"/>
        <v>14</v>
      </c>
      <c r="C162" s="23">
        <f>IFERROR(PPMT(Assumptions!$E$17, A162, 180, Assumptions!$D$8), 0)</f>
        <v>-2565.7545889675653</v>
      </c>
      <c r="D162" s="38">
        <f>IFERROR(IPMT(Assumptions!$E$17,A162,180,Assumptions!$D$8), 0)</f>
        <v>-275.87842283113122</v>
      </c>
      <c r="E162" s="2">
        <f t="shared" si="45"/>
        <v>-2841.6330117986963</v>
      </c>
      <c r="F162" s="2">
        <f>IF(I161&gt;1, Assumptions!$E$19, 0)*-1</f>
        <v>-2841.6330117986968</v>
      </c>
      <c r="G162" s="24">
        <f t="shared" si="40"/>
        <v>1</v>
      </c>
      <c r="H162" s="20">
        <f t="shared" si="46"/>
        <v>285975.30888001749</v>
      </c>
      <c r="I162" s="2">
        <f>MAX(Assumptions!$D$8-SUM(Model_15y!H162), 0)</f>
        <v>54024.691119982512</v>
      </c>
      <c r="J162" s="2">
        <f>J161*(1+(Assumptions!$E$51))</f>
        <v>814540.94035757182</v>
      </c>
      <c r="K162" s="22">
        <f t="shared" si="35"/>
        <v>760516.24923758931</v>
      </c>
      <c r="L162" s="5">
        <f t="shared" si="47"/>
        <v>370975.3088800176</v>
      </c>
      <c r="M162" s="63">
        <f>L162/Assumptions!$D$6</f>
        <v>0.87288307971768853</v>
      </c>
      <c r="N162" s="24">
        <f t="shared" si="51"/>
        <v>0</v>
      </c>
      <c r="O162" s="22">
        <f>N162*Assumptions!$E$25*-1</f>
        <v>0</v>
      </c>
      <c r="P162" s="5">
        <f>Assumptions!$E$35*J162*-1</f>
        <v>-1677.8209722203392</v>
      </c>
      <c r="Q162" s="5">
        <f>J162*Assumptions!$E$36*-1</f>
        <v>-675.69275572196989</v>
      </c>
      <c r="R162" s="5">
        <f>R150+R150*Assumptions!$D$51</f>
        <v>-612.67883382652474</v>
      </c>
      <c r="S162" s="5">
        <f>S150+(S150*Assumptions!$D$51)</f>
        <v>0</v>
      </c>
      <c r="T162" s="5">
        <f t="shared" si="41"/>
        <v>0</v>
      </c>
      <c r="U162" s="22">
        <f t="shared" si="36"/>
        <v>-2966.1925617688335</v>
      </c>
      <c r="V162" s="5">
        <f>MAX(Assumptions!$E$18:$E$19)-U162</f>
        <v>5807.8255735675302</v>
      </c>
      <c r="W162" s="5">
        <f t="shared" si="37"/>
        <v>-2841.6330117986968</v>
      </c>
      <c r="X162" s="5">
        <f t="shared" si="42"/>
        <v>-2966.1925617688335</v>
      </c>
      <c r="Y162" s="5">
        <f>D162*Assumptions!$D$44*-1</f>
        <v>41.381763424669678</v>
      </c>
      <c r="Z162" s="5">
        <f t="shared" si="38"/>
        <v>41.381763424669678</v>
      </c>
      <c r="AA162" s="5">
        <f t="shared" si="48"/>
        <v>50440.129386946588</v>
      </c>
      <c r="AB162" s="3">
        <f>Assumptions!$E$45</f>
        <v>6.9899151946608562E-3</v>
      </c>
      <c r="AC162" s="5">
        <f t="shared" si="49"/>
        <v>50834.083377193732</v>
      </c>
      <c r="AD162" s="4">
        <f>AC162*Assumptions!$E$43</f>
        <v>45.525759609938682</v>
      </c>
      <c r="AE162" s="2">
        <f>AD162*Assumptions!$D$44*-1</f>
        <v>-6.8288639414908019</v>
      </c>
      <c r="AF162" s="2">
        <f>AC162*Assumptions!$E$46*-1</f>
        <v>-1.6941588725446286</v>
      </c>
      <c r="AG162" s="5">
        <f t="shared" si="50"/>
        <v>50825.560354379697</v>
      </c>
      <c r="AH162" s="20">
        <f>Model_30y[[#This Row],[Mortgage Payment]]+Model_30y[[#This Row],[Total Upkeep]]+Model_30y[[#This Row],[Monthly Investment]]</f>
        <v>-4299.0386497201516</v>
      </c>
      <c r="AI162" s="5">
        <f>Model_Renter!D162*-1</f>
        <v>4442.0186823641052</v>
      </c>
      <c r="AJ162" s="5">
        <f t="shared" si="43"/>
        <v>142.98003264395356</v>
      </c>
    </row>
    <row r="163" spans="1:36" x14ac:dyDescent="0.25">
      <c r="A163" s="17">
        <f t="shared" si="44"/>
        <v>161</v>
      </c>
      <c r="B163" s="17">
        <f t="shared" si="39"/>
        <v>14</v>
      </c>
      <c r="C163" s="23">
        <f>IFERROR(PPMT(Assumptions!$E$17, A163, 180, Assumptions!$D$8), 0)</f>
        <v>-2578.2626425887825</v>
      </c>
      <c r="D163" s="38">
        <f>IFERROR(IPMT(Assumptions!$E$17,A163,180,Assumptions!$D$8), 0)</f>
        <v>-263.37036920991443</v>
      </c>
      <c r="E163" s="2">
        <f t="shared" si="45"/>
        <v>-2841.6330117986968</v>
      </c>
      <c r="F163" s="2">
        <f>IF(I162&gt;1, Assumptions!$E$19, 0)*-1</f>
        <v>-2841.6330117986968</v>
      </c>
      <c r="G163" s="24">
        <f t="shared" si="40"/>
        <v>1</v>
      </c>
      <c r="H163" s="20">
        <f t="shared" si="46"/>
        <v>288553.57152260625</v>
      </c>
      <c r="I163" s="2">
        <f>MAX(Assumptions!$D$8-SUM(Model_15y!H163), 0)</f>
        <v>51446.428477393754</v>
      </c>
      <c r="J163" s="2">
        <f>J162*(1+(Assumptions!$E$51))</f>
        <v>817859.48097543791</v>
      </c>
      <c r="K163" s="22">
        <f t="shared" si="35"/>
        <v>766413.05249804421</v>
      </c>
      <c r="L163" s="5">
        <f t="shared" si="47"/>
        <v>373553.57152260636</v>
      </c>
      <c r="M163" s="63">
        <f>L163/Assumptions!$D$6</f>
        <v>0.87894958005319146</v>
      </c>
      <c r="N163" s="24">
        <f t="shared" si="51"/>
        <v>0</v>
      </c>
      <c r="O163" s="22">
        <f>N163*Assumptions!$E$25*-1</f>
        <v>0</v>
      </c>
      <c r="P163" s="5">
        <f>Assumptions!$E$35*J163*-1</f>
        <v>-1684.656622547966</v>
      </c>
      <c r="Q163" s="5">
        <f>J163*Assumptions!$E$36*-1</f>
        <v>-678.44561164849563</v>
      </c>
      <c r="R163" s="5">
        <f>R151+R151*Assumptions!$D$51</f>
        <v>-612.67883382652474</v>
      </c>
      <c r="S163" s="5">
        <f>S151+(S151*Assumptions!$D$51)</f>
        <v>0</v>
      </c>
      <c r="T163" s="5">
        <f t="shared" si="41"/>
        <v>0</v>
      </c>
      <c r="U163" s="22">
        <f t="shared" si="36"/>
        <v>-2975.7810680229863</v>
      </c>
      <c r="V163" s="5">
        <f>MAX(Assumptions!$E$18:$E$19)-U163</f>
        <v>5817.4140798216831</v>
      </c>
      <c r="W163" s="5">
        <f t="shared" si="37"/>
        <v>-2841.6330117986968</v>
      </c>
      <c r="X163" s="5">
        <f t="shared" si="42"/>
        <v>-2975.7810680229863</v>
      </c>
      <c r="Y163" s="5">
        <f>D163*Assumptions!$D$44*-1</f>
        <v>39.505555381487163</v>
      </c>
      <c r="Z163" s="5">
        <f t="shared" si="38"/>
        <v>39.505555381487163</v>
      </c>
      <c r="AA163" s="5">
        <f t="shared" si="48"/>
        <v>50825.560354379697</v>
      </c>
      <c r="AB163" s="3">
        <f>Assumptions!$E$45</f>
        <v>6.9899151946608562E-3</v>
      </c>
      <c r="AC163" s="5">
        <f t="shared" si="49"/>
        <v>51220.332266359415</v>
      </c>
      <c r="AD163" s="4">
        <f>AC163*Assumptions!$E$43</f>
        <v>45.871674651767719</v>
      </c>
      <c r="AE163" s="2">
        <f>AD163*Assumptions!$D$44*-1</f>
        <v>-6.8807511977651581</v>
      </c>
      <c r="AF163" s="2">
        <f>AC163*Assumptions!$E$46*-1</f>
        <v>-1.7070314757100105</v>
      </c>
      <c r="AG163" s="5">
        <f t="shared" si="50"/>
        <v>51211.744483685943</v>
      </c>
      <c r="AH163" s="20">
        <f>Model_30y[[#This Row],[Mortgage Payment]]+Model_30y[[#This Row],[Total Upkeep]]+Model_30y[[#This Row],[Monthly Investment]]</f>
        <v>-4309.2282178557198</v>
      </c>
      <c r="AI163" s="5">
        <f>Model_Renter!D163*-1</f>
        <v>4442.0186823641052</v>
      </c>
      <c r="AJ163" s="5">
        <f t="shared" si="43"/>
        <v>132.79046450838541</v>
      </c>
    </row>
    <row r="164" spans="1:36" x14ac:dyDescent="0.25">
      <c r="A164" s="17">
        <f t="shared" si="44"/>
        <v>162</v>
      </c>
      <c r="B164" s="17">
        <f t="shared" si="39"/>
        <v>14</v>
      </c>
      <c r="C164" s="23">
        <f>IFERROR(PPMT(Assumptions!$E$17, A164, 180, Assumptions!$D$8), 0)</f>
        <v>-2590.8316729714024</v>
      </c>
      <c r="D164" s="38">
        <f>IFERROR(IPMT(Assumptions!$E$17,A164,180,Assumptions!$D$8), 0)</f>
        <v>-250.8013388272941</v>
      </c>
      <c r="E164" s="2">
        <f t="shared" si="45"/>
        <v>-2841.6330117986963</v>
      </c>
      <c r="F164" s="2">
        <f>IF(I163&gt;1, Assumptions!$E$19, 0)*-1</f>
        <v>-2841.6330117986968</v>
      </c>
      <c r="G164" s="24">
        <f t="shared" si="40"/>
        <v>1</v>
      </c>
      <c r="H164" s="20">
        <f t="shared" si="46"/>
        <v>291144.40319557767</v>
      </c>
      <c r="I164" s="2">
        <f>MAX(Assumptions!$D$8-SUM(Model_15y!H164), 0)</f>
        <v>48855.596804422326</v>
      </c>
      <c r="J164" s="2">
        <f>J163*(1+(Assumptions!$E$51))</f>
        <v>821191.54173856229</v>
      </c>
      <c r="K164" s="22">
        <f t="shared" si="35"/>
        <v>772335.94493413996</v>
      </c>
      <c r="L164" s="5">
        <f t="shared" si="47"/>
        <v>376144.40319557779</v>
      </c>
      <c r="M164" s="63">
        <f>L164/Assumptions!$D$6</f>
        <v>0.88504565457783013</v>
      </c>
      <c r="N164" s="24">
        <f t="shared" si="51"/>
        <v>0</v>
      </c>
      <c r="O164" s="22">
        <f>N164*Assumptions!$E$25*-1</f>
        <v>0</v>
      </c>
      <c r="P164" s="5">
        <f>Assumptions!$E$35*J164*-1</f>
        <v>-1691.5201221611696</v>
      </c>
      <c r="Q164" s="5">
        <f>J164*Assumptions!$E$36*-1</f>
        <v>-681.20968305082476</v>
      </c>
      <c r="R164" s="5">
        <f>R152+R152*Assumptions!$D$51</f>
        <v>-612.67883382652474</v>
      </c>
      <c r="S164" s="5">
        <f>S152+(S152*Assumptions!$D$51)</f>
        <v>0</v>
      </c>
      <c r="T164" s="5">
        <f t="shared" si="41"/>
        <v>0</v>
      </c>
      <c r="U164" s="22">
        <f t="shared" si="36"/>
        <v>-2985.4086390385191</v>
      </c>
      <c r="V164" s="5">
        <f>MAX(Assumptions!$E$18:$E$19)-U164</f>
        <v>5827.0416508372164</v>
      </c>
      <c r="W164" s="5">
        <f t="shared" si="37"/>
        <v>-2841.6330117986968</v>
      </c>
      <c r="X164" s="5">
        <f t="shared" si="42"/>
        <v>-2985.4086390385191</v>
      </c>
      <c r="Y164" s="5">
        <f>D164*Assumptions!$D$44*-1</f>
        <v>37.620200824094113</v>
      </c>
      <c r="Z164" s="5">
        <f t="shared" si="38"/>
        <v>37.620200824094567</v>
      </c>
      <c r="AA164" s="5">
        <f t="shared" si="48"/>
        <v>51211.744483685943</v>
      </c>
      <c r="AB164" s="3">
        <f>Assumptions!$E$45</f>
        <v>6.9899151946608562E-3</v>
      </c>
      <c r="AC164" s="5">
        <f t="shared" si="49"/>
        <v>51607.330435421645</v>
      </c>
      <c r="AD164" s="4">
        <f>AC164*Assumptions!$E$43</f>
        <v>46.218260730314341</v>
      </c>
      <c r="AE164" s="2">
        <f>AD164*Assumptions!$D$44*-1</f>
        <v>-6.9327391095471507</v>
      </c>
      <c r="AF164" s="2">
        <f>AC164*Assumptions!$E$46*-1</f>
        <v>-1.7199290502941811</v>
      </c>
      <c r="AG164" s="5">
        <f t="shared" si="50"/>
        <v>51598.677767261805</v>
      </c>
      <c r="AH164" s="20">
        <f>Model_30y[[#This Row],[Mortgage Payment]]+Model_30y[[#This Row],[Total Upkeep]]+Model_30y[[#This Row],[Monthly Investment]]</f>
        <v>-4319.4602166992026</v>
      </c>
      <c r="AI164" s="5">
        <f>Model_Renter!D164*-1</f>
        <v>4442.0186823641052</v>
      </c>
      <c r="AJ164" s="5">
        <f t="shared" si="43"/>
        <v>122.55846566490254</v>
      </c>
    </row>
    <row r="165" spans="1:36" x14ac:dyDescent="0.25">
      <c r="A165" s="17">
        <f t="shared" si="44"/>
        <v>163</v>
      </c>
      <c r="B165" s="17">
        <f t="shared" si="39"/>
        <v>14</v>
      </c>
      <c r="C165" s="23">
        <f>IFERROR(PPMT(Assumptions!$E$17, A165, 180, Assumptions!$D$8), 0)</f>
        <v>-2603.4619773771387</v>
      </c>
      <c r="D165" s="38">
        <f>IFERROR(IPMT(Assumptions!$E$17,A165,180,Assumptions!$D$8), 0)</f>
        <v>-238.17103442155849</v>
      </c>
      <c r="E165" s="2">
        <f t="shared" si="45"/>
        <v>-2841.6330117986972</v>
      </c>
      <c r="F165" s="2">
        <f>IF(I164&gt;1, Assumptions!$E$19, 0)*-1</f>
        <v>-2841.6330117986968</v>
      </c>
      <c r="G165" s="24">
        <f t="shared" si="40"/>
        <v>1</v>
      </c>
      <c r="H165" s="20">
        <f t="shared" si="46"/>
        <v>293747.8651729548</v>
      </c>
      <c r="I165" s="2">
        <f>MAX(Assumptions!$D$8-SUM(Model_15y!H165), 0)</f>
        <v>46252.1348270452</v>
      </c>
      <c r="J165" s="2">
        <f>J164*(1+(Assumptions!$E$51))</f>
        <v>824537.17772969021</v>
      </c>
      <c r="K165" s="22">
        <f t="shared" si="35"/>
        <v>778285.04290264496</v>
      </c>
      <c r="L165" s="5">
        <f t="shared" si="47"/>
        <v>378747.86517295492</v>
      </c>
      <c r="M165" s="63">
        <f>L165/Assumptions!$D$6</f>
        <v>0.89117144746577626</v>
      </c>
      <c r="N165" s="24">
        <f t="shared" si="51"/>
        <v>0</v>
      </c>
      <c r="O165" s="22">
        <f>N165*Assumptions!$E$25*-1</f>
        <v>0</v>
      </c>
      <c r="P165" s="5">
        <f>Assumptions!$E$35*J165*-1</f>
        <v>-1698.4115845213862</v>
      </c>
      <c r="Q165" s="5">
        <f>J165*Assumptions!$E$36*-1</f>
        <v>-683.9850156221936</v>
      </c>
      <c r="R165" s="5">
        <f>R153+R153*Assumptions!$D$51</f>
        <v>-612.67883382652474</v>
      </c>
      <c r="S165" s="5">
        <f>S153+(S153*Assumptions!$D$51)</f>
        <v>0</v>
      </c>
      <c r="T165" s="5">
        <f t="shared" si="41"/>
        <v>0</v>
      </c>
      <c r="U165" s="22">
        <f t="shared" si="36"/>
        <v>-2995.0754339701043</v>
      </c>
      <c r="V165" s="5">
        <f>MAX(Assumptions!$E$18:$E$19)-U165</f>
        <v>5836.7084457688015</v>
      </c>
      <c r="W165" s="5">
        <f t="shared" si="37"/>
        <v>-2841.6330117986968</v>
      </c>
      <c r="X165" s="5">
        <f t="shared" si="42"/>
        <v>-2995.0754339701043</v>
      </c>
      <c r="Y165" s="5">
        <f>D165*Assumptions!$D$44*-1</f>
        <v>35.725655163233775</v>
      </c>
      <c r="Z165" s="5">
        <f t="shared" si="38"/>
        <v>35.725655163234229</v>
      </c>
      <c r="AA165" s="5">
        <f t="shared" si="48"/>
        <v>51598.677767261805</v>
      </c>
      <c r="AB165" s="3">
        <f>Assumptions!$E$45</f>
        <v>6.9899151946608562E-3</v>
      </c>
      <c r="AC165" s="5">
        <f t="shared" si="49"/>
        <v>51995.073804174826</v>
      </c>
      <c r="AD165" s="4">
        <f>AC165*Assumptions!$E$43</f>
        <v>46.565514191446375</v>
      </c>
      <c r="AE165" s="2">
        <f>AD165*Assumptions!$D$44*-1</f>
        <v>-6.9848271287169563</v>
      </c>
      <c r="AF165" s="2">
        <f>AC165*Assumptions!$E$46*-1</f>
        <v>-1.7328514603152154</v>
      </c>
      <c r="AG165" s="5">
        <f t="shared" si="50"/>
        <v>51986.356125585793</v>
      </c>
      <c r="AH165" s="20">
        <f>Model_30y[[#This Row],[Mortgage Payment]]+Model_30y[[#This Row],[Total Upkeep]]+Model_30y[[#This Row],[Monthly Investment]]</f>
        <v>-4329.7348242545759</v>
      </c>
      <c r="AI165" s="5">
        <f>Model_Renter!D165*-1</f>
        <v>4442.0186823641052</v>
      </c>
      <c r="AJ165" s="5">
        <f t="shared" si="43"/>
        <v>112.28385810952932</v>
      </c>
    </row>
    <row r="166" spans="1:36" x14ac:dyDescent="0.25">
      <c r="A166" s="17">
        <f t="shared" si="44"/>
        <v>164</v>
      </c>
      <c r="B166" s="17">
        <f t="shared" si="39"/>
        <v>14</v>
      </c>
      <c r="C166" s="23">
        <f>IFERROR(PPMT(Assumptions!$E$17, A166, 180, Assumptions!$D$8), 0)</f>
        <v>-2616.1538545168519</v>
      </c>
      <c r="D166" s="38">
        <f>IFERROR(IPMT(Assumptions!$E$17,A166,180,Assumptions!$D$8), 0)</f>
        <v>-225.47915728184492</v>
      </c>
      <c r="E166" s="2">
        <f t="shared" si="45"/>
        <v>-2841.6330117986968</v>
      </c>
      <c r="F166" s="2">
        <f>IF(I165&gt;1, Assumptions!$E$19, 0)*-1</f>
        <v>-2841.6330117986968</v>
      </c>
      <c r="G166" s="24">
        <f t="shared" si="40"/>
        <v>1</v>
      </c>
      <c r="H166" s="20">
        <f t="shared" si="46"/>
        <v>296364.01902747166</v>
      </c>
      <c r="I166" s="2">
        <f>MAX(Assumptions!$D$8-SUM(Model_15y!H166), 0)</f>
        <v>43635.980972528341</v>
      </c>
      <c r="J166" s="2">
        <f>J165*(1+(Assumptions!$E$51))</f>
        <v>827896.44425598101</v>
      </c>
      <c r="K166" s="22">
        <f t="shared" si="35"/>
        <v>784260.46328345267</v>
      </c>
      <c r="L166" s="5">
        <f t="shared" si="47"/>
        <v>381364.01902747178</v>
      </c>
      <c r="M166" s="63">
        <f>L166/Assumptions!$D$6</f>
        <v>0.89732710359405121</v>
      </c>
      <c r="N166" s="24">
        <f t="shared" si="51"/>
        <v>0</v>
      </c>
      <c r="O166" s="22">
        <f>N166*Assumptions!$E$25*-1</f>
        <v>0</v>
      </c>
      <c r="P166" s="5">
        <f>Assumptions!$E$35*J166*-1</f>
        <v>-1705.3311235523086</v>
      </c>
      <c r="Q166" s="5">
        <f>J166*Assumptions!$E$36*-1</f>
        <v>-686.77165524199904</v>
      </c>
      <c r="R166" s="5">
        <f>R154+R154*Assumptions!$D$51</f>
        <v>-612.67883382652474</v>
      </c>
      <c r="S166" s="5">
        <f>S154+(S154*Assumptions!$D$51)</f>
        <v>0</v>
      </c>
      <c r="T166" s="5">
        <f t="shared" si="41"/>
        <v>0</v>
      </c>
      <c r="U166" s="22">
        <f t="shared" si="36"/>
        <v>-3004.7816126208322</v>
      </c>
      <c r="V166" s="5">
        <f>MAX(Assumptions!$E$18:$E$19)-U166</f>
        <v>5846.414624419529</v>
      </c>
      <c r="W166" s="5">
        <f t="shared" si="37"/>
        <v>-2841.6330117986968</v>
      </c>
      <c r="X166" s="5">
        <f t="shared" si="42"/>
        <v>-3004.7816126208322</v>
      </c>
      <c r="Y166" s="5">
        <f>D166*Assumptions!$D$44*-1</f>
        <v>33.821873592276738</v>
      </c>
      <c r="Z166" s="5">
        <f t="shared" si="38"/>
        <v>33.821873592276738</v>
      </c>
      <c r="AA166" s="5">
        <f t="shared" si="48"/>
        <v>51986.356125585793</v>
      </c>
      <c r="AB166" s="3">
        <f>Assumptions!$E$45</f>
        <v>6.9899151946608562E-3</v>
      </c>
      <c r="AC166" s="5">
        <f t="shared" si="49"/>
        <v>52383.558219775354</v>
      </c>
      <c r="AD166" s="4">
        <f>AC166*Assumptions!$E$43</f>
        <v>46.913431315978848</v>
      </c>
      <c r="AE166" s="2">
        <f>AD166*Assumptions!$D$44*-1</f>
        <v>-7.0370146973968266</v>
      </c>
      <c r="AF166" s="2">
        <f>AC166*Assumptions!$E$46*-1</f>
        <v>-1.7457985673703653</v>
      </c>
      <c r="AG166" s="5">
        <f t="shared" si="50"/>
        <v>52374.775406510584</v>
      </c>
      <c r="AH166" s="20">
        <f>Model_30y[[#This Row],[Mortgage Payment]]+Model_30y[[#This Row],[Total Upkeep]]+Model_30y[[#This Row],[Monthly Investment]]</f>
        <v>-4340.0522192797835</v>
      </c>
      <c r="AI166" s="5">
        <f>Model_Renter!D166*-1</f>
        <v>4442.0186823641052</v>
      </c>
      <c r="AJ166" s="5">
        <f t="shared" si="43"/>
        <v>101.96646308432173</v>
      </c>
    </row>
    <row r="167" spans="1:36" x14ac:dyDescent="0.25">
      <c r="A167" s="17">
        <f t="shared" si="44"/>
        <v>165</v>
      </c>
      <c r="B167" s="17">
        <f t="shared" si="39"/>
        <v>14</v>
      </c>
      <c r="C167" s="23">
        <f>IFERROR(PPMT(Assumptions!$E$17, A167, 180, Assumptions!$D$8), 0)</f>
        <v>-2628.9076045576217</v>
      </c>
      <c r="D167" s="38">
        <f>IFERROR(IPMT(Assumptions!$E$17,A167,180,Assumptions!$D$8), 0)</f>
        <v>-212.72540724107526</v>
      </c>
      <c r="E167" s="2">
        <f t="shared" si="45"/>
        <v>-2841.6330117986968</v>
      </c>
      <c r="F167" s="2">
        <f>IF(I166&gt;1, Assumptions!$E$19, 0)*-1</f>
        <v>-2841.6330117986968</v>
      </c>
      <c r="G167" s="24">
        <f t="shared" si="40"/>
        <v>1</v>
      </c>
      <c r="H167" s="20">
        <f t="shared" si="46"/>
        <v>298992.9266320293</v>
      </c>
      <c r="I167" s="2">
        <f>MAX(Assumptions!$D$8-SUM(Model_15y!H167), 0)</f>
        <v>41007.073367970705</v>
      </c>
      <c r="J167" s="2">
        <f>J166*(1+(Assumptions!$E$51))</f>
        <v>831269.39684992225</v>
      </c>
      <c r="K167" s="22">
        <f t="shared" si="35"/>
        <v>790262.32348195161</v>
      </c>
      <c r="L167" s="5">
        <f t="shared" si="47"/>
        <v>383992.92663202941</v>
      </c>
      <c r="M167" s="63">
        <f>L167/Assumptions!$D$6</f>
        <v>0.90351276854595153</v>
      </c>
      <c r="N167" s="24">
        <f t="shared" si="51"/>
        <v>0</v>
      </c>
      <c r="O167" s="22">
        <f>N167*Assumptions!$E$25*-1</f>
        <v>0</v>
      </c>
      <c r="P167" s="5">
        <f>Assumptions!$E$35*J167*-1</f>
        <v>-1712.2788536417688</v>
      </c>
      <c r="Q167" s="5">
        <f>J167*Assumptions!$E$36*-1</f>
        <v>-689.5696479765561</v>
      </c>
      <c r="R167" s="5">
        <f>R155+R155*Assumptions!$D$51</f>
        <v>-612.67883382652474</v>
      </c>
      <c r="S167" s="5">
        <f>S155+(S155*Assumptions!$D$51)</f>
        <v>0</v>
      </c>
      <c r="T167" s="5">
        <f t="shared" si="41"/>
        <v>0</v>
      </c>
      <c r="U167" s="22">
        <f t="shared" si="36"/>
        <v>-3014.5273354448495</v>
      </c>
      <c r="V167" s="5">
        <f>MAX(Assumptions!$E$18:$E$19)-U167</f>
        <v>5856.1603472435463</v>
      </c>
      <c r="W167" s="5">
        <f t="shared" si="37"/>
        <v>-2841.6330117986968</v>
      </c>
      <c r="X167" s="5">
        <f t="shared" si="42"/>
        <v>-3014.5273354448495</v>
      </c>
      <c r="Y167" s="5">
        <f>D167*Assumptions!$D$44*-1</f>
        <v>31.908811086161286</v>
      </c>
      <c r="Z167" s="5">
        <f t="shared" si="38"/>
        <v>31.908811086161286</v>
      </c>
      <c r="AA167" s="5">
        <f t="shared" si="48"/>
        <v>52374.775406510584</v>
      </c>
      <c r="AB167" s="3">
        <f>Assumptions!$E$45</f>
        <v>6.9899151946608562E-3</v>
      </c>
      <c r="AC167" s="5">
        <f t="shared" si="49"/>
        <v>52772.779456027667</v>
      </c>
      <c r="AD167" s="4">
        <f>AC167*Assumptions!$E$43</f>
        <v>47.262008319034557</v>
      </c>
      <c r="AE167" s="2">
        <f>AD167*Assumptions!$D$44*-1</f>
        <v>-7.0893012478551833</v>
      </c>
      <c r="AF167" s="2">
        <f>AC167*Assumptions!$E$46*-1</f>
        <v>-1.7587702306122659</v>
      </c>
      <c r="AG167" s="5">
        <f t="shared" si="50"/>
        <v>52763.9313845492</v>
      </c>
      <c r="AH167" s="20">
        <f>Model_30y[[#This Row],[Mortgage Payment]]+Model_30y[[#This Row],[Total Upkeep]]+Model_30y[[#This Row],[Monthly Investment]]</f>
        <v>-4350.4125812899783</v>
      </c>
      <c r="AI167" s="5">
        <f>Model_Renter!D167*-1</f>
        <v>4442.0186823641052</v>
      </c>
      <c r="AJ167" s="5">
        <f t="shared" si="43"/>
        <v>91.606101074126855</v>
      </c>
    </row>
    <row r="168" spans="1:36" x14ac:dyDescent="0.25">
      <c r="A168" s="17">
        <f t="shared" si="44"/>
        <v>166</v>
      </c>
      <c r="B168" s="17">
        <f t="shared" si="39"/>
        <v>14</v>
      </c>
      <c r="C168" s="23">
        <f>IFERROR(PPMT(Assumptions!$E$17, A168, 180, Assumptions!$D$8), 0)</f>
        <v>-2641.7235291298398</v>
      </c>
      <c r="D168" s="38">
        <f>IFERROR(IPMT(Assumptions!$E$17,A168,180,Assumptions!$D$8), 0)</f>
        <v>-199.90948266885692</v>
      </c>
      <c r="E168" s="2">
        <f t="shared" si="45"/>
        <v>-2841.6330117986968</v>
      </c>
      <c r="F168" s="2">
        <f>IF(I167&gt;1, Assumptions!$E$19, 0)*-1</f>
        <v>-2841.6330117986968</v>
      </c>
      <c r="G168" s="24">
        <f t="shared" si="40"/>
        <v>1</v>
      </c>
      <c r="H168" s="20">
        <f t="shared" si="46"/>
        <v>301634.65016115911</v>
      </c>
      <c r="I168" s="2">
        <f>MAX(Assumptions!$D$8-SUM(Model_15y!H168), 0)</f>
        <v>38365.349838840892</v>
      </c>
      <c r="J168" s="2">
        <f>J167*(1+(Assumptions!$E$51))</f>
        <v>834656.09127024759</v>
      </c>
      <c r="K168" s="22">
        <f t="shared" si="35"/>
        <v>796290.7414314067</v>
      </c>
      <c r="L168" s="5">
        <f t="shared" si="47"/>
        <v>386634.65016115922</v>
      </c>
      <c r="M168" s="63">
        <f>L168/Assumptions!$D$6</f>
        <v>0.90972858861449224</v>
      </c>
      <c r="N168" s="24">
        <f t="shared" si="51"/>
        <v>0</v>
      </c>
      <c r="O168" s="22">
        <f>N168*Assumptions!$E$25*-1</f>
        <v>0</v>
      </c>
      <c r="P168" s="5">
        <f>Assumptions!$E$35*J168*-1</f>
        <v>-1719.254889643629</v>
      </c>
      <c r="Q168" s="5">
        <f>J168*Assumptions!$E$36*-1</f>
        <v>-692.37904007985946</v>
      </c>
      <c r="R168" s="5">
        <f>R156+R156*Assumptions!$D$51</f>
        <v>-612.67883382652474</v>
      </c>
      <c r="S168" s="5">
        <f>S156+(S156*Assumptions!$D$51)</f>
        <v>0</v>
      </c>
      <c r="T168" s="5">
        <f t="shared" si="41"/>
        <v>0</v>
      </c>
      <c r="U168" s="22">
        <f t="shared" si="36"/>
        <v>-3024.3127635500132</v>
      </c>
      <c r="V168" s="5">
        <f>MAX(Assumptions!$E$18:$E$19)-U168</f>
        <v>5865.9457753487095</v>
      </c>
      <c r="W168" s="5">
        <f t="shared" si="37"/>
        <v>-2841.6330117986968</v>
      </c>
      <c r="X168" s="5">
        <f t="shared" si="42"/>
        <v>-3024.3127635500132</v>
      </c>
      <c r="Y168" s="5">
        <f>D168*Assumptions!$D$44*-1</f>
        <v>29.986422400328536</v>
      </c>
      <c r="Z168" s="5">
        <f t="shared" si="38"/>
        <v>29.986422400328081</v>
      </c>
      <c r="AA168" s="5">
        <f t="shared" si="48"/>
        <v>52763.9313845492</v>
      </c>
      <c r="AB168" s="3">
        <f>Assumptions!$E$45</f>
        <v>6.9899151946608562E-3</v>
      </c>
      <c r="AC168" s="5">
        <f t="shared" si="49"/>
        <v>53162.733212664425</v>
      </c>
      <c r="AD168" s="4">
        <f>AC168*Assumptions!$E$43</f>
        <v>47.611241349399421</v>
      </c>
      <c r="AE168" s="2">
        <f>AD168*Assumptions!$D$44*-1</f>
        <v>-7.1416862024099128</v>
      </c>
      <c r="AF168" s="2">
        <f>AC168*Assumptions!$E$46*-1</f>
        <v>-1.7717663067249447</v>
      </c>
      <c r="AG168" s="5">
        <f t="shared" si="50"/>
        <v>53153.819760155289</v>
      </c>
      <c r="AH168" s="20">
        <f>Model_30y[[#This Row],[Mortgage Payment]]+Model_30y[[#This Row],[Total Upkeep]]+Model_30y[[#This Row],[Monthly Investment]]</f>
        <v>-4360.8160905607629</v>
      </c>
      <c r="AI168" s="5">
        <f>Model_Renter!D168*-1</f>
        <v>4442.0186823641052</v>
      </c>
      <c r="AJ168" s="5">
        <f t="shared" si="43"/>
        <v>81.20259180334233</v>
      </c>
    </row>
    <row r="169" spans="1:36" x14ac:dyDescent="0.25">
      <c r="A169" s="17">
        <f t="shared" si="44"/>
        <v>167</v>
      </c>
      <c r="B169" s="17">
        <f t="shared" si="39"/>
        <v>14</v>
      </c>
      <c r="C169" s="23">
        <f>IFERROR(PPMT(Assumptions!$E$17, A169, 180, Assumptions!$D$8), 0)</f>
        <v>-2654.6019313343481</v>
      </c>
      <c r="D169" s="38">
        <f>IFERROR(IPMT(Assumptions!$E$17,A169,180,Assumptions!$D$8), 0)</f>
        <v>-187.03108046434895</v>
      </c>
      <c r="E169" s="2">
        <f t="shared" si="45"/>
        <v>-2841.6330117986972</v>
      </c>
      <c r="F169" s="2">
        <f>IF(I168&gt;1, Assumptions!$E$19, 0)*-1</f>
        <v>-2841.6330117986968</v>
      </c>
      <c r="G169" s="24">
        <f t="shared" si="40"/>
        <v>1</v>
      </c>
      <c r="H169" s="20">
        <f t="shared" si="46"/>
        <v>304289.25209249347</v>
      </c>
      <c r="I169" s="2">
        <f>MAX(Assumptions!$D$8-SUM(Model_15y!H169), 0)</f>
        <v>35710.747907506535</v>
      </c>
      <c r="J169" s="2">
        <f>J168*(1+(Assumptions!$E$51))</f>
        <v>838056.58350285864</v>
      </c>
      <c r="K169" s="22">
        <f t="shared" si="35"/>
        <v>802345.83559535211</v>
      </c>
      <c r="L169" s="5">
        <f t="shared" si="47"/>
        <v>389289.25209249358</v>
      </c>
      <c r="M169" s="63">
        <f>L169/Assumptions!$D$6</f>
        <v>0.91597471080586723</v>
      </c>
      <c r="N169" s="24">
        <f t="shared" si="51"/>
        <v>0</v>
      </c>
      <c r="O169" s="22">
        <f>N169*Assumptions!$E$25*-1</f>
        <v>0</v>
      </c>
      <c r="P169" s="5">
        <f>Assumptions!$E$35*J169*-1</f>
        <v>-1726.2593468796797</v>
      </c>
      <c r="Q169" s="5">
        <f>J169*Assumptions!$E$36*-1</f>
        <v>-695.19987799434841</v>
      </c>
      <c r="R169" s="5">
        <f>R157+R157*Assumptions!$D$51</f>
        <v>-612.67883382652474</v>
      </c>
      <c r="S169" s="5">
        <f>S157+(S157*Assumptions!$D$51)</f>
        <v>0</v>
      </c>
      <c r="T169" s="5">
        <f t="shared" si="41"/>
        <v>0</v>
      </c>
      <c r="U169" s="22">
        <f t="shared" si="36"/>
        <v>-3034.1380587005528</v>
      </c>
      <c r="V169" s="5">
        <f>MAX(Assumptions!$E$18:$E$19)-U169</f>
        <v>5875.7710704992496</v>
      </c>
      <c r="W169" s="5">
        <f t="shared" si="37"/>
        <v>-2841.6330117986968</v>
      </c>
      <c r="X169" s="5">
        <f t="shared" si="42"/>
        <v>-3034.1380587005528</v>
      </c>
      <c r="Y169" s="5">
        <f>D169*Assumptions!$D$44*-1</f>
        <v>28.054662069652341</v>
      </c>
      <c r="Z169" s="5">
        <f t="shared" si="38"/>
        <v>28.054662069652341</v>
      </c>
      <c r="AA169" s="5">
        <f t="shared" si="48"/>
        <v>53153.819760155289</v>
      </c>
      <c r="AB169" s="3">
        <f>Assumptions!$E$45</f>
        <v>6.9899151946608562E-3</v>
      </c>
      <c r="AC169" s="5">
        <f t="shared" si="49"/>
        <v>53553.415114620715</v>
      </c>
      <c r="AD169" s="4">
        <f>AC169*Assumptions!$E$43</f>
        <v>47.961126488872502</v>
      </c>
      <c r="AE169" s="2">
        <f>AD169*Assumptions!$D$44*-1</f>
        <v>-7.1941689733308749</v>
      </c>
      <c r="AF169" s="2">
        <f>AC169*Assumptions!$E$46*-1</f>
        <v>-1.7847866498996345</v>
      </c>
      <c r="AG169" s="5">
        <f t="shared" si="50"/>
        <v>53544.436158997487</v>
      </c>
      <c r="AH169" s="20">
        <f>Model_30y[[#This Row],[Mortgage Payment]]+Model_30y[[#This Row],[Total Upkeep]]+Model_30y[[#This Row],[Monthly Investment]]</f>
        <v>-4371.2629281314503</v>
      </c>
      <c r="AI169" s="5">
        <f>Model_Renter!D169*-1</f>
        <v>4442.0186823641052</v>
      </c>
      <c r="AJ169" s="5">
        <f t="shared" si="43"/>
        <v>70.755754232654908</v>
      </c>
    </row>
    <row r="170" spans="1:36" x14ac:dyDescent="0.25">
      <c r="A170" s="17">
        <f t="shared" si="44"/>
        <v>168</v>
      </c>
      <c r="B170" s="17">
        <f t="shared" si="39"/>
        <v>14</v>
      </c>
      <c r="C170" s="23">
        <f>IFERROR(PPMT(Assumptions!$E$17, A170, 180, Assumptions!$D$8), 0)</f>
        <v>-2667.5431157496032</v>
      </c>
      <c r="D170" s="38">
        <f>IFERROR(IPMT(Assumptions!$E$17,A170,180,Assumptions!$D$8), 0)</f>
        <v>-174.08989604909399</v>
      </c>
      <c r="E170" s="2">
        <f t="shared" si="45"/>
        <v>-2841.6330117986972</v>
      </c>
      <c r="F170" s="2">
        <f>IF(I169&gt;1, Assumptions!$E$19, 0)*-1</f>
        <v>-2841.6330117986968</v>
      </c>
      <c r="G170" s="24">
        <f t="shared" si="40"/>
        <v>1</v>
      </c>
      <c r="H170" s="20">
        <f t="shared" si="46"/>
        <v>306956.79520824307</v>
      </c>
      <c r="I170" s="2">
        <f>MAX(Assumptions!$D$8-SUM(Model_15y!H170), 0)</f>
        <v>33043.204791756929</v>
      </c>
      <c r="J170" s="2">
        <f>J169*(1+(Assumptions!$E$51))</f>
        <v>841470.92976175074</v>
      </c>
      <c r="K170" s="22">
        <f t="shared" si="35"/>
        <v>808427.72496999381</v>
      </c>
      <c r="L170" s="5">
        <f t="shared" si="47"/>
        <v>391956.79520824319</v>
      </c>
      <c r="M170" s="63">
        <f>L170/Assumptions!$D$6</f>
        <v>0.92225128284292512</v>
      </c>
      <c r="N170" s="24">
        <f t="shared" si="51"/>
        <v>0</v>
      </c>
      <c r="O170" s="22">
        <f>N170*Assumptions!$E$25*-1</f>
        <v>0</v>
      </c>
      <c r="P170" s="5">
        <f>Assumptions!$E$35*J170*-1</f>
        <v>-1733.2923411415477</v>
      </c>
      <c r="Q170" s="5">
        <f>J170*Assumptions!$E$36*-1</f>
        <v>-698.03220835167463</v>
      </c>
      <c r="R170" s="5">
        <f>R158+R158*Assumptions!$D$51</f>
        <v>-612.67883382652474</v>
      </c>
      <c r="S170" s="5">
        <f>S158+(S158*Assumptions!$D$51)</f>
        <v>0</v>
      </c>
      <c r="T170" s="5">
        <f t="shared" si="41"/>
        <v>0</v>
      </c>
      <c r="U170" s="22">
        <f t="shared" si="36"/>
        <v>-3044.0033833197472</v>
      </c>
      <c r="V170" s="5">
        <f>MAX(Assumptions!$E$18:$E$19)-U170</f>
        <v>5885.6363951184439</v>
      </c>
      <c r="W170" s="5">
        <f t="shared" si="37"/>
        <v>-2841.6330117986968</v>
      </c>
      <c r="X170" s="5">
        <f t="shared" si="42"/>
        <v>-3044.0033833197472</v>
      </c>
      <c r="Y170" s="5">
        <f>D170*Assumptions!$D$44*-1</f>
        <v>26.113484407364098</v>
      </c>
      <c r="Z170" s="5">
        <f t="shared" si="38"/>
        <v>26.113484407364098</v>
      </c>
      <c r="AA170" s="5">
        <f t="shared" si="48"/>
        <v>53544.436158997487</v>
      </c>
      <c r="AB170" s="3">
        <f>Assumptions!$E$45</f>
        <v>6.9899151946608562E-3</v>
      </c>
      <c r="AC170" s="5">
        <f t="shared" si="49"/>
        <v>53944.820711302178</v>
      </c>
      <c r="AD170" s="4">
        <f>AC170*Assumptions!$E$43</f>
        <v>48.311659751610534</v>
      </c>
      <c r="AE170" s="2">
        <f>AD170*Assumptions!$D$44*-1</f>
        <v>-7.24674896274158</v>
      </c>
      <c r="AF170" s="2">
        <f>AC170*Assumptions!$E$46*-1</f>
        <v>-1.7978311118103811</v>
      </c>
      <c r="AG170" s="5">
        <f t="shared" si="50"/>
        <v>53935.776131227627</v>
      </c>
      <c r="AH170" s="20">
        <f>Model_30y[[#This Row],[Mortgage Payment]]+Model_30y[[#This Row],[Total Upkeep]]+Model_30y[[#This Row],[Monthly Investment]]</f>
        <v>-4381.7532758083444</v>
      </c>
      <c r="AI170" s="5">
        <f>Model_Renter!D170*-1</f>
        <v>4442.0186823641052</v>
      </c>
      <c r="AJ170" s="5">
        <f t="shared" si="43"/>
        <v>60.265406555760819</v>
      </c>
    </row>
    <row r="171" spans="1:36" x14ac:dyDescent="0.25">
      <c r="A171" s="17">
        <f t="shared" si="44"/>
        <v>169</v>
      </c>
      <c r="B171" s="17">
        <f t="shared" si="39"/>
        <v>15</v>
      </c>
      <c r="C171" s="23">
        <f>IFERROR(PPMT(Assumptions!$E$17, A171, 180, Assumptions!$D$8), 0)</f>
        <v>-2680.5473884388825</v>
      </c>
      <c r="D171" s="38">
        <f>IFERROR(IPMT(Assumptions!$E$17,A171,180,Assumptions!$D$8), 0)</f>
        <v>-161.08562335981466</v>
      </c>
      <c r="E171" s="2">
        <f t="shared" si="45"/>
        <v>-2841.6330117986972</v>
      </c>
      <c r="F171" s="2">
        <f>IF(I170&gt;1, Assumptions!$E$19, 0)*-1</f>
        <v>-2841.6330117986968</v>
      </c>
      <c r="G171" s="24">
        <f t="shared" si="40"/>
        <v>1</v>
      </c>
      <c r="H171" s="20">
        <f t="shared" si="46"/>
        <v>309637.34259668196</v>
      </c>
      <c r="I171" s="2">
        <f>MAX(Assumptions!$D$8-SUM(Model_15y!H171), 0)</f>
        <v>30362.657403318037</v>
      </c>
      <c r="J171" s="2">
        <f>J170*(1+(Assumptions!$E$51))</f>
        <v>844899.18648994179</v>
      </c>
      <c r="K171" s="22">
        <f t="shared" si="35"/>
        <v>814536.52908662381</v>
      </c>
      <c r="L171" s="5">
        <f t="shared" si="47"/>
        <v>394637.34259668208</v>
      </c>
      <c r="M171" s="63">
        <f>L171/Assumptions!$D$6</f>
        <v>0.9285584531686637</v>
      </c>
      <c r="N171" s="24">
        <f t="shared" si="51"/>
        <v>0</v>
      </c>
      <c r="O171" s="22">
        <f>N171*Assumptions!$E$25*-1</f>
        <v>0</v>
      </c>
      <c r="P171" s="5">
        <f>Assumptions!$E$35*J171*-1</f>
        <v>-1740.353988692608</v>
      </c>
      <c r="Q171" s="5">
        <f>J171*Assumptions!$E$36*-1</f>
        <v>-700.87607797347277</v>
      </c>
      <c r="R171" s="5">
        <f>R159+R159*Assumptions!$D$51</f>
        <v>-643.31277551785092</v>
      </c>
      <c r="S171" s="5">
        <f>S159+(S159*Assumptions!$D$51)</f>
        <v>0</v>
      </c>
      <c r="T171" s="5">
        <f t="shared" si="41"/>
        <v>0</v>
      </c>
      <c r="U171" s="22">
        <f t="shared" si="36"/>
        <v>-3084.5428421839315</v>
      </c>
      <c r="V171" s="5">
        <f>MAX(Assumptions!$E$18:$E$19)-U171</f>
        <v>5926.1758539826278</v>
      </c>
      <c r="W171" s="5">
        <f t="shared" si="37"/>
        <v>-2841.6330117986968</v>
      </c>
      <c r="X171" s="5">
        <f t="shared" si="42"/>
        <v>-3084.5428421839315</v>
      </c>
      <c r="Y171" s="5">
        <f>D171*Assumptions!$D$44*-1</f>
        <v>24.162843503972198</v>
      </c>
      <c r="Z171" s="5">
        <f t="shared" si="38"/>
        <v>24.162843503971743</v>
      </c>
      <c r="AA171" s="5">
        <f t="shared" si="48"/>
        <v>53935.776131227627</v>
      </c>
      <c r="AB171" s="3">
        <f>Assumptions!$E$45</f>
        <v>6.9899151946608562E-3</v>
      </c>
      <c r="AC171" s="5">
        <f t="shared" si="49"/>
        <v>54336.945475847097</v>
      </c>
      <c r="AD171" s="4">
        <f>AC171*Assumptions!$E$43</f>
        <v>48.662837083467075</v>
      </c>
      <c r="AE171" s="2">
        <f>AD171*Assumptions!$D$44*-1</f>
        <v>-7.299425562520061</v>
      </c>
      <c r="AF171" s="2">
        <f>AC171*Assumptions!$E$46*-1</f>
        <v>-1.8108995415894513</v>
      </c>
      <c r="AG171" s="5">
        <f t="shared" si="50"/>
        <v>54327.835150742983</v>
      </c>
      <c r="AH171" s="20">
        <f>Model_30y[[#This Row],[Mortgage Payment]]+Model_30y[[#This Row],[Total Upkeep]]+Model_30y[[#This Row],[Monthly Investment]]</f>
        <v>-4422.9212578593524</v>
      </c>
      <c r="AI171" s="5">
        <f>Model_Renter!D171*-1</f>
        <v>4608.150181084523</v>
      </c>
      <c r="AJ171" s="5">
        <f t="shared" si="43"/>
        <v>185.22892322517055</v>
      </c>
    </row>
    <row r="172" spans="1:36" x14ac:dyDescent="0.25">
      <c r="A172" s="17">
        <f t="shared" si="44"/>
        <v>170</v>
      </c>
      <c r="B172" s="17">
        <f t="shared" si="39"/>
        <v>15</v>
      </c>
      <c r="C172" s="23">
        <f>IFERROR(PPMT(Assumptions!$E$17, A172, 180, Assumptions!$D$8), 0)</f>
        <v>-2693.6150569575216</v>
      </c>
      <c r="D172" s="38">
        <f>IFERROR(IPMT(Assumptions!$E$17,A172,180,Assumptions!$D$8), 0)</f>
        <v>-148.01795484117511</v>
      </c>
      <c r="E172" s="2">
        <f t="shared" si="45"/>
        <v>-2841.6330117986968</v>
      </c>
      <c r="F172" s="2">
        <f>IF(I171&gt;1, Assumptions!$E$19, 0)*-1</f>
        <v>-2841.6330117986968</v>
      </c>
      <c r="G172" s="24">
        <f t="shared" si="40"/>
        <v>1</v>
      </c>
      <c r="H172" s="20">
        <f t="shared" si="46"/>
        <v>312330.95765363949</v>
      </c>
      <c r="I172" s="2">
        <f>MAX(Assumptions!$D$8-SUM(Model_15y!H172), 0)</f>
        <v>27669.042346360511</v>
      </c>
      <c r="J172" s="2">
        <f>J171*(1+(Assumptions!$E$51))</f>
        <v>848341.41036040557</v>
      </c>
      <c r="K172" s="22">
        <f t="shared" si="35"/>
        <v>820672.36801404506</v>
      </c>
      <c r="L172" s="5">
        <f t="shared" si="47"/>
        <v>397330.95765363961</v>
      </c>
      <c r="M172" s="63">
        <f>L172/Assumptions!$D$6</f>
        <v>0.93489637094974021</v>
      </c>
      <c r="N172" s="24">
        <f t="shared" si="51"/>
        <v>0</v>
      </c>
      <c r="O172" s="22">
        <f>N172*Assumptions!$E$25*-1</f>
        <v>0</v>
      </c>
      <c r="P172" s="5">
        <f>Assumptions!$E$35*J172*-1</f>
        <v>-1747.4444062699076</v>
      </c>
      <c r="Q172" s="5">
        <f>J172*Assumptions!$E$36*-1</f>
        <v>-703.73153387213461</v>
      </c>
      <c r="R172" s="5">
        <f>R160+R160*Assumptions!$D$51</f>
        <v>-643.31277551785092</v>
      </c>
      <c r="S172" s="5">
        <f>S160+(S160*Assumptions!$D$51)</f>
        <v>0</v>
      </c>
      <c r="T172" s="5">
        <f t="shared" si="41"/>
        <v>0</v>
      </c>
      <c r="U172" s="22">
        <f t="shared" si="36"/>
        <v>-3094.4887156598934</v>
      </c>
      <c r="V172" s="5">
        <f>MAX(Assumptions!$E$18:$E$19)-U172</f>
        <v>5936.1217274585906</v>
      </c>
      <c r="W172" s="5">
        <f t="shared" si="37"/>
        <v>-2841.6330117986968</v>
      </c>
      <c r="X172" s="5">
        <f t="shared" si="42"/>
        <v>-3094.4887156598934</v>
      </c>
      <c r="Y172" s="5">
        <f>D172*Assumptions!$D$44*-1</f>
        <v>22.202693226176265</v>
      </c>
      <c r="Z172" s="5">
        <f t="shared" si="38"/>
        <v>22.20269322617672</v>
      </c>
      <c r="AA172" s="5">
        <f t="shared" si="48"/>
        <v>54327.835150742983</v>
      </c>
      <c r="AB172" s="3">
        <f>Assumptions!$E$45</f>
        <v>6.9899151946608562E-3</v>
      </c>
      <c r="AC172" s="5">
        <f t="shared" si="49"/>
        <v>54729.784804382369</v>
      </c>
      <c r="AD172" s="4">
        <f>AC172*Assumptions!$E$43</f>
        <v>49.014654361326166</v>
      </c>
      <c r="AE172" s="2">
        <f>AD172*Assumptions!$D$44*-1</f>
        <v>-7.3521981541989243</v>
      </c>
      <c r="AF172" s="2">
        <f>AC172*Assumptions!$E$46*-1</f>
        <v>-1.8239917858025354</v>
      </c>
      <c r="AG172" s="5">
        <f t="shared" si="50"/>
        <v>54720.608614442368</v>
      </c>
      <c r="AH172" s="20">
        <f>Model_30y[[#This Row],[Mortgage Payment]]+Model_30y[[#This Row],[Total Upkeep]]+Model_30y[[#This Row],[Monthly Investment]]</f>
        <v>-4433.4991742519842</v>
      </c>
      <c r="AI172" s="5">
        <f>Model_Renter!D172*-1</f>
        <v>4608.150181084523</v>
      </c>
      <c r="AJ172" s="5">
        <f t="shared" si="43"/>
        <v>174.65100683253877</v>
      </c>
    </row>
    <row r="173" spans="1:36" x14ac:dyDescent="0.25">
      <c r="A173" s="17">
        <f t="shared" si="44"/>
        <v>171</v>
      </c>
      <c r="B173" s="17">
        <f t="shared" si="39"/>
        <v>15</v>
      </c>
      <c r="C173" s="23">
        <f>IFERROR(PPMT(Assumptions!$E$17, A173, 180, Assumptions!$D$8), 0)</f>
        <v>-2706.7464303601901</v>
      </c>
      <c r="D173" s="38">
        <f>IFERROR(IPMT(Assumptions!$E$17,A173,180,Assumptions!$D$8), 0)</f>
        <v>-134.88658143850722</v>
      </c>
      <c r="E173" s="2">
        <f t="shared" si="45"/>
        <v>-2841.6330117986972</v>
      </c>
      <c r="F173" s="2">
        <f>IF(I172&gt;1, Assumptions!$E$19, 0)*-1</f>
        <v>-2841.6330117986968</v>
      </c>
      <c r="G173" s="24">
        <f t="shared" si="40"/>
        <v>1</v>
      </c>
      <c r="H173" s="20">
        <f t="shared" si="46"/>
        <v>315037.70408399968</v>
      </c>
      <c r="I173" s="2">
        <f>MAX(Assumptions!$D$8-SUM(Model_15y!H173), 0)</f>
        <v>24962.295916000323</v>
      </c>
      <c r="J173" s="2">
        <f>J172*(1+(Assumptions!$E$51))</f>
        <v>851797.65827700868</v>
      </c>
      <c r="K173" s="22">
        <f t="shared" si="35"/>
        <v>826835.3623610083</v>
      </c>
      <c r="L173" s="5">
        <f t="shared" si="47"/>
        <v>400037.70408399979</v>
      </c>
      <c r="M173" s="63">
        <f>L173/Assumptions!$D$6</f>
        <v>0.94126518607999954</v>
      </c>
      <c r="N173" s="24">
        <f t="shared" si="51"/>
        <v>0</v>
      </c>
      <c r="O173" s="22">
        <f>N173*Assumptions!$E$25*-1</f>
        <v>0</v>
      </c>
      <c r="P173" s="5">
        <f>Assumptions!$E$35*J173*-1</f>
        <v>-1754.5637110860953</v>
      </c>
      <c r="Q173" s="5">
        <f>J173*Assumptions!$E$36*-1</f>
        <v>-706.59862325158645</v>
      </c>
      <c r="R173" s="5">
        <f>R161+R161*Assumptions!$D$51</f>
        <v>-643.31277551785092</v>
      </c>
      <c r="S173" s="5">
        <f>S161+(S161*Assumptions!$D$51)</f>
        <v>0</v>
      </c>
      <c r="T173" s="5">
        <f t="shared" si="41"/>
        <v>0</v>
      </c>
      <c r="U173" s="22">
        <f t="shared" si="36"/>
        <v>-3104.4751098555325</v>
      </c>
      <c r="V173" s="5">
        <f>MAX(Assumptions!$E$18:$E$19)-U173</f>
        <v>5946.1081216542298</v>
      </c>
      <c r="W173" s="5">
        <f t="shared" si="37"/>
        <v>-2841.6330117986968</v>
      </c>
      <c r="X173" s="5">
        <f t="shared" si="42"/>
        <v>-3104.4751098555325</v>
      </c>
      <c r="Y173" s="5">
        <f>D173*Assumptions!$D$44*-1</f>
        <v>20.232987215776081</v>
      </c>
      <c r="Z173" s="5">
        <f t="shared" si="38"/>
        <v>20.232987215776536</v>
      </c>
      <c r="AA173" s="5">
        <f t="shared" si="48"/>
        <v>54720.608614442368</v>
      </c>
      <c r="AB173" s="3">
        <f>Assumptions!$E$45</f>
        <v>6.9899151946608562E-3</v>
      </c>
      <c r="AC173" s="5">
        <f t="shared" si="49"/>
        <v>55123.334015273329</v>
      </c>
      <c r="AD173" s="4">
        <f>AC173*Assumptions!$E$43</f>
        <v>49.367107392430512</v>
      </c>
      <c r="AE173" s="2">
        <f>AD173*Assumptions!$D$44*-1</f>
        <v>-7.4050661088645766</v>
      </c>
      <c r="AF173" s="2">
        <f>AC173*Assumptions!$E$46*-1</f>
        <v>-1.8371076884237476</v>
      </c>
      <c r="AG173" s="5">
        <f t="shared" si="50"/>
        <v>55114.091841476038</v>
      </c>
      <c r="AH173" s="20">
        <f>Model_30y[[#This Row],[Mortgage Payment]]+Model_30y[[#This Row],[Total Upkeep]]+Model_30y[[#This Row],[Monthly Investment]]</f>
        <v>-4444.1211508046272</v>
      </c>
      <c r="AI173" s="5">
        <f>Model_Renter!D173*-1</f>
        <v>4608.150181084523</v>
      </c>
      <c r="AJ173" s="5">
        <f t="shared" si="43"/>
        <v>164.02903027989578</v>
      </c>
    </row>
    <row r="174" spans="1:36" x14ac:dyDescent="0.25">
      <c r="A174" s="17">
        <f t="shared" si="44"/>
        <v>172</v>
      </c>
      <c r="B174" s="17">
        <f t="shared" si="39"/>
        <v>15</v>
      </c>
      <c r="C174" s="23">
        <f>IFERROR(PPMT(Assumptions!$E$17, A174, 180, Assumptions!$D$8), 0)</f>
        <v>-2719.9418192081957</v>
      </c>
      <c r="D174" s="38">
        <f>IFERROR(IPMT(Assumptions!$E$17,A174,180,Assumptions!$D$8), 0)</f>
        <v>-121.69119259050129</v>
      </c>
      <c r="E174" s="2">
        <f t="shared" si="45"/>
        <v>-2841.6330117986972</v>
      </c>
      <c r="F174" s="2">
        <f>IF(I173&gt;1, Assumptions!$E$19, 0)*-1</f>
        <v>-2841.6330117986968</v>
      </c>
      <c r="G174" s="24">
        <f t="shared" si="40"/>
        <v>1</v>
      </c>
      <c r="H174" s="20">
        <f t="shared" si="46"/>
        <v>317757.64590320789</v>
      </c>
      <c r="I174" s="2">
        <f>MAX(Assumptions!$D$8-SUM(Model_15y!H174), 0)</f>
        <v>22242.354096792114</v>
      </c>
      <c r="J174" s="2">
        <f>J173*(1+(Assumptions!$E$51))</f>
        <v>855267.98737545102</v>
      </c>
      <c r="K174" s="22">
        <f t="shared" si="35"/>
        <v>833025.63327865885</v>
      </c>
      <c r="L174" s="5">
        <f t="shared" si="47"/>
        <v>402757.645903208</v>
      </c>
      <c r="M174" s="63">
        <f>L174/Assumptions!$D$6</f>
        <v>0.94766504918401884</v>
      </c>
      <c r="N174" s="24">
        <f t="shared" si="51"/>
        <v>0</v>
      </c>
      <c r="O174" s="22">
        <f>N174*Assumptions!$E$25*-1</f>
        <v>0</v>
      </c>
      <c r="P174" s="5">
        <f>Assumptions!$E$35*J174*-1</f>
        <v>-1761.7120208313574</v>
      </c>
      <c r="Q174" s="5">
        <f>J174*Assumptions!$E$36*-1</f>
        <v>-709.47739350806887</v>
      </c>
      <c r="R174" s="5">
        <f>R162+R162*Assumptions!$D$51</f>
        <v>-643.31277551785092</v>
      </c>
      <c r="S174" s="5">
        <f>S162+(S162*Assumptions!$D$51)</f>
        <v>0</v>
      </c>
      <c r="T174" s="5">
        <f t="shared" si="41"/>
        <v>0</v>
      </c>
      <c r="U174" s="22">
        <f t="shared" si="36"/>
        <v>-3114.5021898572777</v>
      </c>
      <c r="V174" s="5">
        <f>MAX(Assumptions!$E$18:$E$19)-U174</f>
        <v>5956.135201655974</v>
      </c>
      <c r="W174" s="5">
        <f t="shared" si="37"/>
        <v>-2841.6330117986968</v>
      </c>
      <c r="X174" s="5">
        <f t="shared" si="42"/>
        <v>-3114.5021898572777</v>
      </c>
      <c r="Y174" s="5">
        <f>D174*Assumptions!$D$44*-1</f>
        <v>18.253678888575191</v>
      </c>
      <c r="Z174" s="5">
        <f t="shared" si="38"/>
        <v>18.253678888574736</v>
      </c>
      <c r="AA174" s="5">
        <f t="shared" si="48"/>
        <v>55114.091841476038</v>
      </c>
      <c r="AB174" s="3">
        <f>Assumptions!$E$45</f>
        <v>6.9899151946608562E-3</v>
      </c>
      <c r="AC174" s="5">
        <f t="shared" si="49"/>
        <v>55517.588348367281</v>
      </c>
      <c r="AD174" s="4">
        <f>AC174*Assumptions!$E$43</f>
        <v>49.720191913703978</v>
      </c>
      <c r="AE174" s="2">
        <f>AD174*Assumptions!$D$44*-1</f>
        <v>-7.4580287870555964</v>
      </c>
      <c r="AF174" s="2">
        <f>AC174*Assumptions!$E$46*-1</f>
        <v>-1.8502470908104138</v>
      </c>
      <c r="AG174" s="5">
        <f t="shared" si="50"/>
        <v>55508.280072489411</v>
      </c>
      <c r="AH174" s="20">
        <f>Model_30y[[#This Row],[Mortgage Payment]]+Model_30y[[#This Row],[Total Upkeep]]+Model_30y[[#This Row],[Monthly Investment]]</f>
        <v>-4454.7873724245746</v>
      </c>
      <c r="AI174" s="5">
        <f>Model_Renter!D174*-1</f>
        <v>4608.150181084523</v>
      </c>
      <c r="AJ174" s="5">
        <f t="shared" si="43"/>
        <v>153.36280865994831</v>
      </c>
    </row>
    <row r="175" spans="1:36" x14ac:dyDescent="0.25">
      <c r="A175" s="17">
        <f t="shared" si="44"/>
        <v>173</v>
      </c>
      <c r="B175" s="17">
        <f t="shared" si="39"/>
        <v>15</v>
      </c>
      <c r="C175" s="23">
        <f>IFERROR(PPMT(Assumptions!$E$17, A175, 180, Assumptions!$D$8), 0)</f>
        <v>-2733.2015355768358</v>
      </c>
      <c r="D175" s="38">
        <f>IFERROR(IPMT(Assumptions!$E$17,A175,180,Assumptions!$D$8), 0)</f>
        <v>-108.43147622186133</v>
      </c>
      <c r="E175" s="2">
        <f t="shared" si="45"/>
        <v>-2841.6330117986972</v>
      </c>
      <c r="F175" s="2">
        <f>IF(I174&gt;1, Assumptions!$E$19, 0)*-1</f>
        <v>-2841.6330117986968</v>
      </c>
      <c r="G175" s="24">
        <f t="shared" si="40"/>
        <v>1</v>
      </c>
      <c r="H175" s="20">
        <f t="shared" si="46"/>
        <v>320490.84743878472</v>
      </c>
      <c r="I175" s="2">
        <f>MAX(Assumptions!$D$8-SUM(Model_15y!H175), 0)</f>
        <v>19509.152561215276</v>
      </c>
      <c r="J175" s="2">
        <f>J174*(1+(Assumptions!$E$51))</f>
        <v>858752.45502421039</v>
      </c>
      <c r="K175" s="22">
        <f t="shared" si="35"/>
        <v>839243.30246299505</v>
      </c>
      <c r="L175" s="5">
        <f t="shared" si="47"/>
        <v>405490.84743878484</v>
      </c>
      <c r="M175" s="63">
        <f>L175/Assumptions!$D$6</f>
        <v>0.95409611162067021</v>
      </c>
      <c r="N175" s="24">
        <f t="shared" si="51"/>
        <v>0</v>
      </c>
      <c r="O175" s="22">
        <f>N175*Assumptions!$E$25*-1</f>
        <v>0</v>
      </c>
      <c r="P175" s="5">
        <f>Assumptions!$E$35*J175*-1</f>
        <v>-1768.8894536753655</v>
      </c>
      <c r="Q175" s="5">
        <f>J175*Assumptions!$E$36*-1</f>
        <v>-712.36789223092092</v>
      </c>
      <c r="R175" s="5">
        <f>R163+R163*Assumptions!$D$51</f>
        <v>-643.31277551785092</v>
      </c>
      <c r="S175" s="5">
        <f>S163+(S163*Assumptions!$D$51)</f>
        <v>0</v>
      </c>
      <c r="T175" s="5">
        <f t="shared" si="41"/>
        <v>0</v>
      </c>
      <c r="U175" s="22">
        <f t="shared" si="36"/>
        <v>-3124.5701214241371</v>
      </c>
      <c r="V175" s="5">
        <f>MAX(Assumptions!$E$18:$E$19)-U175</f>
        <v>5966.2031332228344</v>
      </c>
      <c r="W175" s="5">
        <f t="shared" si="37"/>
        <v>-2841.6330117986968</v>
      </c>
      <c r="X175" s="5">
        <f t="shared" si="42"/>
        <v>-3124.5701214241371</v>
      </c>
      <c r="Y175" s="5">
        <f>D175*Assumptions!$D$44*-1</f>
        <v>16.264721433279199</v>
      </c>
      <c r="Z175" s="5">
        <f t="shared" si="38"/>
        <v>16.264721433279654</v>
      </c>
      <c r="AA175" s="5">
        <f t="shared" si="48"/>
        <v>55508.280072489411</v>
      </c>
      <c r="AB175" s="3">
        <f>Assumptions!$E$45</f>
        <v>6.9899151946608562E-3</v>
      </c>
      <c r="AC175" s="5">
        <f t="shared" si="49"/>
        <v>55912.542964230881</v>
      </c>
      <c r="AD175" s="4">
        <f>AC175*Assumptions!$E$43</f>
        <v>50.073903591068635</v>
      </c>
      <c r="AE175" s="2">
        <f>AD175*Assumptions!$D$44*-1</f>
        <v>-7.5110855386602946</v>
      </c>
      <c r="AF175" s="2">
        <f>AC175*Assumptions!$E$46*-1</f>
        <v>-1.8634098316776557</v>
      </c>
      <c r="AG175" s="5">
        <f t="shared" si="50"/>
        <v>55903.168468860546</v>
      </c>
      <c r="AH175" s="20">
        <f>Model_30y[[#This Row],[Mortgage Payment]]+Model_30y[[#This Row],[Total Upkeep]]+Model_30y[[#This Row],[Monthly Investment]]</f>
        <v>-4465.4980248026977</v>
      </c>
      <c r="AI175" s="5">
        <f>Model_Renter!D175*-1</f>
        <v>4608.150181084523</v>
      </c>
      <c r="AJ175" s="5">
        <f t="shared" si="43"/>
        <v>142.65215628182523</v>
      </c>
    </row>
    <row r="176" spans="1:36" x14ac:dyDescent="0.25">
      <c r="A176" s="17">
        <f t="shared" si="44"/>
        <v>174</v>
      </c>
      <c r="B176" s="17">
        <f t="shared" si="39"/>
        <v>15</v>
      </c>
      <c r="C176" s="23">
        <f>IFERROR(PPMT(Assumptions!$E$17, A176, 180, Assumptions!$D$8), 0)</f>
        <v>-2746.5258930627729</v>
      </c>
      <c r="D176" s="38">
        <f>IFERROR(IPMT(Assumptions!$E$17,A176,180,Assumptions!$D$8), 0)</f>
        <v>-95.107118735924246</v>
      </c>
      <c r="E176" s="2">
        <f t="shared" si="45"/>
        <v>-2841.6330117986972</v>
      </c>
      <c r="F176" s="2">
        <f>IF(I175&gt;1, Assumptions!$E$19, 0)*-1</f>
        <v>-2841.6330117986968</v>
      </c>
      <c r="G176" s="24">
        <f t="shared" si="40"/>
        <v>1</v>
      </c>
      <c r="H176" s="20">
        <f t="shared" si="46"/>
        <v>323237.37333184748</v>
      </c>
      <c r="I176" s="2">
        <f>MAX(Assumptions!$D$8-SUM(Model_15y!H176), 0)</f>
        <v>16762.626668152516</v>
      </c>
      <c r="J176" s="2">
        <f>J175*(1+(Assumptions!$E$51))</f>
        <v>862251.11882549094</v>
      </c>
      <c r="K176" s="22">
        <f t="shared" si="35"/>
        <v>845488.49215733842</v>
      </c>
      <c r="L176" s="5">
        <f t="shared" si="47"/>
        <v>408237.3733318476</v>
      </c>
      <c r="M176" s="63">
        <f>L176/Assumptions!$D$6</f>
        <v>0.96055852548670029</v>
      </c>
      <c r="N176" s="24">
        <f t="shared" si="51"/>
        <v>0</v>
      </c>
      <c r="O176" s="22">
        <f>N176*Assumptions!$E$25*-1</f>
        <v>0</v>
      </c>
      <c r="P176" s="5">
        <f>Assumptions!$E$35*J176*-1</f>
        <v>-1776.0961282692292</v>
      </c>
      <c r="Q176" s="5">
        <f>J176*Assumptions!$E$36*-1</f>
        <v>-715.27016720336644</v>
      </c>
      <c r="R176" s="5">
        <f>R164+R164*Assumptions!$D$51</f>
        <v>-643.31277551785092</v>
      </c>
      <c r="S176" s="5">
        <f>S164+(S164*Assumptions!$D$51)</f>
        <v>0</v>
      </c>
      <c r="T176" s="5">
        <f t="shared" si="41"/>
        <v>0</v>
      </c>
      <c r="U176" s="22">
        <f t="shared" si="36"/>
        <v>-3134.6790709904462</v>
      </c>
      <c r="V176" s="5">
        <f>MAX(Assumptions!$E$18:$E$19)-U176</f>
        <v>5976.3120827891435</v>
      </c>
      <c r="W176" s="5">
        <f t="shared" si="37"/>
        <v>-2841.6330117986968</v>
      </c>
      <c r="X176" s="5">
        <f t="shared" si="42"/>
        <v>-3134.6790709904462</v>
      </c>
      <c r="Y176" s="5">
        <f>D176*Assumptions!$D$44*-1</f>
        <v>14.266067810388636</v>
      </c>
      <c r="Z176" s="5">
        <f t="shared" si="38"/>
        <v>14.266067810389091</v>
      </c>
      <c r="AA176" s="5">
        <f t="shared" si="48"/>
        <v>55903.168468860546</v>
      </c>
      <c r="AB176" s="3">
        <f>Assumptions!$E$45</f>
        <v>6.9899151946608562E-3</v>
      </c>
      <c r="AC176" s="5">
        <f t="shared" si="49"/>
        <v>56308.192943381102</v>
      </c>
      <c r="AD176" s="4">
        <f>AC176*Assumptions!$E$43</f>
        <v>50.428238018756005</v>
      </c>
      <c r="AE176" s="2">
        <f>AD176*Assumptions!$D$44*-1</f>
        <v>-7.5642357028134004</v>
      </c>
      <c r="AF176" s="2">
        <f>AC176*Assumptions!$E$46*-1</f>
        <v>-1.8765957470727619</v>
      </c>
      <c r="AG176" s="5">
        <f t="shared" si="50"/>
        <v>56298.752111931215</v>
      </c>
      <c r="AH176" s="20">
        <f>Model_30y[[#This Row],[Mortgage Payment]]+Model_30y[[#This Row],[Total Upkeep]]+Model_30y[[#This Row],[Monthly Investment]]</f>
        <v>-4476.2532944168142</v>
      </c>
      <c r="AI176" s="5">
        <f>Model_Renter!D176*-1</f>
        <v>4608.150181084523</v>
      </c>
      <c r="AJ176" s="5">
        <f t="shared" si="43"/>
        <v>131.89688666770871</v>
      </c>
    </row>
    <row r="177" spans="1:36" x14ac:dyDescent="0.25">
      <c r="A177" s="17">
        <f t="shared" si="44"/>
        <v>175</v>
      </c>
      <c r="B177" s="17">
        <f t="shared" si="39"/>
        <v>15</v>
      </c>
      <c r="C177" s="23">
        <f>IFERROR(PPMT(Assumptions!$E$17, A177, 180, Assumptions!$D$8), 0)</f>
        <v>-2759.9152067914538</v>
      </c>
      <c r="D177" s="38">
        <f>IFERROR(IPMT(Assumptions!$E$17,A177,180,Assumptions!$D$8), 0)</f>
        <v>-81.717805007243228</v>
      </c>
      <c r="E177" s="2">
        <f t="shared" si="45"/>
        <v>-2841.6330117986972</v>
      </c>
      <c r="F177" s="2">
        <f>IF(I176&gt;1, Assumptions!$E$19, 0)*-1</f>
        <v>-2841.6330117986968</v>
      </c>
      <c r="G177" s="24">
        <f t="shared" si="40"/>
        <v>1</v>
      </c>
      <c r="H177" s="20">
        <f t="shared" si="46"/>
        <v>325997.28853863891</v>
      </c>
      <c r="I177" s="2">
        <f>MAX(Assumptions!$D$8-SUM(Model_15y!H177), 0)</f>
        <v>14002.71146136109</v>
      </c>
      <c r="J177" s="2">
        <f>J176*(1+(Assumptions!$E$51))</f>
        <v>865764.03661617532</v>
      </c>
      <c r="K177" s="22">
        <f t="shared" si="35"/>
        <v>851761.32515481417</v>
      </c>
      <c r="L177" s="5">
        <f t="shared" si="47"/>
        <v>410997.28853863903</v>
      </c>
      <c r="M177" s="63">
        <f>L177/Assumptions!$D$6</f>
        <v>0.96705244362032716</v>
      </c>
      <c r="N177" s="24">
        <f t="shared" si="51"/>
        <v>0</v>
      </c>
      <c r="O177" s="22">
        <f>N177*Assumptions!$E$25*-1</f>
        <v>0</v>
      </c>
      <c r="P177" s="5">
        <f>Assumptions!$E$35*J177*-1</f>
        <v>-1783.3321637474567</v>
      </c>
      <c r="Q177" s="5">
        <f>J177*Assumptions!$E$36*-1</f>
        <v>-718.18426640330381</v>
      </c>
      <c r="R177" s="5">
        <f>R165+R165*Assumptions!$D$51</f>
        <v>-643.31277551785092</v>
      </c>
      <c r="S177" s="5">
        <f>S165+(S165*Assumptions!$D$51)</f>
        <v>0</v>
      </c>
      <c r="T177" s="5">
        <f t="shared" si="41"/>
        <v>0</v>
      </c>
      <c r="U177" s="22">
        <f t="shared" si="36"/>
        <v>-3144.8292056686114</v>
      </c>
      <c r="V177" s="5">
        <f>MAX(Assumptions!$E$18:$E$19)-U177</f>
        <v>5986.4622174673077</v>
      </c>
      <c r="W177" s="5">
        <f t="shared" si="37"/>
        <v>-2841.6330117986968</v>
      </c>
      <c r="X177" s="5">
        <f t="shared" si="42"/>
        <v>-3144.8292056686114</v>
      </c>
      <c r="Y177" s="5">
        <f>D177*Assumptions!$D$44*-1</f>
        <v>12.257670751086485</v>
      </c>
      <c r="Z177" s="5">
        <f t="shared" si="38"/>
        <v>12.25767075108603</v>
      </c>
      <c r="AA177" s="5">
        <f t="shared" si="48"/>
        <v>56298.752111931215</v>
      </c>
      <c r="AB177" s="3">
        <f>Assumptions!$E$45</f>
        <v>6.9899151946608562E-3</v>
      </c>
      <c r="AC177" s="5">
        <f t="shared" si="49"/>
        <v>56704.53328550994</v>
      </c>
      <c r="AD177" s="4">
        <f>AC177*Assumptions!$E$43</f>
        <v>50.783190718612765</v>
      </c>
      <c r="AE177" s="2">
        <f>AD177*Assumptions!$D$44*-1</f>
        <v>-7.6174786077919148</v>
      </c>
      <c r="AF177" s="2">
        <f>AC177*Assumptions!$E$46*-1</f>
        <v>-1.8898046703493483</v>
      </c>
      <c r="AG177" s="5">
        <f t="shared" si="50"/>
        <v>56695.026002231796</v>
      </c>
      <c r="AH177" s="20">
        <f>Model_30y[[#This Row],[Mortgage Payment]]+Model_30y[[#This Row],[Total Upkeep]]+Model_30y[[#This Row],[Monthly Investment]]</f>
        <v>-4487.0533685350547</v>
      </c>
      <c r="AI177" s="5">
        <f>Model_Renter!D177*-1</f>
        <v>4608.150181084523</v>
      </c>
      <c r="AJ177" s="5">
        <f t="shared" si="43"/>
        <v>121.09681254946827</v>
      </c>
    </row>
    <row r="178" spans="1:36" x14ac:dyDescent="0.25">
      <c r="A178" s="17">
        <f t="shared" si="44"/>
        <v>176</v>
      </c>
      <c r="B178" s="17">
        <f t="shared" si="39"/>
        <v>15</v>
      </c>
      <c r="C178" s="23">
        <f>IFERROR(PPMT(Assumptions!$E$17, A178, 180, Assumptions!$D$8), 0)</f>
        <v>-2773.369793424562</v>
      </c>
      <c r="D178" s="38">
        <f>IFERROR(IPMT(Assumptions!$E$17,A178,180,Assumptions!$D$8), 0)</f>
        <v>-68.263218374134908</v>
      </c>
      <c r="E178" s="2">
        <f t="shared" si="45"/>
        <v>-2841.6330117986968</v>
      </c>
      <c r="F178" s="2">
        <f>IF(I177&gt;1, Assumptions!$E$19, 0)*-1</f>
        <v>-2841.6330117986968</v>
      </c>
      <c r="G178" s="24">
        <f t="shared" si="40"/>
        <v>1</v>
      </c>
      <c r="H178" s="20">
        <f t="shared" si="46"/>
        <v>328770.65833206347</v>
      </c>
      <c r="I178" s="2">
        <f>MAX(Assumptions!$D$8-SUM(Model_15y!H178), 0)</f>
        <v>11229.341667936533</v>
      </c>
      <c r="J178" s="2">
        <f>J177*(1+(Assumptions!$E$51))</f>
        <v>869291.2664687807</v>
      </c>
      <c r="K178" s="22">
        <f t="shared" si="35"/>
        <v>858061.92480084416</v>
      </c>
      <c r="L178" s="5">
        <f t="shared" si="47"/>
        <v>413770.65833206358</v>
      </c>
      <c r="M178" s="63">
        <f>L178/Assumptions!$D$6</f>
        <v>0.97357801960485546</v>
      </c>
      <c r="N178" s="24">
        <f t="shared" si="51"/>
        <v>0</v>
      </c>
      <c r="O178" s="22">
        <f>N178*Assumptions!$E$25*-1</f>
        <v>0</v>
      </c>
      <c r="P178" s="5">
        <f>Assumptions!$E$35*J178*-1</f>
        <v>-1790.5976797299252</v>
      </c>
      <c r="Q178" s="5">
        <f>J178*Assumptions!$E$36*-1</f>
        <v>-721.11023800409953</v>
      </c>
      <c r="R178" s="5">
        <f>R166+R166*Assumptions!$D$51</f>
        <v>-643.31277551785092</v>
      </c>
      <c r="S178" s="5">
        <f>S166+(S166*Assumptions!$D$51)</f>
        <v>0</v>
      </c>
      <c r="T178" s="5">
        <f t="shared" si="41"/>
        <v>0</v>
      </c>
      <c r="U178" s="22">
        <f t="shared" si="36"/>
        <v>-3155.0206932518759</v>
      </c>
      <c r="V178" s="5">
        <f>MAX(Assumptions!$E$18:$E$19)-U178</f>
        <v>5996.6537050505722</v>
      </c>
      <c r="W178" s="5">
        <f t="shared" si="37"/>
        <v>-2841.6330117986968</v>
      </c>
      <c r="X178" s="5">
        <f t="shared" si="42"/>
        <v>-3155.0206932518759</v>
      </c>
      <c r="Y178" s="5">
        <f>D178*Assumptions!$D$44*-1</f>
        <v>10.239482756120236</v>
      </c>
      <c r="Z178" s="5">
        <f t="shared" si="38"/>
        <v>10.239482756119781</v>
      </c>
      <c r="AA178" s="5">
        <f t="shared" si="48"/>
        <v>56695.026002231796</v>
      </c>
      <c r="AB178" s="3">
        <f>Assumptions!$E$45</f>
        <v>6.9899151946608562E-3</v>
      </c>
      <c r="AC178" s="5">
        <f t="shared" si="49"/>
        <v>57101.558908702609</v>
      </c>
      <c r="AD178" s="4">
        <f>AC178*Assumptions!$E$43</f>
        <v>51.138757139400525</v>
      </c>
      <c r="AE178" s="2">
        <f>AD178*Assumptions!$D$44*-1</f>
        <v>-7.6708135709100782</v>
      </c>
      <c r="AF178" s="2">
        <f>AC178*Assumptions!$E$46*-1</f>
        <v>-1.9030364321413036</v>
      </c>
      <c r="AG178" s="5">
        <f t="shared" si="50"/>
        <v>57091.98505869956</v>
      </c>
      <c r="AH178" s="20">
        <f>Model_30y[[#This Row],[Mortgage Payment]]+Model_30y[[#This Row],[Total Upkeep]]+Model_30y[[#This Row],[Monthly Investment]]</f>
        <v>-4497.8984352192583</v>
      </c>
      <c r="AI178" s="5">
        <f>Model_Renter!D178*-1</f>
        <v>4608.150181084523</v>
      </c>
      <c r="AJ178" s="5">
        <f t="shared" si="43"/>
        <v>110.25174586526464</v>
      </c>
    </row>
    <row r="179" spans="1:36" x14ac:dyDescent="0.25">
      <c r="A179" s="17">
        <f t="shared" si="44"/>
        <v>177</v>
      </c>
      <c r="B179" s="17">
        <f t="shared" si="39"/>
        <v>15</v>
      </c>
      <c r="C179" s="23">
        <f>IFERROR(PPMT(Assumptions!$E$17, A179, 180, Assumptions!$D$8), 0)</f>
        <v>-2786.8899711675067</v>
      </c>
      <c r="D179" s="38">
        <f>IFERROR(IPMT(Assumptions!$E$17,A179,180,Assumptions!$D$8), 0)</f>
        <v>-54.743040631190169</v>
      </c>
      <c r="E179" s="2">
        <f t="shared" si="45"/>
        <v>-2841.6330117986968</v>
      </c>
      <c r="F179" s="2">
        <f>IF(I178&gt;1, Assumptions!$E$19, 0)*-1</f>
        <v>-2841.6330117986968</v>
      </c>
      <c r="G179" s="24">
        <f t="shared" si="40"/>
        <v>1</v>
      </c>
      <c r="H179" s="20">
        <f t="shared" si="46"/>
        <v>331557.54830323096</v>
      </c>
      <c r="I179" s="2">
        <f>MAX(Assumptions!$D$8-SUM(Model_15y!H179), 0)</f>
        <v>8442.4516967690433</v>
      </c>
      <c r="J179" s="2">
        <f>J178*(1+(Assumptions!$E$51))</f>
        <v>872832.86669241893</v>
      </c>
      <c r="K179" s="22">
        <f t="shared" si="35"/>
        <v>864390.41499564983</v>
      </c>
      <c r="L179" s="5">
        <f t="shared" si="47"/>
        <v>416557.54830323107</v>
      </c>
      <c r="M179" s="63">
        <f>L179/Assumptions!$D$6</f>
        <v>0.98013540777230845</v>
      </c>
      <c r="N179" s="24">
        <f t="shared" si="51"/>
        <v>0</v>
      </c>
      <c r="O179" s="22">
        <f>N179*Assumptions!$E$25*-1</f>
        <v>0</v>
      </c>
      <c r="P179" s="5">
        <f>Assumptions!$E$35*J179*-1</f>
        <v>-1797.8927963238584</v>
      </c>
      <c r="Q179" s="5">
        <f>J179*Assumptions!$E$36*-1</f>
        <v>-724.0481303753844</v>
      </c>
      <c r="R179" s="5">
        <f>R167+R167*Assumptions!$D$51</f>
        <v>-643.31277551785092</v>
      </c>
      <c r="S179" s="5">
        <f>S167+(S167*Assumptions!$D$51)</f>
        <v>0</v>
      </c>
      <c r="T179" s="5">
        <f t="shared" si="41"/>
        <v>0</v>
      </c>
      <c r="U179" s="22">
        <f t="shared" si="36"/>
        <v>-3165.2537022170936</v>
      </c>
      <c r="V179" s="5">
        <f>MAX(Assumptions!$E$18:$E$19)-U179</f>
        <v>6006.8867140157909</v>
      </c>
      <c r="W179" s="5">
        <f t="shared" si="37"/>
        <v>-2841.6330117986968</v>
      </c>
      <c r="X179" s="5">
        <f t="shared" si="42"/>
        <v>-3165.2537022170936</v>
      </c>
      <c r="Y179" s="5">
        <f>D179*Assumptions!$D$44*-1</f>
        <v>8.2114560946785247</v>
      </c>
      <c r="Z179" s="5">
        <f t="shared" si="38"/>
        <v>8.2114560946789794</v>
      </c>
      <c r="AA179" s="5">
        <f t="shared" si="48"/>
        <v>57091.98505869956</v>
      </c>
      <c r="AB179" s="3">
        <f>Assumptions!$E$45</f>
        <v>6.9899151946608562E-3</v>
      </c>
      <c r="AC179" s="5">
        <f t="shared" si="49"/>
        <v>57499.26464864939</v>
      </c>
      <c r="AD179" s="4">
        <f>AC179*Assumptions!$E$43</f>
        <v>51.494932656090043</v>
      </c>
      <c r="AE179" s="2">
        <f>AD179*Assumptions!$D$44*-1</f>
        <v>-7.7242398984135061</v>
      </c>
      <c r="AF179" s="2">
        <f>AC179*Assumptions!$E$46*-1</f>
        <v>-1.9162908603365221</v>
      </c>
      <c r="AG179" s="5">
        <f t="shared" si="50"/>
        <v>57489.624117890642</v>
      </c>
      <c r="AH179" s="20">
        <f>Model_30y[[#This Row],[Mortgage Payment]]+Model_30y[[#This Row],[Total Upkeep]]+Model_30y[[#This Row],[Monthly Investment]]</f>
        <v>-4508.788683328381</v>
      </c>
      <c r="AI179" s="5">
        <f>Model_Renter!D179*-1</f>
        <v>4608.150181084523</v>
      </c>
      <c r="AJ179" s="5">
        <f t="shared" si="43"/>
        <v>99.361497756141944</v>
      </c>
    </row>
    <row r="180" spans="1:36" x14ac:dyDescent="0.25">
      <c r="A180" s="17">
        <f t="shared" si="44"/>
        <v>178</v>
      </c>
      <c r="B180" s="17">
        <f t="shared" si="39"/>
        <v>15</v>
      </c>
      <c r="C180" s="23">
        <f>IFERROR(PPMT(Assumptions!$E$17, A180, 180, Assumptions!$D$8), 0)</f>
        <v>-2800.4760597769482</v>
      </c>
      <c r="D180" s="38">
        <f>IFERROR(IPMT(Assumptions!$E$17,A180,180,Assumptions!$D$8), 0)</f>
        <v>-41.156952021748573</v>
      </c>
      <c r="E180" s="2">
        <f t="shared" si="45"/>
        <v>-2841.6330117986968</v>
      </c>
      <c r="F180" s="2">
        <f>IF(I179&gt;1, Assumptions!$E$19, 0)*-1</f>
        <v>-2841.6330117986968</v>
      </c>
      <c r="G180" s="24">
        <f t="shared" si="40"/>
        <v>1</v>
      </c>
      <c r="H180" s="20">
        <f t="shared" si="46"/>
        <v>334358.02436300792</v>
      </c>
      <c r="I180" s="2">
        <f>MAX(Assumptions!$D$8-SUM(Model_15y!H180), 0)</f>
        <v>5641.9756369920797</v>
      </c>
      <c r="J180" s="2">
        <f>J179*(1+(Assumptions!$E$51))</f>
        <v>876388.8958337605</v>
      </c>
      <c r="K180" s="22">
        <f t="shared" si="35"/>
        <v>870746.92019676836</v>
      </c>
      <c r="L180" s="5">
        <f t="shared" si="47"/>
        <v>419358.02436300804</v>
      </c>
      <c r="M180" s="63">
        <f>L180/Assumptions!$D$6</f>
        <v>0.98672476320707769</v>
      </c>
      <c r="N180" s="24">
        <f t="shared" si="51"/>
        <v>0</v>
      </c>
      <c r="O180" s="22">
        <f>N180*Assumptions!$E$25*-1</f>
        <v>0</v>
      </c>
      <c r="P180" s="5">
        <f>Assumptions!$E$35*J180*-1</f>
        <v>-1805.2176341258116</v>
      </c>
      <c r="Q180" s="5">
        <f>J180*Assumptions!$E$36*-1</f>
        <v>-726.99799208385286</v>
      </c>
      <c r="R180" s="5">
        <f>R168+R168*Assumptions!$D$51</f>
        <v>-643.31277551785092</v>
      </c>
      <c r="S180" s="5">
        <f>S168+(S168*Assumptions!$D$51)</f>
        <v>0</v>
      </c>
      <c r="T180" s="5">
        <f t="shared" si="41"/>
        <v>0</v>
      </c>
      <c r="U180" s="22">
        <f t="shared" si="36"/>
        <v>-3175.5284017275153</v>
      </c>
      <c r="V180" s="5">
        <f>MAX(Assumptions!$E$18:$E$19)-U180</f>
        <v>6017.1614135262116</v>
      </c>
      <c r="W180" s="5">
        <f t="shared" si="37"/>
        <v>-2841.6330117986968</v>
      </c>
      <c r="X180" s="5">
        <f t="shared" si="42"/>
        <v>-3175.5284017275153</v>
      </c>
      <c r="Y180" s="5">
        <f>D180*Assumptions!$D$44*-1</f>
        <v>6.1735428032622854</v>
      </c>
      <c r="Z180" s="5">
        <f t="shared" si="38"/>
        <v>6.1735428032618307</v>
      </c>
      <c r="AA180" s="5">
        <f t="shared" si="48"/>
        <v>57489.624117890642</v>
      </c>
      <c r="AB180" s="3">
        <f>Assumptions!$E$45</f>
        <v>6.9899151946608562E-3</v>
      </c>
      <c r="AC180" s="5">
        <f t="shared" si="49"/>
        <v>57897.645257850891</v>
      </c>
      <c r="AD180" s="4">
        <f>AC180*Assumptions!$E$43</f>
        <v>51.85171256914942</v>
      </c>
      <c r="AE180" s="2">
        <f>AD180*Assumptions!$D$44*-1</f>
        <v>-7.7777568853724128</v>
      </c>
      <c r="AF180" s="2">
        <f>AC180*Assumptions!$E$46*-1</f>
        <v>-1.9295677800504172</v>
      </c>
      <c r="AG180" s="5">
        <f t="shared" si="50"/>
        <v>57887.937933185465</v>
      </c>
      <c r="AH180" s="20">
        <f>Model_30y[[#This Row],[Mortgage Payment]]+Model_30y[[#This Row],[Total Upkeep]]+Model_30y[[#This Row],[Monthly Investment]]</f>
        <v>-4519.7243025219141</v>
      </c>
      <c r="AI180" s="5">
        <f>Model_Renter!D180*-1</f>
        <v>4608.150181084523</v>
      </c>
      <c r="AJ180" s="5">
        <f t="shared" si="43"/>
        <v>88.425878562608887</v>
      </c>
    </row>
    <row r="181" spans="1:36" x14ac:dyDescent="0.25">
      <c r="A181" s="17">
        <f t="shared" si="44"/>
        <v>179</v>
      </c>
      <c r="B181" s="17">
        <f t="shared" si="39"/>
        <v>15</v>
      </c>
      <c r="C181" s="23">
        <f>IFERROR(PPMT(Assumptions!$E$17, A181, 180, Assumptions!$D$8), 0)</f>
        <v>-2814.1283805683606</v>
      </c>
      <c r="D181" s="38">
        <f>IFERROR(IPMT(Assumptions!$E$17,A181,180,Assumptions!$D$8), 0)</f>
        <v>-27.50463123033596</v>
      </c>
      <c r="E181" s="2">
        <f t="shared" si="45"/>
        <v>-2841.6330117986968</v>
      </c>
      <c r="F181" s="2">
        <f>IF(I180&gt;1, Assumptions!$E$19, 0)*-1</f>
        <v>-2841.6330117986968</v>
      </c>
      <c r="G181" s="24">
        <f t="shared" si="40"/>
        <v>1</v>
      </c>
      <c r="H181" s="20">
        <f t="shared" si="46"/>
        <v>337172.15274357627</v>
      </c>
      <c r="I181" s="2">
        <f>MAX(Assumptions!$D$8-SUM(Model_15y!H181), 0)</f>
        <v>2827.8472564237309</v>
      </c>
      <c r="J181" s="2">
        <f>J180*(1+(Assumptions!$E$51))</f>
        <v>879959.41267800215</v>
      </c>
      <c r="K181" s="22">
        <f t="shared" si="35"/>
        <v>877131.56542157847</v>
      </c>
      <c r="L181" s="5">
        <f t="shared" si="47"/>
        <v>422172.15274357639</v>
      </c>
      <c r="M181" s="63">
        <f>L181/Assumptions!$D$6</f>
        <v>0.99334624174959152</v>
      </c>
      <c r="N181" s="24">
        <f t="shared" si="51"/>
        <v>0</v>
      </c>
      <c r="O181" s="22">
        <f>N181*Assumptions!$E$25*-1</f>
        <v>0</v>
      </c>
      <c r="P181" s="5">
        <f>Assumptions!$E$35*J181*-1</f>
        <v>-1812.572314223665</v>
      </c>
      <c r="Q181" s="5">
        <f>J181*Assumptions!$E$36*-1</f>
        <v>-729.95987189406628</v>
      </c>
      <c r="R181" s="5">
        <f>R169+R169*Assumptions!$D$51</f>
        <v>-643.31277551785092</v>
      </c>
      <c r="S181" s="5">
        <f>S169+(S169*Assumptions!$D$51)</f>
        <v>0</v>
      </c>
      <c r="T181" s="5">
        <f t="shared" si="41"/>
        <v>0</v>
      </c>
      <c r="U181" s="22">
        <f t="shared" si="36"/>
        <v>-3185.844961635582</v>
      </c>
      <c r="V181" s="5">
        <f>MAX(Assumptions!$E$18:$E$19)-U181</f>
        <v>6027.4779734342792</v>
      </c>
      <c r="W181" s="5">
        <f t="shared" si="37"/>
        <v>-2841.6330117986968</v>
      </c>
      <c r="X181" s="5">
        <f t="shared" si="42"/>
        <v>-3185.844961635582</v>
      </c>
      <c r="Y181" s="5">
        <f>D181*Assumptions!$D$44*-1</f>
        <v>4.1256946845503935</v>
      </c>
      <c r="Z181" s="5">
        <f t="shared" si="38"/>
        <v>4.1256946845508482</v>
      </c>
      <c r="AA181" s="5">
        <f t="shared" si="48"/>
        <v>57887.937933185465</v>
      </c>
      <c r="AB181" s="3">
        <f>Assumptions!$E$45</f>
        <v>6.9899151946608562E-3</v>
      </c>
      <c r="AC181" s="5">
        <f t="shared" si="49"/>
        <v>58296.695404816775</v>
      </c>
      <c r="AD181" s="4">
        <f>AC181*Assumptions!$E$43</f>
        <v>52.209092103826549</v>
      </c>
      <c r="AE181" s="2">
        <f>AD181*Assumptions!$D$44*-1</f>
        <v>-7.8313638155739822</v>
      </c>
      <c r="AF181" s="2">
        <f>AC181*Assumptions!$E$46*-1</f>
        <v>-1.9428670135992177</v>
      </c>
      <c r="AG181" s="5">
        <f t="shared" si="50"/>
        <v>58286.921173987605</v>
      </c>
      <c r="AH181" s="20">
        <f>Model_30y[[#This Row],[Mortgage Payment]]+Model_30y[[#This Row],[Total Upkeep]]+Model_30y[[#This Row],[Monthly Investment]]</f>
        <v>-4530.7054832633166</v>
      </c>
      <c r="AI181" s="5">
        <f>Model_Renter!D181*-1</f>
        <v>4608.150181084523</v>
      </c>
      <c r="AJ181" s="5">
        <f t="shared" si="43"/>
        <v>77.444697821206319</v>
      </c>
    </row>
    <row r="182" spans="1:36" x14ac:dyDescent="0.25">
      <c r="A182" s="17">
        <f t="shared" si="44"/>
        <v>180</v>
      </c>
      <c r="B182" s="17">
        <f t="shared" si="39"/>
        <v>15</v>
      </c>
      <c r="C182" s="23">
        <f>IFERROR(PPMT(Assumptions!$E$17, A182, 180, Assumptions!$D$8), 0)</f>
        <v>-2827.8472564236313</v>
      </c>
      <c r="D182" s="38">
        <f>IFERROR(IPMT(Assumptions!$E$17,A182,180,Assumptions!$D$8), 0)</f>
        <v>-13.7857553750652</v>
      </c>
      <c r="E182" s="2">
        <f t="shared" si="45"/>
        <v>-2841.6330117986963</v>
      </c>
      <c r="F182" s="2">
        <f>IF(I181&gt;1, Assumptions!$E$19, 0)*-1</f>
        <v>-2841.6330117986968</v>
      </c>
      <c r="G182" s="24">
        <f t="shared" si="40"/>
        <v>1</v>
      </c>
      <c r="H182" s="20">
        <f t="shared" si="46"/>
        <v>339999.99999999988</v>
      </c>
      <c r="I182" s="2">
        <f>MAX(Assumptions!$D$8-SUM(Model_15y!H182), 0)</f>
        <v>1.1641532182693481E-10</v>
      </c>
      <c r="J182" s="2">
        <f>J181*(1+(Assumptions!$E$51))</f>
        <v>883544.47624983883</v>
      </c>
      <c r="K182" s="22">
        <f t="shared" si="35"/>
        <v>883544.47624983871</v>
      </c>
      <c r="L182" s="5">
        <f t="shared" si="47"/>
        <v>425000</v>
      </c>
      <c r="M182" s="63">
        <f>L182/Assumptions!$D$6</f>
        <v>1</v>
      </c>
      <c r="N182" s="24">
        <f t="shared" si="51"/>
        <v>0</v>
      </c>
      <c r="O182" s="22">
        <f>N182*Assumptions!$E$25*-1</f>
        <v>0</v>
      </c>
      <c r="P182" s="5">
        <f>Assumptions!$E$35*J182*-1</f>
        <v>-1819.9569581986261</v>
      </c>
      <c r="Q182" s="5">
        <f>J182*Assumptions!$E$36*-1</f>
        <v>-732.93381876925878</v>
      </c>
      <c r="R182" s="5">
        <f>R170+R170*Assumptions!$D$51</f>
        <v>-643.31277551785092</v>
      </c>
      <c r="S182" s="5">
        <f>S170+(S170*Assumptions!$D$51)</f>
        <v>0</v>
      </c>
      <c r="T182" s="5">
        <f t="shared" si="41"/>
        <v>0</v>
      </c>
      <c r="U182" s="22">
        <f t="shared" si="36"/>
        <v>-3196.2035524857356</v>
      </c>
      <c r="V182" s="5">
        <f>MAX(Assumptions!$E$18:$E$19)-U182</f>
        <v>6037.8365642844328</v>
      </c>
      <c r="W182" s="5">
        <f t="shared" si="37"/>
        <v>-2841.6330117986968</v>
      </c>
      <c r="X182" s="5">
        <f t="shared" si="42"/>
        <v>-3196.2035524857356</v>
      </c>
      <c r="Y182" s="5">
        <f>D182*Assumptions!$D$44*-1</f>
        <v>2.0678633062597798</v>
      </c>
      <c r="Z182" s="5">
        <f t="shared" si="38"/>
        <v>2.0678633062602345</v>
      </c>
      <c r="AA182" s="5">
        <f t="shared" si="48"/>
        <v>58286.921173987605</v>
      </c>
      <c r="AB182" s="3">
        <f>Assumptions!$E$45</f>
        <v>6.9899151946608562E-3</v>
      </c>
      <c r="AC182" s="5">
        <f t="shared" si="49"/>
        <v>58696.40967325792</v>
      </c>
      <c r="AD182" s="4">
        <f>AC182*Assumptions!$E$43</f>
        <v>52.567066409425578</v>
      </c>
      <c r="AE182" s="2">
        <f>AD182*Assumptions!$D$44*-1</f>
        <v>-7.8850599614138366</v>
      </c>
      <c r="AF182" s="2">
        <f>AC182*Assumptions!$E$46*-1</f>
        <v>-1.9561883804730436</v>
      </c>
      <c r="AG182" s="5">
        <f t="shared" si="50"/>
        <v>58686.568424916033</v>
      </c>
      <c r="AH182" s="20">
        <f>Model_30y[[#This Row],[Mortgage Payment]]+Model_30y[[#This Row],[Total Upkeep]]+Model_30y[[#This Row],[Monthly Investment]]</f>
        <v>-4541.7324168234727</v>
      </c>
      <c r="AI182" s="5">
        <f>Model_Renter!D182*-1</f>
        <v>4608.150181084523</v>
      </c>
      <c r="AJ182" s="5">
        <f t="shared" si="43"/>
        <v>66.417764261050252</v>
      </c>
    </row>
    <row r="183" spans="1:36" x14ac:dyDescent="0.25">
      <c r="A183" s="17">
        <f t="shared" si="44"/>
        <v>181</v>
      </c>
      <c r="B183" s="17">
        <f t="shared" si="39"/>
        <v>16</v>
      </c>
      <c r="C183" s="23">
        <f>IFERROR(PPMT(Assumptions!$E$17, A183, 180, Assumptions!$D$8), 0)</f>
        <v>0</v>
      </c>
      <c r="D183" s="38">
        <f>IFERROR(IPMT(Assumptions!$E$17,A183,180,Assumptions!$D$8), 0)</f>
        <v>0</v>
      </c>
      <c r="E183" s="2">
        <f t="shared" si="45"/>
        <v>0</v>
      </c>
      <c r="F183" s="2">
        <f>IF(I182&gt;1, Assumptions!$E$19, 0)*-1</f>
        <v>0</v>
      </c>
      <c r="G183" s="24">
        <f t="shared" si="40"/>
        <v>1</v>
      </c>
      <c r="H183" s="20">
        <f t="shared" si="46"/>
        <v>339999.99999999988</v>
      </c>
      <c r="I183" s="2">
        <f>MAX(Assumptions!$D$8-SUM(Model_15y!H183), 0)</f>
        <v>1.1641532182693481E-10</v>
      </c>
      <c r="J183" s="2">
        <f>J182*(1+(Assumptions!$E$51))</f>
        <v>887144.1458144394</v>
      </c>
      <c r="K183" s="22">
        <f t="shared" si="35"/>
        <v>887144.14581443928</v>
      </c>
      <c r="L183" s="5">
        <f t="shared" si="47"/>
        <v>425000</v>
      </c>
      <c r="M183" s="63">
        <f>L183/Assumptions!$D$6</f>
        <v>1</v>
      </c>
      <c r="N183" s="24">
        <f t="shared" si="51"/>
        <v>0</v>
      </c>
      <c r="O183" s="22">
        <f>N183*Assumptions!$E$25*-1</f>
        <v>0</v>
      </c>
      <c r="P183" s="5">
        <f>Assumptions!$E$35*J183*-1</f>
        <v>-1827.3716881272394</v>
      </c>
      <c r="Q183" s="5">
        <f>J183*Assumptions!$E$36*-1</f>
        <v>-735.91988187214679</v>
      </c>
      <c r="R183" s="5">
        <f>R171+R171*Assumptions!$D$51</f>
        <v>-675.47841429374353</v>
      </c>
      <c r="S183" s="5">
        <f>S171+(S171*Assumptions!$D$51)</f>
        <v>0</v>
      </c>
      <c r="T183" s="5">
        <f t="shared" si="41"/>
        <v>0</v>
      </c>
      <c r="U183" s="22">
        <f t="shared" si="36"/>
        <v>-3238.7699842931297</v>
      </c>
      <c r="V183" s="5">
        <f>MAX(Assumptions!$E$18:$E$19)-U183</f>
        <v>6080.4029960918269</v>
      </c>
      <c r="W183" s="5">
        <f t="shared" si="37"/>
        <v>0</v>
      </c>
      <c r="X183" s="5">
        <f>U183</f>
        <v>-3238.7699842931297</v>
      </c>
      <c r="Y183" s="5">
        <f>D183*Assumptions!$D$44*-1</f>
        <v>0</v>
      </c>
      <c r="Z183" s="5">
        <f t="shared" si="38"/>
        <v>2841.6330117986972</v>
      </c>
      <c r="AA183" s="5">
        <f t="shared" si="48"/>
        <v>58686.568424916033</v>
      </c>
      <c r="AB183" s="3">
        <f>Assumptions!$E$45</f>
        <v>6.9899151946608562E-3</v>
      </c>
      <c r="AC183" s="5">
        <f t="shared" si="49"/>
        <v>61938.415573070553</v>
      </c>
      <c r="AD183" s="4">
        <f>AC183*Assumptions!$E$43</f>
        <v>55.470527462390876</v>
      </c>
      <c r="AE183" s="2">
        <f>AD183*Assumptions!$D$44*-1</f>
        <v>-8.3205791193586318</v>
      </c>
      <c r="AF183" s="2">
        <f>AC183*Assumptions!$E$46*-1</f>
        <v>-2.0642354366037683</v>
      </c>
      <c r="AG183" s="5">
        <f t="shared" si="50"/>
        <v>61928.030758514593</v>
      </c>
      <c r="AH183" s="20">
        <f>Model_30y[[#This Row],[Mortgage Payment]]+Model_30y[[#This Row],[Total Upkeep]]+Model_30y[[#This Row],[Monthly Investment]]</f>
        <v>-4584.9709340600457</v>
      </c>
      <c r="AI183" s="5">
        <f>Model_Renter!D183*-1</f>
        <v>4780.4949978570849</v>
      </c>
      <c r="AJ183" s="5">
        <f t="shared" si="43"/>
        <v>195.52406379703916</v>
      </c>
    </row>
    <row r="184" spans="1:36" x14ac:dyDescent="0.25">
      <c r="A184" s="17">
        <f t="shared" si="44"/>
        <v>182</v>
      </c>
      <c r="B184" s="17">
        <f t="shared" si="39"/>
        <v>16</v>
      </c>
      <c r="C184" s="23">
        <f>IFERROR(PPMT(Assumptions!$E$17, A184, 180, Assumptions!$D$8), 0)</f>
        <v>0</v>
      </c>
      <c r="D184" s="38">
        <f>IFERROR(IPMT(Assumptions!$E$17,A184,180,Assumptions!$D$8), 0)</f>
        <v>0</v>
      </c>
      <c r="E184" s="2">
        <f t="shared" si="45"/>
        <v>0</v>
      </c>
      <c r="F184" s="2">
        <f>IF(I183&gt;1, Assumptions!$E$19, 0)*-1</f>
        <v>0</v>
      </c>
      <c r="G184" s="24">
        <f t="shared" si="40"/>
        <v>1</v>
      </c>
      <c r="H184" s="20">
        <f t="shared" si="46"/>
        <v>339999.99999999988</v>
      </c>
      <c r="I184" s="2">
        <f>MAX(Assumptions!$D$8-SUM(Model_15y!H184), 0)</f>
        <v>1.1641532182693481E-10</v>
      </c>
      <c r="J184" s="2">
        <f>J183*(1+(Assumptions!$E$51))</f>
        <v>890758.48087842646</v>
      </c>
      <c r="K184" s="22">
        <f t="shared" si="35"/>
        <v>890758.48087842634</v>
      </c>
      <c r="L184" s="5">
        <f t="shared" si="47"/>
        <v>425000</v>
      </c>
      <c r="M184" s="63">
        <f>L184/Assumptions!$D$6</f>
        <v>1</v>
      </c>
      <c r="N184" s="24">
        <f t="shared" si="51"/>
        <v>0</v>
      </c>
      <c r="O184" s="22">
        <f>N184*Assumptions!$E$25*-1</f>
        <v>0</v>
      </c>
      <c r="P184" s="5">
        <f>Assumptions!$E$35*J184*-1</f>
        <v>-1834.8166265834043</v>
      </c>
      <c r="Q184" s="5">
        <f>J184*Assumptions!$E$36*-1</f>
        <v>-738.91811056574181</v>
      </c>
      <c r="R184" s="5">
        <f>R172+R172*Assumptions!$D$51</f>
        <v>-675.47841429374353</v>
      </c>
      <c r="S184" s="5">
        <f>S172+(S172*Assumptions!$D$51)</f>
        <v>0</v>
      </c>
      <c r="T184" s="5">
        <f t="shared" si="41"/>
        <v>0</v>
      </c>
      <c r="U184" s="22">
        <f t="shared" si="36"/>
        <v>-3249.2131514428893</v>
      </c>
      <c r="V184" s="5">
        <f>MAX(Assumptions!$E$18:$E$19)-U184</f>
        <v>6090.8461632415856</v>
      </c>
      <c r="W184" s="5">
        <f t="shared" si="37"/>
        <v>0</v>
      </c>
      <c r="X184" s="5">
        <f t="shared" si="42"/>
        <v>-3249.2131514428893</v>
      </c>
      <c r="Y184" s="5">
        <f>D184*Assumptions!$D$44*-1</f>
        <v>0</v>
      </c>
      <c r="Z184" s="5">
        <f t="shared" si="38"/>
        <v>2841.6330117986963</v>
      </c>
      <c r="AA184" s="5">
        <f t="shared" si="48"/>
        <v>61928.030758514593</v>
      </c>
      <c r="AB184" s="3">
        <f>Assumptions!$E$45</f>
        <v>6.9899151946608562E-3</v>
      </c>
      <c r="AC184" s="5">
        <f t="shared" si="49"/>
        <v>65202.535453487653</v>
      </c>
      <c r="AD184" s="4">
        <f>AC184*Assumptions!$E$43</f>
        <v>58.393793254580991</v>
      </c>
      <c r="AE184" s="2">
        <f>AD184*Assumptions!$D$44*-1</f>
        <v>-8.7590689881871491</v>
      </c>
      <c r="AF184" s="2">
        <f>AC184*Assumptions!$E$46*-1</f>
        <v>-2.1730194903148443</v>
      </c>
      <c r="AG184" s="5">
        <f t="shared" si="50"/>
        <v>65191.603365009149</v>
      </c>
      <c r="AH184" s="20">
        <f>Model_30y[[#This Row],[Mortgage Payment]]+Model_30y[[#This Row],[Total Upkeep]]+Model_30y[[#This Row],[Monthly Investment]]</f>
        <v>-4596.0899503173878</v>
      </c>
      <c r="AI184" s="5">
        <f>Model_Renter!D184*-1</f>
        <v>4780.4949978570849</v>
      </c>
      <c r="AJ184" s="5">
        <f t="shared" si="43"/>
        <v>184.40504753969708</v>
      </c>
    </row>
    <row r="185" spans="1:36" x14ac:dyDescent="0.25">
      <c r="A185" s="17">
        <f t="shared" si="44"/>
        <v>183</v>
      </c>
      <c r="B185" s="17">
        <f t="shared" si="39"/>
        <v>16</v>
      </c>
      <c r="C185" s="23">
        <f>IFERROR(PPMT(Assumptions!$E$17, A185, 180, Assumptions!$D$8), 0)</f>
        <v>0</v>
      </c>
      <c r="D185" s="38">
        <f>IFERROR(IPMT(Assumptions!$E$17,A185,180,Assumptions!$D$8), 0)</f>
        <v>0</v>
      </c>
      <c r="E185" s="2">
        <f t="shared" si="45"/>
        <v>0</v>
      </c>
      <c r="F185" s="2">
        <f>IF(I184&gt;1, Assumptions!$E$19, 0)*-1</f>
        <v>0</v>
      </c>
      <c r="G185" s="24">
        <f t="shared" si="40"/>
        <v>1</v>
      </c>
      <c r="H185" s="20">
        <f t="shared" si="46"/>
        <v>339999.99999999988</v>
      </c>
      <c r="I185" s="2">
        <f>MAX(Assumptions!$D$8-SUM(Model_15y!H185), 0)</f>
        <v>1.1641532182693481E-10</v>
      </c>
      <c r="J185" s="2">
        <f>J184*(1+(Assumptions!$E$51))</f>
        <v>894387.54119085975</v>
      </c>
      <c r="K185" s="22">
        <f t="shared" si="35"/>
        <v>894387.54119085963</v>
      </c>
      <c r="L185" s="5">
        <f t="shared" si="47"/>
        <v>425000</v>
      </c>
      <c r="M185" s="63">
        <f>L185/Assumptions!$D$6</f>
        <v>1</v>
      </c>
      <c r="N185" s="24">
        <f t="shared" si="51"/>
        <v>0</v>
      </c>
      <c r="O185" s="22">
        <f>N185*Assumptions!$E$25*-1</f>
        <v>0</v>
      </c>
      <c r="P185" s="5">
        <f>Assumptions!$E$35*J185*-1</f>
        <v>-1842.2918966404013</v>
      </c>
      <c r="Q185" s="5">
        <f>J185*Assumptions!$E$36*-1</f>
        <v>-741.92855441416623</v>
      </c>
      <c r="R185" s="5">
        <f>R173+R173*Assumptions!$D$51</f>
        <v>-675.47841429374353</v>
      </c>
      <c r="S185" s="5">
        <f>S173+(S173*Assumptions!$D$51)</f>
        <v>0</v>
      </c>
      <c r="T185" s="5">
        <f t="shared" si="41"/>
        <v>0</v>
      </c>
      <c r="U185" s="22">
        <f t="shared" si="36"/>
        <v>-3259.6988653483113</v>
      </c>
      <c r="V185" s="5">
        <f>MAX(Assumptions!$E$18:$E$19)-U185</f>
        <v>6101.3318771470076</v>
      </c>
      <c r="W185" s="5">
        <f t="shared" si="37"/>
        <v>0</v>
      </c>
      <c r="X185" s="5">
        <f t="shared" si="42"/>
        <v>-3259.6988653483113</v>
      </c>
      <c r="Y185" s="5">
        <f>D185*Assumptions!$D$44*-1</f>
        <v>0</v>
      </c>
      <c r="Z185" s="5">
        <f t="shared" si="38"/>
        <v>2841.6330117986963</v>
      </c>
      <c r="AA185" s="5">
        <f t="shared" si="48"/>
        <v>65191.603365009149</v>
      </c>
      <c r="AB185" s="3">
        <f>Assumptions!$E$45</f>
        <v>6.9899151946608562E-3</v>
      </c>
      <c r="AC185" s="5">
        <f t="shared" si="49"/>
        <v>68488.920155733227</v>
      </c>
      <c r="AD185" s="4">
        <f>AC185*Assumptions!$E$43</f>
        <v>61.336998875700452</v>
      </c>
      <c r="AE185" s="2">
        <f>AD185*Assumptions!$D$44*-1</f>
        <v>-9.2005498313550671</v>
      </c>
      <c r="AF185" s="2">
        <f>AC185*Assumptions!$E$46*-1</f>
        <v>-2.282545568725499</v>
      </c>
      <c r="AG185" s="5">
        <f t="shared" si="50"/>
        <v>68477.437060333148</v>
      </c>
      <c r="AH185" s="20">
        <f>Model_30y[[#This Row],[Mortgage Payment]]+Model_30y[[#This Row],[Total Upkeep]]+Model_30y[[#This Row],[Monthly Investment]]</f>
        <v>-4607.2552980853943</v>
      </c>
      <c r="AI185" s="5">
        <f>Model_Renter!D185*-1</f>
        <v>4780.4949978570849</v>
      </c>
      <c r="AJ185" s="5">
        <f t="shared" si="43"/>
        <v>173.23969977169054</v>
      </c>
    </row>
    <row r="186" spans="1:36" x14ac:dyDescent="0.25">
      <c r="A186" s="17">
        <f t="shared" si="44"/>
        <v>184</v>
      </c>
      <c r="B186" s="17">
        <f t="shared" si="39"/>
        <v>16</v>
      </c>
      <c r="C186" s="23">
        <f>IFERROR(PPMT(Assumptions!$E$17, A186, 180, Assumptions!$D$8), 0)</f>
        <v>0</v>
      </c>
      <c r="D186" s="38">
        <f>IFERROR(IPMT(Assumptions!$E$17,A186,180,Assumptions!$D$8), 0)</f>
        <v>0</v>
      </c>
      <c r="E186" s="2">
        <f t="shared" si="45"/>
        <v>0</v>
      </c>
      <c r="F186" s="2">
        <f>IF(I185&gt;1, Assumptions!$E$19, 0)*-1</f>
        <v>0</v>
      </c>
      <c r="G186" s="24">
        <f t="shared" si="40"/>
        <v>1</v>
      </c>
      <c r="H186" s="20">
        <f t="shared" si="46"/>
        <v>339999.99999999988</v>
      </c>
      <c r="I186" s="2">
        <f>MAX(Assumptions!$D$8-SUM(Model_15y!H186), 0)</f>
        <v>1.1641532182693481E-10</v>
      </c>
      <c r="J186" s="2">
        <f>J185*(1+(Assumptions!$E$51))</f>
        <v>898031.38674422423</v>
      </c>
      <c r="K186" s="22">
        <f t="shared" si="35"/>
        <v>898031.38674422412</v>
      </c>
      <c r="L186" s="5">
        <f t="shared" si="47"/>
        <v>425000</v>
      </c>
      <c r="M186" s="63">
        <f>L186/Assumptions!$D$6</f>
        <v>1</v>
      </c>
      <c r="N186" s="24">
        <f t="shared" si="51"/>
        <v>0</v>
      </c>
      <c r="O186" s="22">
        <f>N186*Assumptions!$E$25*-1</f>
        <v>0</v>
      </c>
      <c r="P186" s="5">
        <f>Assumptions!$E$35*J186*-1</f>
        <v>-1849.7976218729266</v>
      </c>
      <c r="Q186" s="5">
        <f>J186*Assumptions!$E$36*-1</f>
        <v>-744.95126318347286</v>
      </c>
      <c r="R186" s="5">
        <f>R174+R174*Assumptions!$D$51</f>
        <v>-675.47841429374353</v>
      </c>
      <c r="S186" s="5">
        <f>S174+(S174*Assumptions!$D$51)</f>
        <v>0</v>
      </c>
      <c r="T186" s="5">
        <f t="shared" si="41"/>
        <v>0</v>
      </c>
      <c r="U186" s="22">
        <f t="shared" si="36"/>
        <v>-3270.2272993501429</v>
      </c>
      <c r="V186" s="5">
        <f>MAX(Assumptions!$E$18:$E$19)-U186</f>
        <v>6111.8603111488392</v>
      </c>
      <c r="W186" s="5">
        <f t="shared" si="37"/>
        <v>0</v>
      </c>
      <c r="X186" s="5">
        <f t="shared" si="42"/>
        <v>-3270.2272993501429</v>
      </c>
      <c r="Y186" s="5">
        <f>D186*Assumptions!$D$44*-1</f>
        <v>0</v>
      </c>
      <c r="Z186" s="5">
        <f t="shared" si="38"/>
        <v>2841.6330117986963</v>
      </c>
      <c r="AA186" s="5">
        <f t="shared" si="48"/>
        <v>68477.437060333148</v>
      </c>
      <c r="AB186" s="3">
        <f>Assumptions!$E$45</f>
        <v>6.9899151946608562E-3</v>
      </c>
      <c r="AC186" s="5">
        <f t="shared" si="49"/>
        <v>71797.721549931302</v>
      </c>
      <c r="AD186" s="4">
        <f>AC186*Assumptions!$E$43</f>
        <v>64.300280336911442</v>
      </c>
      <c r="AE186" s="2">
        <f>AD186*Assumptions!$D$44*-1</f>
        <v>-9.6450420505367163</v>
      </c>
      <c r="AF186" s="2">
        <f>AC186*Assumptions!$E$46*-1</f>
        <v>-2.3928187332453419</v>
      </c>
      <c r="AG186" s="5">
        <f t="shared" si="50"/>
        <v>71785.683689147525</v>
      </c>
      <c r="AH186" s="20">
        <f>Model_30y[[#This Row],[Mortgage Payment]]+Model_30y[[#This Row],[Total Upkeep]]+Model_30y[[#This Row],[Monthly Investment]]</f>
        <v>-4618.4671718994414</v>
      </c>
      <c r="AI186" s="5">
        <f>Model_Renter!D186*-1</f>
        <v>4780.4949978570849</v>
      </c>
      <c r="AJ186" s="5">
        <f t="shared" si="43"/>
        <v>162.02782595764347</v>
      </c>
    </row>
    <row r="187" spans="1:36" x14ac:dyDescent="0.25">
      <c r="A187" s="17">
        <f t="shared" si="44"/>
        <v>185</v>
      </c>
      <c r="B187" s="17">
        <f t="shared" si="39"/>
        <v>16</v>
      </c>
      <c r="C187" s="23">
        <f>IFERROR(PPMT(Assumptions!$E$17, A187, 180, Assumptions!$D$8), 0)</f>
        <v>0</v>
      </c>
      <c r="D187" s="38">
        <f>IFERROR(IPMT(Assumptions!$E$17,A187,180,Assumptions!$D$8), 0)</f>
        <v>0</v>
      </c>
      <c r="E187" s="2">
        <f t="shared" si="45"/>
        <v>0</v>
      </c>
      <c r="F187" s="2">
        <f>IF(I186&gt;1, Assumptions!$E$19, 0)*-1</f>
        <v>0</v>
      </c>
      <c r="G187" s="24">
        <f t="shared" si="40"/>
        <v>1</v>
      </c>
      <c r="H187" s="20">
        <f t="shared" si="46"/>
        <v>339999.99999999988</v>
      </c>
      <c r="I187" s="2">
        <f>MAX(Assumptions!$D$8-SUM(Model_15y!H187), 0)</f>
        <v>1.1641532182693481E-10</v>
      </c>
      <c r="J187" s="2">
        <f>J186*(1+(Assumptions!$E$51))</f>
        <v>901690.07777542155</v>
      </c>
      <c r="K187" s="22">
        <f t="shared" si="35"/>
        <v>901690.07777542144</v>
      </c>
      <c r="L187" s="5">
        <f t="shared" si="47"/>
        <v>425000</v>
      </c>
      <c r="M187" s="63">
        <f>L187/Assumptions!$D$6</f>
        <v>1</v>
      </c>
      <c r="N187" s="24">
        <f t="shared" si="51"/>
        <v>0</v>
      </c>
      <c r="O187" s="22">
        <f>N187*Assumptions!$E$25*-1</f>
        <v>0</v>
      </c>
      <c r="P187" s="5">
        <f>Assumptions!$E$35*J187*-1</f>
        <v>-1857.3339263591351</v>
      </c>
      <c r="Q187" s="5">
        <f>J187*Assumptions!$E$36*-1</f>
        <v>-747.98628684246751</v>
      </c>
      <c r="R187" s="5">
        <f>R175+R175*Assumptions!$D$51</f>
        <v>-675.47841429374353</v>
      </c>
      <c r="S187" s="5">
        <f>S175+(S175*Assumptions!$D$51)</f>
        <v>0</v>
      </c>
      <c r="T187" s="5">
        <f t="shared" si="41"/>
        <v>0</v>
      </c>
      <c r="U187" s="22">
        <f t="shared" si="36"/>
        <v>-3280.7986274953464</v>
      </c>
      <c r="V187" s="5">
        <f>MAX(Assumptions!$E$18:$E$19)-U187</f>
        <v>6122.4316392940436</v>
      </c>
      <c r="W187" s="5">
        <f t="shared" si="37"/>
        <v>0</v>
      </c>
      <c r="X187" s="5">
        <f t="shared" si="42"/>
        <v>-3280.7986274953464</v>
      </c>
      <c r="Y187" s="5">
        <f>D187*Assumptions!$D$44*-1</f>
        <v>0</v>
      </c>
      <c r="Z187" s="5">
        <f t="shared" si="38"/>
        <v>2841.6330117986972</v>
      </c>
      <c r="AA187" s="5">
        <f t="shared" si="48"/>
        <v>71785.683689147525</v>
      </c>
      <c r="AB187" s="3">
        <f>Assumptions!$E$45</f>
        <v>6.9899151946608562E-3</v>
      </c>
      <c r="AC187" s="5">
        <f t="shared" si="49"/>
        <v>75129.092542124112</v>
      </c>
      <c r="AD187" s="4">
        <f>AC187*Assumptions!$E$43</f>
        <v>67.28377457711909</v>
      </c>
      <c r="AE187" s="2">
        <f>AD187*Assumptions!$D$44*-1</f>
        <v>-10.092566186567863</v>
      </c>
      <c r="AF187" s="2">
        <f>AC187*Assumptions!$E$46*-1</f>
        <v>-2.5038440798082608</v>
      </c>
      <c r="AG187" s="5">
        <f t="shared" si="50"/>
        <v>75116.496131857741</v>
      </c>
      <c r="AH187" s="20">
        <f>Model_30y[[#This Row],[Mortgage Payment]]+Model_30y[[#This Row],[Total Upkeep]]+Model_30y[[#This Row],[Monthly Investment]]</f>
        <v>-4629.7257671198076</v>
      </c>
      <c r="AI187" s="5">
        <f>Model_Renter!D187*-1</f>
        <v>4780.4949978570849</v>
      </c>
      <c r="AJ187" s="5">
        <f t="shared" si="43"/>
        <v>150.76923073727721</v>
      </c>
    </row>
    <row r="188" spans="1:36" x14ac:dyDescent="0.25">
      <c r="A188" s="17">
        <f t="shared" si="44"/>
        <v>186</v>
      </c>
      <c r="B188" s="17">
        <f t="shared" si="39"/>
        <v>16</v>
      </c>
      <c r="C188" s="23">
        <f>IFERROR(PPMT(Assumptions!$E$17, A188, 180, Assumptions!$D$8), 0)</f>
        <v>0</v>
      </c>
      <c r="D188" s="38">
        <f>IFERROR(IPMT(Assumptions!$E$17,A188,180,Assumptions!$D$8), 0)</f>
        <v>0</v>
      </c>
      <c r="E188" s="2">
        <f t="shared" si="45"/>
        <v>0</v>
      </c>
      <c r="F188" s="2">
        <f>IF(I187&gt;1, Assumptions!$E$19, 0)*-1</f>
        <v>0</v>
      </c>
      <c r="G188" s="24">
        <f t="shared" si="40"/>
        <v>1</v>
      </c>
      <c r="H188" s="20">
        <f t="shared" si="46"/>
        <v>339999.99999999988</v>
      </c>
      <c r="I188" s="2">
        <f>MAX(Assumptions!$D$8-SUM(Model_15y!H188), 0)</f>
        <v>1.1641532182693481E-10</v>
      </c>
      <c r="J188" s="2">
        <f>J187*(1+(Assumptions!$E$51))</f>
        <v>905363.67476676614</v>
      </c>
      <c r="K188" s="22">
        <f t="shared" si="35"/>
        <v>905363.67476676602</v>
      </c>
      <c r="L188" s="5">
        <f t="shared" si="47"/>
        <v>425000</v>
      </c>
      <c r="M188" s="63">
        <f>L188/Assumptions!$D$6</f>
        <v>1</v>
      </c>
      <c r="N188" s="24">
        <f t="shared" si="51"/>
        <v>0</v>
      </c>
      <c r="O188" s="22">
        <f>N188*Assumptions!$E$25*-1</f>
        <v>0</v>
      </c>
      <c r="P188" s="5">
        <f>Assumptions!$E$35*J188*-1</f>
        <v>-1864.900934682692</v>
      </c>
      <c r="Q188" s="5">
        <f>J188*Assumptions!$E$36*-1</f>
        <v>-751.03367556353521</v>
      </c>
      <c r="R188" s="5">
        <f>R176+R176*Assumptions!$D$51</f>
        <v>-675.47841429374353</v>
      </c>
      <c r="S188" s="5">
        <f>S176+(S176*Assumptions!$D$51)</f>
        <v>0</v>
      </c>
      <c r="T188" s="5">
        <f t="shared" si="41"/>
        <v>0</v>
      </c>
      <c r="U188" s="22">
        <f t="shared" si="36"/>
        <v>-3291.413024539971</v>
      </c>
      <c r="V188" s="5">
        <f>MAX(Assumptions!$E$18:$E$19)-U188</f>
        <v>6133.0460363386683</v>
      </c>
      <c r="W188" s="5">
        <f t="shared" si="37"/>
        <v>0</v>
      </c>
      <c r="X188" s="5">
        <f t="shared" si="42"/>
        <v>-3291.413024539971</v>
      </c>
      <c r="Y188" s="5">
        <f>D188*Assumptions!$D$44*-1</f>
        <v>0</v>
      </c>
      <c r="Z188" s="5">
        <f t="shared" si="38"/>
        <v>2841.6330117986972</v>
      </c>
      <c r="AA188" s="5">
        <f t="shared" si="48"/>
        <v>75116.496131857741</v>
      </c>
      <c r="AB188" s="3">
        <f>Assumptions!$E$45</f>
        <v>6.9899151946608562E-3</v>
      </c>
      <c r="AC188" s="5">
        <f t="shared" si="49"/>
        <v>78483.187081338197</v>
      </c>
      <c r="AD188" s="4">
        <f>AC188*Assumptions!$E$43</f>
        <v>70.287619469299727</v>
      </c>
      <c r="AE188" s="2">
        <f>AD188*Assumptions!$D$44*-1</f>
        <v>-10.543142920394958</v>
      </c>
      <c r="AF188" s="2">
        <f>AC188*Assumptions!$E$46*-1</f>
        <v>-2.6156267391079142</v>
      </c>
      <c r="AG188" s="5">
        <f t="shared" si="50"/>
        <v>78470.028311678689</v>
      </c>
      <c r="AH188" s="20">
        <f>Model_30y[[#This Row],[Mortgage Payment]]+Model_30y[[#This Row],[Total Upkeep]]+Model_30y[[#This Row],[Monthly Investment]]</f>
        <v>-4641.0312799352168</v>
      </c>
      <c r="AI188" s="5">
        <f>Model_Renter!D188*-1</f>
        <v>4780.4949978570849</v>
      </c>
      <c r="AJ188" s="5">
        <f t="shared" si="43"/>
        <v>139.46371792186801</v>
      </c>
    </row>
    <row r="189" spans="1:36" x14ac:dyDescent="0.25">
      <c r="A189" s="17">
        <f t="shared" si="44"/>
        <v>187</v>
      </c>
      <c r="B189" s="17">
        <f t="shared" si="39"/>
        <v>16</v>
      </c>
      <c r="C189" s="23">
        <f>IFERROR(PPMT(Assumptions!$E$17, A189, 180, Assumptions!$D$8), 0)</f>
        <v>0</v>
      </c>
      <c r="D189" s="38">
        <f>IFERROR(IPMT(Assumptions!$E$17,A189,180,Assumptions!$D$8), 0)</f>
        <v>0</v>
      </c>
      <c r="E189" s="2">
        <f t="shared" si="45"/>
        <v>0</v>
      </c>
      <c r="F189" s="2">
        <f>IF(I188&gt;1, Assumptions!$E$19, 0)*-1</f>
        <v>0</v>
      </c>
      <c r="G189" s="24">
        <f t="shared" si="40"/>
        <v>1</v>
      </c>
      <c r="H189" s="20">
        <f t="shared" si="46"/>
        <v>339999.99999999988</v>
      </c>
      <c r="I189" s="2">
        <f>MAX(Assumptions!$D$8-SUM(Model_15y!H189), 0)</f>
        <v>1.1641532182693481E-10</v>
      </c>
      <c r="J189" s="2">
        <f>J188*(1+(Assumptions!$E$51))</f>
        <v>909052.23844698467</v>
      </c>
      <c r="K189" s="22">
        <f t="shared" si="35"/>
        <v>909052.23844698456</v>
      </c>
      <c r="L189" s="5">
        <f t="shared" si="47"/>
        <v>425000</v>
      </c>
      <c r="M189" s="63">
        <f>L189/Assumptions!$D$6</f>
        <v>1</v>
      </c>
      <c r="N189" s="24">
        <f t="shared" si="51"/>
        <v>0</v>
      </c>
      <c r="O189" s="22">
        <f>N189*Assumptions!$E$25*-1</f>
        <v>0</v>
      </c>
      <c r="P189" s="5">
        <f>Assumptions!$E$35*J189*-1</f>
        <v>-1872.4987719348308</v>
      </c>
      <c r="Q189" s="5">
        <f>J189*Assumptions!$E$36*-1</f>
        <v>-754.0934797234695</v>
      </c>
      <c r="R189" s="5">
        <f>R177+R177*Assumptions!$D$51</f>
        <v>-675.47841429374353</v>
      </c>
      <c r="S189" s="5">
        <f>S177+(S177*Assumptions!$D$51)</f>
        <v>0</v>
      </c>
      <c r="T189" s="5">
        <f t="shared" si="41"/>
        <v>0</v>
      </c>
      <c r="U189" s="22">
        <f t="shared" si="36"/>
        <v>-3302.0706659520438</v>
      </c>
      <c r="V189" s="5">
        <f>MAX(Assumptions!$E$18:$E$19)-U189</f>
        <v>6143.7036777507401</v>
      </c>
      <c r="W189" s="5">
        <f t="shared" si="37"/>
        <v>0</v>
      </c>
      <c r="X189" s="5">
        <f t="shared" si="42"/>
        <v>-3302.0706659520438</v>
      </c>
      <c r="Y189" s="5">
        <f>D189*Assumptions!$D$44*-1</f>
        <v>0</v>
      </c>
      <c r="Z189" s="5">
        <f t="shared" si="38"/>
        <v>2841.6330117986963</v>
      </c>
      <c r="AA189" s="5">
        <f t="shared" si="48"/>
        <v>78470.028311678689</v>
      </c>
      <c r="AB189" s="3">
        <f>Assumptions!$E$45</f>
        <v>6.9899151946608562E-3</v>
      </c>
      <c r="AC189" s="5">
        <f t="shared" si="49"/>
        <v>81860.160166698653</v>
      </c>
      <c r="AD189" s="4">
        <f>AC189*Assumptions!$E$43</f>
        <v>73.311953826872255</v>
      </c>
      <c r="AE189" s="2">
        <f>AD189*Assumptions!$D$44*-1</f>
        <v>-10.996793074030839</v>
      </c>
      <c r="AF189" s="2">
        <f>AC189*Assumptions!$E$46*-1</f>
        <v>-2.7281718768348311</v>
      </c>
      <c r="AG189" s="5">
        <f t="shared" si="50"/>
        <v>81846.435201747794</v>
      </c>
      <c r="AH189" s="20">
        <f>Model_30y[[#This Row],[Mortgage Payment]]+Model_30y[[#This Row],[Total Upkeep]]+Model_30y[[#This Row],[Monthly Investment]]</f>
        <v>-4652.3839073663912</v>
      </c>
      <c r="AI189" s="5">
        <f>Model_Renter!D189*-1</f>
        <v>4780.4949978570849</v>
      </c>
      <c r="AJ189" s="5">
        <f t="shared" si="43"/>
        <v>128.11109049069364</v>
      </c>
    </row>
    <row r="190" spans="1:36" x14ac:dyDescent="0.25">
      <c r="A190" s="17">
        <f t="shared" si="44"/>
        <v>188</v>
      </c>
      <c r="B190" s="17">
        <f t="shared" si="39"/>
        <v>16</v>
      </c>
      <c r="C190" s="23">
        <f>IFERROR(PPMT(Assumptions!$E$17, A190, 180, Assumptions!$D$8), 0)</f>
        <v>0</v>
      </c>
      <c r="D190" s="38">
        <f>IFERROR(IPMT(Assumptions!$E$17,A190,180,Assumptions!$D$8), 0)</f>
        <v>0</v>
      </c>
      <c r="E190" s="2">
        <f t="shared" si="45"/>
        <v>0</v>
      </c>
      <c r="F190" s="2">
        <f>IF(I189&gt;1, Assumptions!$E$19, 0)*-1</f>
        <v>0</v>
      </c>
      <c r="G190" s="24">
        <f t="shared" si="40"/>
        <v>1</v>
      </c>
      <c r="H190" s="20">
        <f t="shared" si="46"/>
        <v>339999.99999999988</v>
      </c>
      <c r="I190" s="2">
        <f>MAX(Assumptions!$D$8-SUM(Model_15y!H190), 0)</f>
        <v>1.1641532182693481E-10</v>
      </c>
      <c r="J190" s="2">
        <f>J189*(1+(Assumptions!$E$51))</f>
        <v>912755.82979222026</v>
      </c>
      <c r="K190" s="22">
        <f t="shared" si="35"/>
        <v>912755.82979222015</v>
      </c>
      <c r="L190" s="5">
        <f t="shared" si="47"/>
        <v>425000</v>
      </c>
      <c r="M190" s="63">
        <f>L190/Assumptions!$D$6</f>
        <v>1</v>
      </c>
      <c r="N190" s="24">
        <f t="shared" si="51"/>
        <v>0</v>
      </c>
      <c r="O190" s="22">
        <f>N190*Assumptions!$E$25*-1</f>
        <v>0</v>
      </c>
      <c r="P190" s="5">
        <f>Assumptions!$E$35*J190*-1</f>
        <v>-1880.1275637164226</v>
      </c>
      <c r="Q190" s="5">
        <f>J190*Assumptions!$E$36*-1</f>
        <v>-757.16574990430502</v>
      </c>
      <c r="R190" s="5">
        <f>R178+R178*Assumptions!$D$51</f>
        <v>-675.47841429374353</v>
      </c>
      <c r="S190" s="5">
        <f>S178+(S178*Assumptions!$D$51)</f>
        <v>0</v>
      </c>
      <c r="T190" s="5">
        <f t="shared" si="41"/>
        <v>0</v>
      </c>
      <c r="U190" s="22">
        <f t="shared" si="36"/>
        <v>-3312.7717279144708</v>
      </c>
      <c r="V190" s="5">
        <f>MAX(Assumptions!$E$18:$E$19)-U190</f>
        <v>6154.4047397131671</v>
      </c>
      <c r="W190" s="5">
        <f t="shared" si="37"/>
        <v>0</v>
      </c>
      <c r="X190" s="5">
        <f t="shared" si="42"/>
        <v>-3312.7717279144708</v>
      </c>
      <c r="Y190" s="5">
        <f>D190*Assumptions!$D$44*-1</f>
        <v>0</v>
      </c>
      <c r="Z190" s="5">
        <f t="shared" si="38"/>
        <v>2841.6330117986963</v>
      </c>
      <c r="AA190" s="5">
        <f t="shared" si="48"/>
        <v>81846.435201747794</v>
      </c>
      <c r="AB190" s="3">
        <f>Assumptions!$E$45</f>
        <v>6.9899151946608562E-3</v>
      </c>
      <c r="AC190" s="5">
        <f t="shared" si="49"/>
        <v>85260.167854592015</v>
      </c>
      <c r="AD190" s="4">
        <f>AC190*Assumptions!$E$43</f>
        <v>76.356917410112956</v>
      </c>
      <c r="AE190" s="2">
        <f>AD190*Assumptions!$D$44*-1</f>
        <v>-11.453537611516943</v>
      </c>
      <c r="AF190" s="2">
        <f>AC190*Assumptions!$E$46*-1</f>
        <v>-2.841484693915127</v>
      </c>
      <c r="AG190" s="5">
        <f t="shared" si="50"/>
        <v>85245.872832286579</v>
      </c>
      <c r="AH190" s="20">
        <f>Model_30y[[#This Row],[Mortgage Payment]]+Model_30y[[#This Row],[Total Upkeep]]+Model_30y[[#This Row],[Monthly Investment]]</f>
        <v>-4663.7838472696258</v>
      </c>
      <c r="AI190" s="5">
        <f>Model_Renter!D190*-1</f>
        <v>4780.4949978570849</v>
      </c>
      <c r="AJ190" s="5">
        <f t="shared" si="43"/>
        <v>116.71115058745909</v>
      </c>
    </row>
    <row r="191" spans="1:36" x14ac:dyDescent="0.25">
      <c r="A191" s="17">
        <f t="shared" si="44"/>
        <v>189</v>
      </c>
      <c r="B191" s="17">
        <f t="shared" si="39"/>
        <v>16</v>
      </c>
      <c r="C191" s="23">
        <f>IFERROR(PPMT(Assumptions!$E$17, A191, 180, Assumptions!$D$8), 0)</f>
        <v>0</v>
      </c>
      <c r="D191" s="38">
        <f>IFERROR(IPMT(Assumptions!$E$17,A191,180,Assumptions!$D$8), 0)</f>
        <v>0</v>
      </c>
      <c r="E191" s="2">
        <f t="shared" si="45"/>
        <v>0</v>
      </c>
      <c r="F191" s="2">
        <f>IF(I190&gt;1, Assumptions!$E$19, 0)*-1</f>
        <v>0</v>
      </c>
      <c r="G191" s="24">
        <f t="shared" si="40"/>
        <v>1</v>
      </c>
      <c r="H191" s="20">
        <f t="shared" si="46"/>
        <v>339999.99999999988</v>
      </c>
      <c r="I191" s="2">
        <f>MAX(Assumptions!$D$8-SUM(Model_15y!H191), 0)</f>
        <v>1.1641532182693481E-10</v>
      </c>
      <c r="J191" s="2">
        <f>J190*(1+(Assumptions!$E$51))</f>
        <v>916474.51002704038</v>
      </c>
      <c r="K191" s="22">
        <f t="shared" si="35"/>
        <v>916474.51002704026</v>
      </c>
      <c r="L191" s="5">
        <f t="shared" si="47"/>
        <v>425000</v>
      </c>
      <c r="M191" s="63">
        <f>L191/Assumptions!$D$6</f>
        <v>1</v>
      </c>
      <c r="N191" s="24">
        <f t="shared" si="51"/>
        <v>0</v>
      </c>
      <c r="O191" s="22">
        <f>N191*Assumptions!$E$25*-1</f>
        <v>0</v>
      </c>
      <c r="P191" s="5">
        <f>Assumptions!$E$35*J191*-1</f>
        <v>-1887.7874361400525</v>
      </c>
      <c r="Q191" s="5">
        <f>J191*Assumptions!$E$36*-1</f>
        <v>-760.25053689415404</v>
      </c>
      <c r="R191" s="5">
        <f>R179+R179*Assumptions!$D$51</f>
        <v>-675.47841429374353</v>
      </c>
      <c r="S191" s="5">
        <f>S179+(S179*Assumptions!$D$51)</f>
        <v>0</v>
      </c>
      <c r="T191" s="5">
        <f t="shared" si="41"/>
        <v>0</v>
      </c>
      <c r="U191" s="22">
        <f t="shared" si="36"/>
        <v>-3323.5163873279498</v>
      </c>
      <c r="V191" s="5">
        <f>MAX(Assumptions!$E$18:$E$19)-U191</f>
        <v>6165.149399126647</v>
      </c>
      <c r="W191" s="5">
        <f t="shared" si="37"/>
        <v>0</v>
      </c>
      <c r="X191" s="5">
        <f t="shared" si="42"/>
        <v>-3323.5163873279498</v>
      </c>
      <c r="Y191" s="5">
        <f>D191*Assumptions!$D$44*-1</f>
        <v>0</v>
      </c>
      <c r="Z191" s="5">
        <f t="shared" si="38"/>
        <v>2841.6330117986972</v>
      </c>
      <c r="AA191" s="5">
        <f t="shared" si="48"/>
        <v>85245.872832286579</v>
      </c>
      <c r="AB191" s="3">
        <f>Assumptions!$E$45</f>
        <v>6.9899151946608562E-3</v>
      </c>
      <c r="AC191" s="5">
        <f t="shared" si="49"/>
        <v>88683.367265877794</v>
      </c>
      <c r="AD191" s="4">
        <f>AC191*Assumptions!$E$43</f>
        <v>79.422650932614076</v>
      </c>
      <c r="AE191" s="2">
        <f>AD191*Assumptions!$D$44*-1</f>
        <v>-11.913397639892111</v>
      </c>
      <c r="AF191" s="2">
        <f>AC191*Assumptions!$E$46*-1</f>
        <v>-2.9555704267508496</v>
      </c>
      <c r="AG191" s="5">
        <f t="shared" si="50"/>
        <v>88668.498297811151</v>
      </c>
      <c r="AH191" s="20">
        <f>Model_30y[[#This Row],[Mortgage Payment]]+Model_30y[[#This Row],[Total Upkeep]]+Model_30y[[#This Row],[Monthly Investment]]</f>
        <v>-4675.2312983403808</v>
      </c>
      <c r="AI191" s="5">
        <f>Model_Renter!D191*-1</f>
        <v>4780.4949978570849</v>
      </c>
      <c r="AJ191" s="5">
        <f t="shared" si="43"/>
        <v>105.26369951670404</v>
      </c>
    </row>
    <row r="192" spans="1:36" x14ac:dyDescent="0.25">
      <c r="A192" s="17">
        <f t="shared" si="44"/>
        <v>190</v>
      </c>
      <c r="B192" s="17">
        <f t="shared" si="39"/>
        <v>16</v>
      </c>
      <c r="C192" s="23">
        <f>IFERROR(PPMT(Assumptions!$E$17, A192, 180, Assumptions!$D$8), 0)</f>
        <v>0</v>
      </c>
      <c r="D192" s="38">
        <f>IFERROR(IPMT(Assumptions!$E$17,A192,180,Assumptions!$D$8), 0)</f>
        <v>0</v>
      </c>
      <c r="E192" s="2">
        <f t="shared" si="45"/>
        <v>0</v>
      </c>
      <c r="F192" s="2">
        <f>IF(I191&gt;1, Assumptions!$E$19, 0)*-1</f>
        <v>0</v>
      </c>
      <c r="G192" s="24">
        <f t="shared" si="40"/>
        <v>1</v>
      </c>
      <c r="H192" s="20">
        <f t="shared" si="46"/>
        <v>339999.99999999988</v>
      </c>
      <c r="I192" s="2">
        <f>MAX(Assumptions!$D$8-SUM(Model_15y!H192), 0)</f>
        <v>1.1641532182693481E-10</v>
      </c>
      <c r="J192" s="2">
        <f>J191*(1+(Assumptions!$E$51))</f>
        <v>920208.34062544897</v>
      </c>
      <c r="K192" s="22">
        <f t="shared" si="35"/>
        <v>920208.34062544885</v>
      </c>
      <c r="L192" s="5">
        <f t="shared" si="47"/>
        <v>425000</v>
      </c>
      <c r="M192" s="63">
        <f>L192/Assumptions!$D$6</f>
        <v>1</v>
      </c>
      <c r="N192" s="24">
        <f t="shared" si="51"/>
        <v>0</v>
      </c>
      <c r="O192" s="22">
        <f>N192*Assumptions!$E$25*-1</f>
        <v>0</v>
      </c>
      <c r="P192" s="5">
        <f>Assumptions!$E$35*J192*-1</f>
        <v>-1895.4785158321031</v>
      </c>
      <c r="Q192" s="5">
        <f>J192*Assumptions!$E$36*-1</f>
        <v>-763.34789168804582</v>
      </c>
      <c r="R192" s="5">
        <f>R180+R180*Assumptions!$D$51</f>
        <v>-675.47841429374353</v>
      </c>
      <c r="S192" s="5">
        <f>S180+(S180*Assumptions!$D$51)</f>
        <v>0</v>
      </c>
      <c r="T192" s="5">
        <f t="shared" si="41"/>
        <v>0</v>
      </c>
      <c r="U192" s="22">
        <f t="shared" si="36"/>
        <v>-3334.304821813892</v>
      </c>
      <c r="V192" s="5">
        <f>MAX(Assumptions!$E$18:$E$19)-U192</f>
        <v>6175.9378336125883</v>
      </c>
      <c r="W192" s="5">
        <f t="shared" si="37"/>
        <v>0</v>
      </c>
      <c r="X192" s="5">
        <f t="shared" si="42"/>
        <v>-3334.304821813892</v>
      </c>
      <c r="Y192" s="5">
        <f>D192*Assumptions!$D$44*-1</f>
        <v>0</v>
      </c>
      <c r="Z192" s="5">
        <f t="shared" si="38"/>
        <v>2841.6330117986963</v>
      </c>
      <c r="AA192" s="5">
        <f t="shared" si="48"/>
        <v>88668.498297811151</v>
      </c>
      <c r="AB192" s="3">
        <f>Assumptions!$E$45</f>
        <v>6.9899151946608562E-3</v>
      </c>
      <c r="AC192" s="5">
        <f t="shared" si="49"/>
        <v>92129.916593149479</v>
      </c>
      <c r="AD192" s="4">
        <f>AC192*Assumptions!$E$43</f>
        <v>82.509296067786551</v>
      </c>
      <c r="AE192" s="2">
        <f>AD192*Assumptions!$D$44*-1</f>
        <v>-12.376394410167983</v>
      </c>
      <c r="AF192" s="2">
        <f>AC192*Assumptions!$E$46*-1</f>
        <v>-3.0704343474619615</v>
      </c>
      <c r="AG192" s="5">
        <f t="shared" si="50"/>
        <v>92114.469764391848</v>
      </c>
      <c r="AH192" s="20">
        <f>Model_30y[[#This Row],[Mortgage Payment]]+Model_30y[[#This Row],[Total Upkeep]]+Model_30y[[#This Row],[Monthly Investment]]</f>
        <v>-4686.7264601168799</v>
      </c>
      <c r="AI192" s="5">
        <f>Model_Renter!D192*-1</f>
        <v>4780.4949978570849</v>
      </c>
      <c r="AJ192" s="5">
        <f t="shared" si="43"/>
        <v>93.76853774020492</v>
      </c>
    </row>
    <row r="193" spans="1:36" x14ac:dyDescent="0.25">
      <c r="A193" s="17">
        <f t="shared" si="44"/>
        <v>191</v>
      </c>
      <c r="B193" s="17">
        <f t="shared" si="39"/>
        <v>16</v>
      </c>
      <c r="C193" s="23">
        <f>IFERROR(PPMT(Assumptions!$E$17, A193, 180, Assumptions!$D$8), 0)</f>
        <v>0</v>
      </c>
      <c r="D193" s="38">
        <f>IFERROR(IPMT(Assumptions!$E$17,A193,180,Assumptions!$D$8), 0)</f>
        <v>0</v>
      </c>
      <c r="E193" s="2">
        <f t="shared" si="45"/>
        <v>0</v>
      </c>
      <c r="F193" s="2">
        <f>IF(I192&gt;1, Assumptions!$E$19, 0)*-1</f>
        <v>0</v>
      </c>
      <c r="G193" s="24">
        <f t="shared" si="40"/>
        <v>1</v>
      </c>
      <c r="H193" s="20">
        <f t="shared" si="46"/>
        <v>339999.99999999988</v>
      </c>
      <c r="I193" s="2">
        <f>MAX(Assumptions!$D$8-SUM(Model_15y!H193), 0)</f>
        <v>1.1641532182693481E-10</v>
      </c>
      <c r="J193" s="2">
        <f>J192*(1+(Assumptions!$E$51))</f>
        <v>923957.38331190264</v>
      </c>
      <c r="K193" s="22">
        <f t="shared" si="35"/>
        <v>923957.38331190252</v>
      </c>
      <c r="L193" s="5">
        <f t="shared" si="47"/>
        <v>425000</v>
      </c>
      <c r="M193" s="63">
        <f>L193/Assumptions!$D$6</f>
        <v>1</v>
      </c>
      <c r="N193" s="24">
        <f t="shared" si="51"/>
        <v>0</v>
      </c>
      <c r="O193" s="22">
        <f>N193*Assumptions!$E$25*-1</f>
        <v>0</v>
      </c>
      <c r="P193" s="5">
        <f>Assumptions!$E$35*J193*-1</f>
        <v>-1903.200929934849</v>
      </c>
      <c r="Q193" s="5">
        <f>J193*Assumptions!$E$36*-1</f>
        <v>-766.45786548876993</v>
      </c>
      <c r="R193" s="5">
        <f>R181+R181*Assumptions!$D$51</f>
        <v>-675.47841429374353</v>
      </c>
      <c r="S193" s="5">
        <f>S181+(S181*Assumptions!$D$51)</f>
        <v>0</v>
      </c>
      <c r="T193" s="5">
        <f t="shared" si="41"/>
        <v>0</v>
      </c>
      <c r="U193" s="22">
        <f t="shared" si="36"/>
        <v>-3345.1372097173626</v>
      </c>
      <c r="V193" s="5">
        <f>MAX(Assumptions!$E$18:$E$19)-U193</f>
        <v>6186.7702215160589</v>
      </c>
      <c r="W193" s="5">
        <f t="shared" si="37"/>
        <v>0</v>
      </c>
      <c r="X193" s="5">
        <f t="shared" si="42"/>
        <v>-3345.1372097173626</v>
      </c>
      <c r="Y193" s="5">
        <f>D193*Assumptions!$D$44*-1</f>
        <v>0</v>
      </c>
      <c r="Z193" s="5">
        <f t="shared" si="38"/>
        <v>2841.6330117986963</v>
      </c>
      <c r="AA193" s="5">
        <f t="shared" si="48"/>
        <v>92114.469764391848</v>
      </c>
      <c r="AB193" s="3">
        <f>Assumptions!$E$45</f>
        <v>6.9899151946608562E-3</v>
      </c>
      <c r="AC193" s="5">
        <f t="shared" si="49"/>
        <v>95599.97510804479</v>
      </c>
      <c r="AD193" s="4">
        <f>AC193*Assumptions!$E$43</f>
        <v>85.616995455406851</v>
      </c>
      <c r="AE193" s="2">
        <f>AD193*Assumptions!$D$44*-1</f>
        <v>-12.842549318311027</v>
      </c>
      <c r="AF193" s="2">
        <f>AC193*Assumptions!$E$46*-1</f>
        <v>-3.1860817641299763</v>
      </c>
      <c r="AG193" s="5">
        <f t="shared" si="50"/>
        <v>95583.946476962345</v>
      </c>
      <c r="AH193" s="20">
        <f>Model_30y[[#This Row],[Mortgage Payment]]+Model_30y[[#This Row],[Total Upkeep]]+Model_30y[[#This Row],[Monthly Investment]]</f>
        <v>-4698.2695329837352</v>
      </c>
      <c r="AI193" s="5">
        <f>Model_Renter!D193*-1</f>
        <v>4780.4949978570849</v>
      </c>
      <c r="AJ193" s="5">
        <f t="shared" si="43"/>
        <v>82.225464873349665</v>
      </c>
    </row>
    <row r="194" spans="1:36" x14ac:dyDescent="0.25">
      <c r="A194" s="17">
        <f t="shared" si="44"/>
        <v>192</v>
      </c>
      <c r="B194" s="17">
        <f t="shared" si="39"/>
        <v>16</v>
      </c>
      <c r="C194" s="23">
        <f>IFERROR(PPMT(Assumptions!$E$17, A194, 180, Assumptions!$D$8), 0)</f>
        <v>0</v>
      </c>
      <c r="D194" s="38">
        <f>IFERROR(IPMT(Assumptions!$E$17,A194,180,Assumptions!$D$8), 0)</f>
        <v>0</v>
      </c>
      <c r="E194" s="2">
        <f t="shared" si="45"/>
        <v>0</v>
      </c>
      <c r="F194" s="2">
        <f>IF(I193&gt;1, Assumptions!$E$19, 0)*-1</f>
        <v>0</v>
      </c>
      <c r="G194" s="24">
        <f t="shared" si="40"/>
        <v>1</v>
      </c>
      <c r="H194" s="20">
        <f t="shared" si="46"/>
        <v>339999.99999999988</v>
      </c>
      <c r="I194" s="2">
        <f>MAX(Assumptions!$D$8-SUM(Model_15y!H194), 0)</f>
        <v>1.1641532182693481E-10</v>
      </c>
      <c r="J194" s="2">
        <f>J193*(1+(Assumptions!$E$51))</f>
        <v>927721.70006233116</v>
      </c>
      <c r="K194" s="22">
        <f t="shared" ref="K194:K257" si="52">J194-I194</f>
        <v>927721.70006233105</v>
      </c>
      <c r="L194" s="5">
        <f t="shared" si="47"/>
        <v>425000</v>
      </c>
      <c r="M194" s="63">
        <f>L194/Assumptions!$D$6</f>
        <v>1</v>
      </c>
      <c r="N194" s="24">
        <f t="shared" si="51"/>
        <v>0</v>
      </c>
      <c r="O194" s="22">
        <f>N194*Assumptions!$E$25*-1</f>
        <v>0</v>
      </c>
      <c r="P194" s="5">
        <f>Assumptions!$E$35*J194*-1</f>
        <v>-1910.9548061085582</v>
      </c>
      <c r="Q194" s="5">
        <f>J194*Assumptions!$E$36*-1</f>
        <v>-769.58050970772206</v>
      </c>
      <c r="R194" s="5">
        <f>R182+R182*Assumptions!$D$51</f>
        <v>-675.47841429374353</v>
      </c>
      <c r="S194" s="5">
        <f>S182+(S182*Assumptions!$D$51)</f>
        <v>0</v>
      </c>
      <c r="T194" s="5">
        <f t="shared" si="41"/>
        <v>0</v>
      </c>
      <c r="U194" s="22">
        <f t="shared" ref="U194:U257" si="53">SUM(P194:T194)</f>
        <v>-3356.013730110024</v>
      </c>
      <c r="V194" s="5">
        <f>MAX(Assumptions!$E$18:$E$19)-U194</f>
        <v>6197.6467419087203</v>
      </c>
      <c r="W194" s="5">
        <f t="shared" ref="W194:W257" si="54">F194</f>
        <v>0</v>
      </c>
      <c r="X194" s="5">
        <f t="shared" si="42"/>
        <v>-3356.013730110024</v>
      </c>
      <c r="Y194" s="5">
        <f>D194*Assumptions!$D$44*-1</f>
        <v>0</v>
      </c>
      <c r="Z194" s="5">
        <f t="shared" ref="Z194:Z257" si="55">SUM(V194:Y194)</f>
        <v>2841.6330117986963</v>
      </c>
      <c r="AA194" s="5">
        <f t="shared" si="48"/>
        <v>95583.946476962345</v>
      </c>
      <c r="AB194" s="3">
        <f>Assumptions!$E$45</f>
        <v>6.9899151946608562E-3</v>
      </c>
      <c r="AC194" s="5">
        <f t="shared" si="49"/>
        <v>99093.703168606007</v>
      </c>
      <c r="AD194" s="4">
        <f>AC194*Assumptions!$E$43</f>
        <v>88.745892708208814</v>
      </c>
      <c r="AE194" s="2">
        <f>AD194*Assumptions!$D$44*-1</f>
        <v>-13.311883906231321</v>
      </c>
      <c r="AF194" s="2">
        <f>AC194*Assumptions!$E$46*-1</f>
        <v>-3.3025180210432543</v>
      </c>
      <c r="AG194" s="5">
        <f t="shared" si="50"/>
        <v>99077.088766678731</v>
      </c>
      <c r="AH194" s="20">
        <f>Model_30y[[#This Row],[Mortgage Payment]]+Model_30y[[#This Row],[Total Upkeep]]+Model_30y[[#This Row],[Monthly Investment]]</f>
        <v>-4709.860718175576</v>
      </c>
      <c r="AI194" s="5">
        <f>Model_Renter!D194*-1</f>
        <v>4780.4949978570849</v>
      </c>
      <c r="AJ194" s="5">
        <f t="shared" si="43"/>
        <v>70.634279681508815</v>
      </c>
    </row>
    <row r="195" spans="1:36" x14ac:dyDescent="0.25">
      <c r="A195" s="17">
        <f t="shared" si="44"/>
        <v>193</v>
      </c>
      <c r="B195" s="17">
        <f t="shared" ref="B195:B258" si="56">ROUNDUP(A195/12,0)</f>
        <v>17</v>
      </c>
      <c r="C195" s="23">
        <f>IFERROR(PPMT(Assumptions!$E$17, A195, 180, Assumptions!$D$8), 0)</f>
        <v>0</v>
      </c>
      <c r="D195" s="38">
        <f>IFERROR(IPMT(Assumptions!$E$17,A195,180,Assumptions!$D$8), 0)</f>
        <v>0</v>
      </c>
      <c r="E195" s="2">
        <f t="shared" si="45"/>
        <v>0</v>
      </c>
      <c r="F195" s="2">
        <f>IF(I194&gt;1, Assumptions!$E$19, 0)*-1</f>
        <v>0</v>
      </c>
      <c r="G195" s="24">
        <f t="shared" ref="G195:G258" si="57">IF(E195-F195&lt;1, 1, 0)</f>
        <v>1</v>
      </c>
      <c r="H195" s="20">
        <f t="shared" si="46"/>
        <v>339999.99999999988</v>
      </c>
      <c r="I195" s="2">
        <f>MAX(Assumptions!$D$8-SUM(Model_15y!H195), 0)</f>
        <v>1.1641532182693481E-10</v>
      </c>
      <c r="J195" s="2">
        <f>J194*(1+(Assumptions!$E$51))</f>
        <v>931501.3531051618</v>
      </c>
      <c r="K195" s="22">
        <f t="shared" si="52"/>
        <v>931501.35310516169</v>
      </c>
      <c r="L195" s="5">
        <f t="shared" si="47"/>
        <v>425000</v>
      </c>
      <c r="M195" s="63">
        <f>L195/Assumptions!$D$6</f>
        <v>1</v>
      </c>
      <c r="N195" s="24">
        <f t="shared" si="51"/>
        <v>0</v>
      </c>
      <c r="O195" s="22">
        <f>N195*Assumptions!$E$25*-1</f>
        <v>0</v>
      </c>
      <c r="P195" s="5">
        <f>Assumptions!$E$35*J195*-1</f>
        <v>-1918.7402725336024</v>
      </c>
      <c r="Q195" s="5">
        <f>J195*Assumptions!$E$36*-1</f>
        <v>-772.71587596575455</v>
      </c>
      <c r="R195" s="5">
        <f>R183+R183*Assumptions!$D$51</f>
        <v>-709.25233500843069</v>
      </c>
      <c r="S195" s="5">
        <f>S183+(S183*Assumptions!$D$51)</f>
        <v>0</v>
      </c>
      <c r="T195" s="5">
        <f t="shared" ref="T195:T258" si="58">O195</f>
        <v>0</v>
      </c>
      <c r="U195" s="22">
        <f t="shared" si="53"/>
        <v>-3400.7084835077876</v>
      </c>
      <c r="V195" s="5">
        <f>MAX(Assumptions!$E$18:$E$19)-U195</f>
        <v>6242.3414953064839</v>
      </c>
      <c r="W195" s="5">
        <f t="shared" si="54"/>
        <v>0</v>
      </c>
      <c r="X195" s="5">
        <f t="shared" ref="X195:X258" si="59">U195</f>
        <v>-3400.7084835077876</v>
      </c>
      <c r="Y195" s="5">
        <f>D195*Assumptions!$D$44*-1</f>
        <v>0</v>
      </c>
      <c r="Z195" s="5">
        <f t="shared" si="55"/>
        <v>2841.6330117986963</v>
      </c>
      <c r="AA195" s="5">
        <f t="shared" si="48"/>
        <v>99077.088766678731</v>
      </c>
      <c r="AB195" s="3">
        <f>Assumptions!$E$45</f>
        <v>6.9899151946608562E-3</v>
      </c>
      <c r="AC195" s="5">
        <f t="shared" si="49"/>
        <v>102611.26222669039</v>
      </c>
      <c r="AD195" s="4">
        <f>AC195*Assumptions!$E$43</f>
        <v>91.896132418520139</v>
      </c>
      <c r="AE195" s="2">
        <f>AD195*Assumptions!$D$44*-1</f>
        <v>-13.784419862778021</v>
      </c>
      <c r="AF195" s="2">
        <f>AC195*Assumptions!$E$46*-1</f>
        <v>-3.419748498943973</v>
      </c>
      <c r="AG195" s="5">
        <f t="shared" si="50"/>
        <v>102594.05805832866</v>
      </c>
      <c r="AH195" s="20">
        <f>Model_30y[[#This Row],[Mortgage Payment]]+Model_30y[[#This Row],[Total Upkeep]]+Model_30y[[#This Row],[Monthly Investment]]</f>
        <v>-4755.2741384953933</v>
      </c>
      <c r="AI195" s="5">
        <f>Model_Renter!D195*-1</f>
        <v>4959.2855107769401</v>
      </c>
      <c r="AJ195" s="5">
        <f t="shared" ref="AJ195:AJ258" si="60">SUM(AH195:AI195)</f>
        <v>204.01137228154676</v>
      </c>
    </row>
    <row r="196" spans="1:36" x14ac:dyDescent="0.25">
      <c r="A196" s="17">
        <f t="shared" ref="A196:A259" si="61">A195+1</f>
        <v>194</v>
      </c>
      <c r="B196" s="17">
        <f t="shared" si="56"/>
        <v>17</v>
      </c>
      <c r="C196" s="23">
        <f>IFERROR(PPMT(Assumptions!$E$17, A196, 180, Assumptions!$D$8), 0)</f>
        <v>0</v>
      </c>
      <c r="D196" s="38">
        <f>IFERROR(IPMT(Assumptions!$E$17,A196,180,Assumptions!$D$8), 0)</f>
        <v>0</v>
      </c>
      <c r="E196" s="2">
        <f t="shared" ref="E196:E259" si="62">SUM(C196:D196)</f>
        <v>0</v>
      </c>
      <c r="F196" s="2">
        <f>IF(I195&gt;1, Assumptions!$E$19, 0)*-1</f>
        <v>0</v>
      </c>
      <c r="G196" s="24">
        <f t="shared" si="57"/>
        <v>1</v>
      </c>
      <c r="H196" s="20">
        <f t="shared" ref="H196:H259" si="63">H195+C196*-1</f>
        <v>339999.99999999988</v>
      </c>
      <c r="I196" s="2">
        <f>MAX(Assumptions!$D$8-SUM(Model_15y!H196), 0)</f>
        <v>1.1641532182693481E-10</v>
      </c>
      <c r="J196" s="2">
        <f>J195*(1+(Assumptions!$E$51))</f>
        <v>935296.40492234821</v>
      </c>
      <c r="K196" s="22">
        <f t="shared" si="52"/>
        <v>935296.4049223481</v>
      </c>
      <c r="L196" s="5">
        <f t="shared" ref="L196:L259" si="64">L195+C196*-1</f>
        <v>425000</v>
      </c>
      <c r="M196" s="63">
        <f>L196/Assumptions!$D$6</f>
        <v>1</v>
      </c>
      <c r="N196" s="24">
        <f t="shared" si="51"/>
        <v>0</v>
      </c>
      <c r="O196" s="22">
        <f>N196*Assumptions!$E$25*-1</f>
        <v>0</v>
      </c>
      <c r="P196" s="5">
        <f>Assumptions!$E$35*J196*-1</f>
        <v>-1926.5574579125755</v>
      </c>
      <c r="Q196" s="5">
        <f>J196*Assumptions!$E$36*-1</f>
        <v>-775.86401609402935</v>
      </c>
      <c r="R196" s="5">
        <f>R184+R184*Assumptions!$D$51</f>
        <v>-709.25233500843069</v>
      </c>
      <c r="S196" s="5">
        <f>S184+(S184*Assumptions!$D$51)</f>
        <v>0</v>
      </c>
      <c r="T196" s="5">
        <f t="shared" si="58"/>
        <v>0</v>
      </c>
      <c r="U196" s="22">
        <f t="shared" si="53"/>
        <v>-3411.6738090150357</v>
      </c>
      <c r="V196" s="5">
        <f>MAX(Assumptions!$E$18:$E$19)-U196</f>
        <v>6253.306820813732</v>
      </c>
      <c r="W196" s="5">
        <f t="shared" si="54"/>
        <v>0</v>
      </c>
      <c r="X196" s="5">
        <f t="shared" si="59"/>
        <v>-3411.6738090150357</v>
      </c>
      <c r="Y196" s="5">
        <f>D196*Assumptions!$D$44*-1</f>
        <v>0</v>
      </c>
      <c r="Z196" s="5">
        <f t="shared" si="55"/>
        <v>2841.6330117986963</v>
      </c>
      <c r="AA196" s="5">
        <f t="shared" ref="AA196:AA259" si="65">AG195</f>
        <v>102594.05805832866</v>
      </c>
      <c r="AB196" s="3">
        <f>Assumptions!$E$45</f>
        <v>6.9899151946608562E-3</v>
      </c>
      <c r="AC196" s="5">
        <f t="shared" ref="AC196:AC259" si="66">(AA196+Z196)+(AA196*AB196)</f>
        <v>106152.81483543119</v>
      </c>
      <c r="AD196" s="4">
        <f>AC196*Assumptions!$E$43</f>
        <v>95.067860164944292</v>
      </c>
      <c r="AE196" s="2">
        <f>AD196*Assumptions!$D$44*-1</f>
        <v>-14.260179024741644</v>
      </c>
      <c r="AF196" s="2">
        <f>AC196*Assumptions!$E$46*-1</f>
        <v>-3.5377786152767801</v>
      </c>
      <c r="AG196" s="5">
        <f t="shared" ref="AG196:AG259" si="67">AC196+SUM(AE196:AF196)</f>
        <v>106135.01687779116</v>
      </c>
      <c r="AH196" s="20">
        <f>Model_30y[[#This Row],[Mortgage Payment]]+Model_30y[[#This Row],[Total Upkeep]]+Model_30y[[#This Row],[Monthly Investment]]</f>
        <v>-4766.9621554594596</v>
      </c>
      <c r="AI196" s="5">
        <f>Model_Renter!D196*-1</f>
        <v>4959.2855107769401</v>
      </c>
      <c r="AJ196" s="5">
        <f t="shared" si="60"/>
        <v>192.32335531748049</v>
      </c>
    </row>
    <row r="197" spans="1:36" x14ac:dyDescent="0.25">
      <c r="A197" s="17">
        <f t="shared" si="61"/>
        <v>195</v>
      </c>
      <c r="B197" s="17">
        <f t="shared" si="56"/>
        <v>17</v>
      </c>
      <c r="C197" s="23">
        <f>IFERROR(PPMT(Assumptions!$E$17, A197, 180, Assumptions!$D$8), 0)</f>
        <v>0</v>
      </c>
      <c r="D197" s="38">
        <f>IFERROR(IPMT(Assumptions!$E$17,A197,180,Assumptions!$D$8), 0)</f>
        <v>0</v>
      </c>
      <c r="E197" s="2">
        <f t="shared" si="62"/>
        <v>0</v>
      </c>
      <c r="F197" s="2">
        <f>IF(I196&gt;1, Assumptions!$E$19, 0)*-1</f>
        <v>0</v>
      </c>
      <c r="G197" s="24">
        <f t="shared" si="57"/>
        <v>1</v>
      </c>
      <c r="H197" s="20">
        <f t="shared" si="63"/>
        <v>339999.99999999988</v>
      </c>
      <c r="I197" s="2">
        <f>MAX(Assumptions!$D$8-SUM(Model_15y!H197), 0)</f>
        <v>1.1641532182693481E-10</v>
      </c>
      <c r="J197" s="2">
        <f>J196*(1+(Assumptions!$E$51))</f>
        <v>939106.91825040313</v>
      </c>
      <c r="K197" s="22">
        <f t="shared" si="52"/>
        <v>939106.91825040302</v>
      </c>
      <c r="L197" s="5">
        <f t="shared" si="64"/>
        <v>425000</v>
      </c>
      <c r="M197" s="63">
        <f>L197/Assumptions!$D$6</f>
        <v>1</v>
      </c>
      <c r="N197" s="24">
        <f t="shared" si="51"/>
        <v>0</v>
      </c>
      <c r="O197" s="22">
        <f>N197*Assumptions!$E$25*-1</f>
        <v>0</v>
      </c>
      <c r="P197" s="5">
        <f>Assumptions!$E$35*J197*-1</f>
        <v>-1934.4064914724222</v>
      </c>
      <c r="Q197" s="5">
        <f>J197*Assumptions!$E$36*-1</f>
        <v>-779.0249821348749</v>
      </c>
      <c r="R197" s="5">
        <f>R185+R185*Assumptions!$D$51</f>
        <v>-709.25233500843069</v>
      </c>
      <c r="S197" s="5">
        <f>S185+(S185*Assumptions!$D$51)</f>
        <v>0</v>
      </c>
      <c r="T197" s="5">
        <f t="shared" si="58"/>
        <v>0</v>
      </c>
      <c r="U197" s="22">
        <f t="shared" si="53"/>
        <v>-3422.6838086157277</v>
      </c>
      <c r="V197" s="5">
        <f>MAX(Assumptions!$E$18:$E$19)-U197</f>
        <v>6264.316820414424</v>
      </c>
      <c r="W197" s="5">
        <f t="shared" si="54"/>
        <v>0</v>
      </c>
      <c r="X197" s="5">
        <f t="shared" si="59"/>
        <v>-3422.6838086157277</v>
      </c>
      <c r="Y197" s="5">
        <f>D197*Assumptions!$D$44*-1</f>
        <v>0</v>
      </c>
      <c r="Z197" s="5">
        <f t="shared" si="55"/>
        <v>2841.6330117986963</v>
      </c>
      <c r="AA197" s="5">
        <f t="shared" si="65"/>
        <v>106135.01687779116</v>
      </c>
      <c r="AB197" s="3">
        <f>Assumptions!$E$45</f>
        <v>6.9899151946608562E-3</v>
      </c>
      <c r="AC197" s="5">
        <f t="shared" si="66"/>
        <v>109718.52465674952</v>
      </c>
      <c r="AD197" s="4">
        <f>AC197*Assumptions!$E$43</f>
        <v>98.261222519088065</v>
      </c>
      <c r="AE197" s="2">
        <f>AD197*Assumptions!$D$44*-1</f>
        <v>-14.73918337786321</v>
      </c>
      <c r="AF197" s="2">
        <f>AC197*Assumptions!$E$46*-1</f>
        <v>-3.656613824439146</v>
      </c>
      <c r="AG197" s="5">
        <f t="shared" si="67"/>
        <v>109700.12885954721</v>
      </c>
      <c r="AH197" s="20">
        <f>Model_30y[[#This Row],[Mortgage Payment]]+Model_30y[[#This Row],[Total Upkeep]]+Model_30y[[#This Row],[Monthly Investment]]</f>
        <v>-4778.6988935891277</v>
      </c>
      <c r="AI197" s="5">
        <f>Model_Renter!D197*-1</f>
        <v>4959.2855107769401</v>
      </c>
      <c r="AJ197" s="5">
        <f t="shared" si="60"/>
        <v>180.58661718781241</v>
      </c>
    </row>
    <row r="198" spans="1:36" x14ac:dyDescent="0.25">
      <c r="A198" s="17">
        <f t="shared" si="61"/>
        <v>196</v>
      </c>
      <c r="B198" s="17">
        <f t="shared" si="56"/>
        <v>17</v>
      </c>
      <c r="C198" s="23">
        <f>IFERROR(PPMT(Assumptions!$E$17, A198, 180, Assumptions!$D$8), 0)</f>
        <v>0</v>
      </c>
      <c r="D198" s="38">
        <f>IFERROR(IPMT(Assumptions!$E$17,A198,180,Assumptions!$D$8), 0)</f>
        <v>0</v>
      </c>
      <c r="E198" s="2">
        <f t="shared" si="62"/>
        <v>0</v>
      </c>
      <c r="F198" s="2">
        <f>IF(I197&gt;1, Assumptions!$E$19, 0)*-1</f>
        <v>0</v>
      </c>
      <c r="G198" s="24">
        <f t="shared" si="57"/>
        <v>1</v>
      </c>
      <c r="H198" s="20">
        <f t="shared" si="63"/>
        <v>339999.99999999988</v>
      </c>
      <c r="I198" s="2">
        <f>MAX(Assumptions!$D$8-SUM(Model_15y!H198), 0)</f>
        <v>1.1641532182693481E-10</v>
      </c>
      <c r="J198" s="2">
        <f>J197*(1+(Assumptions!$E$51))</f>
        <v>942932.95608143578</v>
      </c>
      <c r="K198" s="22">
        <f t="shared" si="52"/>
        <v>942932.95608143567</v>
      </c>
      <c r="L198" s="5">
        <f t="shared" si="64"/>
        <v>425000</v>
      </c>
      <c r="M198" s="63">
        <f>L198/Assumptions!$D$6</f>
        <v>1</v>
      </c>
      <c r="N198" s="24">
        <f t="shared" si="51"/>
        <v>0</v>
      </c>
      <c r="O198" s="22">
        <f>N198*Assumptions!$E$25*-1</f>
        <v>0</v>
      </c>
      <c r="P198" s="5">
        <f>Assumptions!$E$35*J198*-1</f>
        <v>-1942.2875029665736</v>
      </c>
      <c r="Q198" s="5">
        <f>J198*Assumptions!$E$36*-1</f>
        <v>-782.19882634264684</v>
      </c>
      <c r="R198" s="5">
        <f>R186+R186*Assumptions!$D$51</f>
        <v>-709.25233500843069</v>
      </c>
      <c r="S198" s="5">
        <f>S186+(S186*Assumptions!$D$51)</f>
        <v>0</v>
      </c>
      <c r="T198" s="5">
        <f t="shared" si="58"/>
        <v>0</v>
      </c>
      <c r="U198" s="22">
        <f t="shared" si="53"/>
        <v>-3433.738664317651</v>
      </c>
      <c r="V198" s="5">
        <f>MAX(Assumptions!$E$18:$E$19)-U198</f>
        <v>6275.3716761163478</v>
      </c>
      <c r="W198" s="5">
        <f t="shared" si="54"/>
        <v>0</v>
      </c>
      <c r="X198" s="5">
        <f t="shared" si="59"/>
        <v>-3433.738664317651</v>
      </c>
      <c r="Y198" s="5">
        <f>D198*Assumptions!$D$44*-1</f>
        <v>0</v>
      </c>
      <c r="Z198" s="5">
        <f t="shared" si="55"/>
        <v>2841.6330117986968</v>
      </c>
      <c r="AA198" s="5">
        <f t="shared" si="65"/>
        <v>109700.12885954721</v>
      </c>
      <c r="AB198" s="3">
        <f>Assumptions!$E$45</f>
        <v>6.9899151946608562E-3</v>
      </c>
      <c r="AC198" s="5">
        <f t="shared" si="66"/>
        <v>113308.55646891751</v>
      </c>
      <c r="AD198" s="4">
        <f>AC198*Assumptions!$E$43</f>
        <v>101.47636705233478</v>
      </c>
      <c r="AE198" s="2">
        <f>AD198*Assumptions!$D$44*-1</f>
        <v>-15.221455057850216</v>
      </c>
      <c r="AF198" s="2">
        <f>AC198*Assumptions!$E$46*-1</f>
        <v>-3.7762596180334209</v>
      </c>
      <c r="AG198" s="5">
        <f t="shared" si="67"/>
        <v>113289.55875424162</v>
      </c>
      <c r="AH198" s="20">
        <f>Model_30y[[#This Row],[Mortgage Payment]]+Model_30y[[#This Row],[Total Upkeep]]+Model_30y[[#This Row],[Monthly Investment]]</f>
        <v>-4790.4845575557902</v>
      </c>
      <c r="AI198" s="5">
        <f>Model_Renter!D198*-1</f>
        <v>4959.2855107769401</v>
      </c>
      <c r="AJ198" s="5">
        <f t="shared" si="60"/>
        <v>168.80095322114994</v>
      </c>
    </row>
    <row r="199" spans="1:36" x14ac:dyDescent="0.25">
      <c r="A199" s="17">
        <f t="shared" si="61"/>
        <v>197</v>
      </c>
      <c r="B199" s="17">
        <f t="shared" si="56"/>
        <v>17</v>
      </c>
      <c r="C199" s="23">
        <f>IFERROR(PPMT(Assumptions!$E$17, A199, 180, Assumptions!$D$8), 0)</f>
        <v>0</v>
      </c>
      <c r="D199" s="38">
        <f>IFERROR(IPMT(Assumptions!$E$17,A199,180,Assumptions!$D$8), 0)</f>
        <v>0</v>
      </c>
      <c r="E199" s="2">
        <f t="shared" si="62"/>
        <v>0</v>
      </c>
      <c r="F199" s="2">
        <f>IF(I198&gt;1, Assumptions!$E$19, 0)*-1</f>
        <v>0</v>
      </c>
      <c r="G199" s="24">
        <f t="shared" si="57"/>
        <v>1</v>
      </c>
      <c r="H199" s="20">
        <f t="shared" si="63"/>
        <v>339999.99999999988</v>
      </c>
      <c r="I199" s="2">
        <f>MAX(Assumptions!$D$8-SUM(Model_15y!H199), 0)</f>
        <v>1.1641532182693481E-10</v>
      </c>
      <c r="J199" s="2">
        <f>J198*(1+(Assumptions!$E$51))</f>
        <v>946774.58166419296</v>
      </c>
      <c r="K199" s="22">
        <f t="shared" si="52"/>
        <v>946774.58166419284</v>
      </c>
      <c r="L199" s="5">
        <f t="shared" si="64"/>
        <v>425000</v>
      </c>
      <c r="M199" s="63">
        <f>L199/Assumptions!$D$6</f>
        <v>1</v>
      </c>
      <c r="N199" s="24">
        <f t="shared" si="51"/>
        <v>0</v>
      </c>
      <c r="O199" s="22">
        <f>N199*Assumptions!$E$25*-1</f>
        <v>0</v>
      </c>
      <c r="P199" s="5">
        <f>Assumptions!$E$35*J199*-1</f>
        <v>-1950.2006226770927</v>
      </c>
      <c r="Q199" s="5">
        <f>J199*Assumptions!$E$36*-1</f>
        <v>-785.38560118459122</v>
      </c>
      <c r="R199" s="5">
        <f>R187+R187*Assumptions!$D$51</f>
        <v>-709.25233500843069</v>
      </c>
      <c r="S199" s="5">
        <f>S187+(S187*Assumptions!$D$51)</f>
        <v>0</v>
      </c>
      <c r="T199" s="5">
        <f t="shared" si="58"/>
        <v>0</v>
      </c>
      <c r="U199" s="22">
        <f t="shared" si="53"/>
        <v>-3444.8385588701144</v>
      </c>
      <c r="V199" s="5">
        <f>MAX(Assumptions!$E$18:$E$19)-U199</f>
        <v>6286.4715706688112</v>
      </c>
      <c r="W199" s="5">
        <f t="shared" si="54"/>
        <v>0</v>
      </c>
      <c r="X199" s="5">
        <f t="shared" si="59"/>
        <v>-3444.8385588701144</v>
      </c>
      <c r="Y199" s="5">
        <f>D199*Assumptions!$D$44*-1</f>
        <v>0</v>
      </c>
      <c r="Z199" s="5">
        <f t="shared" si="55"/>
        <v>2841.6330117986968</v>
      </c>
      <c r="AA199" s="5">
        <f t="shared" si="65"/>
        <v>113289.55875424162</v>
      </c>
      <c r="AB199" s="3">
        <f>Assumptions!$E$45</f>
        <v>6.9899151946608562E-3</v>
      </c>
      <c r="AC199" s="5">
        <f t="shared" si="66"/>
        <v>116923.07617417301</v>
      </c>
      <c r="AD199" s="4">
        <f>AC199*Assumptions!$E$43</f>
        <v>104.71344234266398</v>
      </c>
      <c r="AE199" s="2">
        <f>AD199*Assumptions!$D$44*-1</f>
        <v>-15.707016351399597</v>
      </c>
      <c r="AF199" s="2">
        <f>AC199*Assumptions!$E$46*-1</f>
        <v>-3.8967215251206113</v>
      </c>
      <c r="AG199" s="5">
        <f t="shared" si="67"/>
        <v>116903.47243629649</v>
      </c>
      <c r="AH199" s="20">
        <f>Model_30y[[#This Row],[Mortgage Payment]]+Model_30y[[#This Row],[Total Upkeep]]+Model_30y[[#This Row],[Monthly Investment]]</f>
        <v>-4802.3193528992742</v>
      </c>
      <c r="AI199" s="5">
        <f>Model_Renter!D199*-1</f>
        <v>4959.2855107769401</v>
      </c>
      <c r="AJ199" s="5">
        <f t="shared" si="60"/>
        <v>156.96615787766586</v>
      </c>
    </row>
    <row r="200" spans="1:36" x14ac:dyDescent="0.25">
      <c r="A200" s="17">
        <f t="shared" si="61"/>
        <v>198</v>
      </c>
      <c r="B200" s="17">
        <f t="shared" si="56"/>
        <v>17</v>
      </c>
      <c r="C200" s="23">
        <f>IFERROR(PPMT(Assumptions!$E$17, A200, 180, Assumptions!$D$8), 0)</f>
        <v>0</v>
      </c>
      <c r="D200" s="38">
        <f>IFERROR(IPMT(Assumptions!$E$17,A200,180,Assumptions!$D$8), 0)</f>
        <v>0</v>
      </c>
      <c r="E200" s="2">
        <f t="shared" si="62"/>
        <v>0</v>
      </c>
      <c r="F200" s="2">
        <f>IF(I199&gt;1, Assumptions!$E$19, 0)*-1</f>
        <v>0</v>
      </c>
      <c r="G200" s="24">
        <f t="shared" si="57"/>
        <v>1</v>
      </c>
      <c r="H200" s="20">
        <f t="shared" si="63"/>
        <v>339999.99999999988</v>
      </c>
      <c r="I200" s="2">
        <f>MAX(Assumptions!$D$8-SUM(Model_15y!H200), 0)</f>
        <v>1.1641532182693481E-10</v>
      </c>
      <c r="J200" s="2">
        <f>J199*(1+(Assumptions!$E$51))</f>
        <v>950631.85850510478</v>
      </c>
      <c r="K200" s="22">
        <f t="shared" si="52"/>
        <v>950631.85850510467</v>
      </c>
      <c r="L200" s="5">
        <f t="shared" si="64"/>
        <v>425000</v>
      </c>
      <c r="M200" s="63">
        <f>L200/Assumptions!$D$6</f>
        <v>1</v>
      </c>
      <c r="N200" s="24">
        <f t="shared" si="51"/>
        <v>0</v>
      </c>
      <c r="O200" s="22">
        <f>N200*Assumptions!$E$25*-1</f>
        <v>0</v>
      </c>
      <c r="P200" s="5">
        <f>Assumptions!$E$35*J200*-1</f>
        <v>-1958.1459814168272</v>
      </c>
      <c r="Q200" s="5">
        <f>J200*Assumptions!$E$36*-1</f>
        <v>-788.58535934171232</v>
      </c>
      <c r="R200" s="5">
        <f>R188+R188*Assumptions!$D$51</f>
        <v>-709.25233500843069</v>
      </c>
      <c r="S200" s="5">
        <f>S188+(S188*Assumptions!$D$51)</f>
        <v>0</v>
      </c>
      <c r="T200" s="5">
        <f t="shared" si="58"/>
        <v>0</v>
      </c>
      <c r="U200" s="22">
        <f t="shared" si="53"/>
        <v>-3455.9836757669705</v>
      </c>
      <c r="V200" s="5">
        <f>MAX(Assumptions!$E$18:$E$19)-U200</f>
        <v>6297.6166875656672</v>
      </c>
      <c r="W200" s="5">
        <f t="shared" si="54"/>
        <v>0</v>
      </c>
      <c r="X200" s="5">
        <f t="shared" si="59"/>
        <v>-3455.9836757669705</v>
      </c>
      <c r="Y200" s="5">
        <f>D200*Assumptions!$D$44*-1</f>
        <v>0</v>
      </c>
      <c r="Z200" s="5">
        <f t="shared" si="55"/>
        <v>2841.6330117986968</v>
      </c>
      <c r="AA200" s="5">
        <f t="shared" si="65"/>
        <v>116903.47243629649</v>
      </c>
      <c r="AB200" s="3">
        <f>Assumptions!$E$45</f>
        <v>6.9899151946608562E-3</v>
      </c>
      <c r="AC200" s="5">
        <f t="shared" si="66"/>
        <v>120562.25080638628</v>
      </c>
      <c r="AD200" s="4">
        <f>AC200*Assumptions!$E$43</f>
        <v>107.97259798151745</v>
      </c>
      <c r="AE200" s="2">
        <f>AD200*Assumptions!$D$44*-1</f>
        <v>-16.195889697227617</v>
      </c>
      <c r="AF200" s="2">
        <f>AC200*Assumptions!$E$46*-1</f>
        <v>-4.0180051124758904</v>
      </c>
      <c r="AG200" s="5">
        <f t="shared" si="67"/>
        <v>120542.03691157658</v>
      </c>
      <c r="AH200" s="20">
        <f>Model_30y[[#This Row],[Mortgage Payment]]+Model_30y[[#This Row],[Total Upkeep]]+Model_30y[[#This Row],[Monthly Investment]]</f>
        <v>-4814.2034860315807</v>
      </c>
      <c r="AI200" s="5">
        <f>Model_Renter!D200*-1</f>
        <v>4959.2855107769401</v>
      </c>
      <c r="AJ200" s="5">
        <f t="shared" si="60"/>
        <v>145.08202474535938</v>
      </c>
    </row>
    <row r="201" spans="1:36" x14ac:dyDescent="0.25">
      <c r="A201" s="17">
        <f t="shared" si="61"/>
        <v>199</v>
      </c>
      <c r="B201" s="17">
        <f t="shared" si="56"/>
        <v>17</v>
      </c>
      <c r="C201" s="23">
        <f>IFERROR(PPMT(Assumptions!$E$17, A201, 180, Assumptions!$D$8), 0)</f>
        <v>0</v>
      </c>
      <c r="D201" s="38">
        <f>IFERROR(IPMT(Assumptions!$E$17,A201,180,Assumptions!$D$8), 0)</f>
        <v>0</v>
      </c>
      <c r="E201" s="2">
        <f t="shared" si="62"/>
        <v>0</v>
      </c>
      <c r="F201" s="2">
        <f>IF(I200&gt;1, Assumptions!$E$19, 0)*-1</f>
        <v>0</v>
      </c>
      <c r="G201" s="24">
        <f t="shared" si="57"/>
        <v>1</v>
      </c>
      <c r="H201" s="20">
        <f t="shared" si="63"/>
        <v>339999.99999999988</v>
      </c>
      <c r="I201" s="2">
        <f>MAX(Assumptions!$D$8-SUM(Model_15y!H201), 0)</f>
        <v>1.1641532182693481E-10</v>
      </c>
      <c r="J201" s="2">
        <f>J200*(1+(Assumptions!$E$51))</f>
        <v>954504.85036933422</v>
      </c>
      <c r="K201" s="22">
        <f t="shared" si="52"/>
        <v>954504.8503693341</v>
      </c>
      <c r="L201" s="5">
        <f t="shared" si="64"/>
        <v>425000</v>
      </c>
      <c r="M201" s="63">
        <f>L201/Assumptions!$D$6</f>
        <v>1</v>
      </c>
      <c r="N201" s="24">
        <f t="shared" si="51"/>
        <v>0</v>
      </c>
      <c r="O201" s="22">
        <f>N201*Assumptions!$E$25*-1</f>
        <v>0</v>
      </c>
      <c r="P201" s="5">
        <f>Assumptions!$E$35*J201*-1</f>
        <v>-1966.1237105315729</v>
      </c>
      <c r="Q201" s="5">
        <f>J201*Assumptions!$E$36*-1</f>
        <v>-791.7981537096432</v>
      </c>
      <c r="R201" s="5">
        <f>R189+R189*Assumptions!$D$51</f>
        <v>-709.25233500843069</v>
      </c>
      <c r="S201" s="5">
        <f>S189+(S189*Assumptions!$D$51)</f>
        <v>0</v>
      </c>
      <c r="T201" s="5">
        <f t="shared" si="58"/>
        <v>0</v>
      </c>
      <c r="U201" s="22">
        <f t="shared" si="53"/>
        <v>-3467.1741992496468</v>
      </c>
      <c r="V201" s="5">
        <f>MAX(Assumptions!$E$18:$E$19)-U201</f>
        <v>6308.8072110483436</v>
      </c>
      <c r="W201" s="5">
        <f t="shared" si="54"/>
        <v>0</v>
      </c>
      <c r="X201" s="5">
        <f t="shared" si="59"/>
        <v>-3467.1741992496468</v>
      </c>
      <c r="Y201" s="5">
        <f>D201*Assumptions!$D$44*-1</f>
        <v>0</v>
      </c>
      <c r="Z201" s="5">
        <f t="shared" si="55"/>
        <v>2841.6330117986968</v>
      </c>
      <c r="AA201" s="5">
        <f t="shared" si="65"/>
        <v>120542.03691157658</v>
      </c>
      <c r="AB201" s="3">
        <f>Assumptions!$E$45</f>
        <v>6.9899151946608562E-3</v>
      </c>
      <c r="AC201" s="5">
        <f t="shared" si="66"/>
        <v>124226.24853877888</v>
      </c>
      <c r="AD201" s="4">
        <f>AC201*Assumptions!$E$43</f>
        <v>111.25398458071209</v>
      </c>
      <c r="AE201" s="2">
        <f>AD201*Assumptions!$D$44*-1</f>
        <v>-16.688097687106811</v>
      </c>
      <c r="AF201" s="2">
        <f>AC201*Assumptions!$E$46*-1</f>
        <v>-4.1401159848458491</v>
      </c>
      <c r="AG201" s="5">
        <f t="shared" si="67"/>
        <v>124205.42032510693</v>
      </c>
      <c r="AH201" s="20">
        <f>Model_30y[[#This Row],[Mortgage Payment]]+Model_30y[[#This Row],[Total Upkeep]]+Model_30y[[#This Row],[Monthly Investment]]</f>
        <v>-4826.1371642406275</v>
      </c>
      <c r="AI201" s="5">
        <f>Model_Renter!D201*-1</f>
        <v>4959.2855107769401</v>
      </c>
      <c r="AJ201" s="5">
        <f t="shared" si="60"/>
        <v>133.1483465363126</v>
      </c>
    </row>
    <row r="202" spans="1:36" x14ac:dyDescent="0.25">
      <c r="A202" s="17">
        <f t="shared" si="61"/>
        <v>200</v>
      </c>
      <c r="B202" s="17">
        <f t="shared" si="56"/>
        <v>17</v>
      </c>
      <c r="C202" s="23">
        <f>IFERROR(PPMT(Assumptions!$E$17, A202, 180, Assumptions!$D$8), 0)</f>
        <v>0</v>
      </c>
      <c r="D202" s="38">
        <f>IFERROR(IPMT(Assumptions!$E$17,A202,180,Assumptions!$D$8), 0)</f>
        <v>0</v>
      </c>
      <c r="E202" s="2">
        <f t="shared" si="62"/>
        <v>0</v>
      </c>
      <c r="F202" s="2">
        <f>IF(I201&gt;1, Assumptions!$E$19, 0)*-1</f>
        <v>0</v>
      </c>
      <c r="G202" s="24">
        <f t="shared" si="57"/>
        <v>1</v>
      </c>
      <c r="H202" s="20">
        <f t="shared" si="63"/>
        <v>339999.99999999988</v>
      </c>
      <c r="I202" s="2">
        <f>MAX(Assumptions!$D$8-SUM(Model_15y!H202), 0)</f>
        <v>1.1641532182693481E-10</v>
      </c>
      <c r="J202" s="2">
        <f>J201*(1+(Assumptions!$E$51))</f>
        <v>958393.62128183164</v>
      </c>
      <c r="K202" s="22">
        <f t="shared" si="52"/>
        <v>958393.62128183153</v>
      </c>
      <c r="L202" s="5">
        <f t="shared" si="64"/>
        <v>425000</v>
      </c>
      <c r="M202" s="63">
        <f>L202/Assumptions!$D$6</f>
        <v>1</v>
      </c>
      <c r="N202" s="24">
        <f t="shared" si="51"/>
        <v>0</v>
      </c>
      <c r="O202" s="22">
        <f>N202*Assumptions!$E$25*-1</f>
        <v>0</v>
      </c>
      <c r="P202" s="5">
        <f>Assumptions!$E$35*J202*-1</f>
        <v>-1974.1339419022445</v>
      </c>
      <c r="Q202" s="5">
        <f>J202*Assumptions!$E$36*-1</f>
        <v>-795.02403739952058</v>
      </c>
      <c r="R202" s="5">
        <f>R190+R190*Assumptions!$D$51</f>
        <v>-709.25233500843069</v>
      </c>
      <c r="S202" s="5">
        <f>S190+(S190*Assumptions!$D$51)</f>
        <v>0</v>
      </c>
      <c r="T202" s="5">
        <f t="shared" si="58"/>
        <v>0</v>
      </c>
      <c r="U202" s="22">
        <f t="shared" si="53"/>
        <v>-3478.4103143101956</v>
      </c>
      <c r="V202" s="5">
        <f>MAX(Assumptions!$E$18:$E$19)-U202</f>
        <v>6320.0433261088929</v>
      </c>
      <c r="W202" s="5">
        <f t="shared" si="54"/>
        <v>0</v>
      </c>
      <c r="X202" s="5">
        <f t="shared" si="59"/>
        <v>-3478.4103143101956</v>
      </c>
      <c r="Y202" s="5">
        <f>D202*Assumptions!$D$44*-1</f>
        <v>0</v>
      </c>
      <c r="Z202" s="5">
        <f t="shared" si="55"/>
        <v>2841.6330117986972</v>
      </c>
      <c r="AA202" s="5">
        <f t="shared" si="65"/>
        <v>124205.42032510693</v>
      </c>
      <c r="AB202" s="3">
        <f>Assumptions!$E$45</f>
        <v>6.9899151946608562E-3</v>
      </c>
      <c r="AC202" s="5">
        <f t="shared" si="66"/>
        <v>127915.23869169533</v>
      </c>
      <c r="AD202" s="4">
        <f>AC202*Assumptions!$E$43</f>
        <v>114.55775377939997</v>
      </c>
      <c r="AE202" s="2">
        <f>AD202*Assumptions!$D$44*-1</f>
        <v>-17.183663066909997</v>
      </c>
      <c r="AF202" s="2">
        <f>AC202*Assumptions!$E$46*-1</f>
        <v>-4.2630597852074992</v>
      </c>
      <c r="AG202" s="5">
        <f t="shared" si="67"/>
        <v>127893.7919688432</v>
      </c>
      <c r="AH202" s="20">
        <f>Model_30y[[#This Row],[Mortgage Payment]]+Model_30y[[#This Row],[Total Upkeep]]+Model_30y[[#This Row],[Monthly Investment]]</f>
        <v>-4838.1205956940121</v>
      </c>
      <c r="AI202" s="5">
        <f>Model_Renter!D202*-1</f>
        <v>4959.2855107769401</v>
      </c>
      <c r="AJ202" s="5">
        <f t="shared" si="60"/>
        <v>121.16491508292802</v>
      </c>
    </row>
    <row r="203" spans="1:36" x14ac:dyDescent="0.25">
      <c r="A203" s="17">
        <f t="shared" si="61"/>
        <v>201</v>
      </c>
      <c r="B203" s="17">
        <f t="shared" si="56"/>
        <v>17</v>
      </c>
      <c r="C203" s="23">
        <f>IFERROR(PPMT(Assumptions!$E$17, A203, 180, Assumptions!$D$8), 0)</f>
        <v>0</v>
      </c>
      <c r="D203" s="38">
        <f>IFERROR(IPMT(Assumptions!$E$17,A203,180,Assumptions!$D$8), 0)</f>
        <v>0</v>
      </c>
      <c r="E203" s="2">
        <f t="shared" si="62"/>
        <v>0</v>
      </c>
      <c r="F203" s="2">
        <f>IF(I202&gt;1, Assumptions!$E$19, 0)*-1</f>
        <v>0</v>
      </c>
      <c r="G203" s="24">
        <f t="shared" si="57"/>
        <v>1</v>
      </c>
      <c r="H203" s="20">
        <f t="shared" si="63"/>
        <v>339999.99999999988</v>
      </c>
      <c r="I203" s="2">
        <f>MAX(Assumptions!$D$8-SUM(Model_15y!H203), 0)</f>
        <v>1.1641532182693481E-10</v>
      </c>
      <c r="J203" s="2">
        <f>J202*(1+(Assumptions!$E$51))</f>
        <v>962298.23552839283</v>
      </c>
      <c r="K203" s="22">
        <f t="shared" si="52"/>
        <v>962298.23552839272</v>
      </c>
      <c r="L203" s="5">
        <f t="shared" si="64"/>
        <v>425000</v>
      </c>
      <c r="M203" s="63">
        <f>L203/Assumptions!$D$6</f>
        <v>1</v>
      </c>
      <c r="N203" s="24">
        <f t="shared" si="51"/>
        <v>0</v>
      </c>
      <c r="O203" s="22">
        <f>N203*Assumptions!$E$25*-1</f>
        <v>0</v>
      </c>
      <c r="P203" s="5">
        <f>Assumptions!$E$35*J203*-1</f>
        <v>-1982.176807947056</v>
      </c>
      <c r="Q203" s="5">
        <f>J203*Assumptions!$E$36*-1</f>
        <v>-798.26306373886212</v>
      </c>
      <c r="R203" s="5">
        <f>R191+R191*Assumptions!$D$51</f>
        <v>-709.25233500843069</v>
      </c>
      <c r="S203" s="5">
        <f>S191+(S191*Assumptions!$D$51)</f>
        <v>0</v>
      </c>
      <c r="T203" s="5">
        <f t="shared" si="58"/>
        <v>0</v>
      </c>
      <c r="U203" s="22">
        <f t="shared" si="53"/>
        <v>-3489.6922066943489</v>
      </c>
      <c r="V203" s="5">
        <f>MAX(Assumptions!$E$18:$E$19)-U203</f>
        <v>6331.3252184930461</v>
      </c>
      <c r="W203" s="5">
        <f t="shared" si="54"/>
        <v>0</v>
      </c>
      <c r="X203" s="5">
        <f t="shared" si="59"/>
        <v>-3489.6922066943489</v>
      </c>
      <c r="Y203" s="5">
        <f>D203*Assumptions!$D$44*-1</f>
        <v>0</v>
      </c>
      <c r="Z203" s="5">
        <f t="shared" si="55"/>
        <v>2841.6330117986972</v>
      </c>
      <c r="AA203" s="5">
        <f t="shared" si="65"/>
        <v>127893.7919688432</v>
      </c>
      <c r="AB203" s="3">
        <f>Assumptions!$E$45</f>
        <v>6.9899151946608562E-3</v>
      </c>
      <c r="AC203" s="5">
        <f t="shared" si="66"/>
        <v>131629.3917404277</v>
      </c>
      <c r="AD203" s="4">
        <f>AC203*Assumptions!$E$43</f>
        <v>117.884058251076</v>
      </c>
      <c r="AE203" s="2">
        <f>AD203*Assumptions!$D$44*-1</f>
        <v>-17.682608737661401</v>
      </c>
      <c r="AF203" s="2">
        <f>AC203*Assumptions!$E$46*-1</f>
        <v>-4.3868421950290486</v>
      </c>
      <c r="AG203" s="5">
        <f t="shared" si="67"/>
        <v>131607.322289495</v>
      </c>
      <c r="AH203" s="20">
        <f>Model_30y[[#This Row],[Mortgage Payment]]+Model_30y[[#This Row],[Total Upkeep]]+Model_30y[[#This Row],[Monthly Investment]]</f>
        <v>-4850.1539894428024</v>
      </c>
      <c r="AI203" s="5">
        <f>Model_Renter!D203*-1</f>
        <v>4959.2855107769401</v>
      </c>
      <c r="AJ203" s="5">
        <f t="shared" si="60"/>
        <v>109.13152133413769</v>
      </c>
    </row>
    <row r="204" spans="1:36" x14ac:dyDescent="0.25">
      <c r="A204" s="17">
        <f t="shared" si="61"/>
        <v>202</v>
      </c>
      <c r="B204" s="17">
        <f t="shared" si="56"/>
        <v>17</v>
      </c>
      <c r="C204" s="23">
        <f>IFERROR(PPMT(Assumptions!$E$17, A204, 180, Assumptions!$D$8), 0)</f>
        <v>0</v>
      </c>
      <c r="D204" s="38">
        <f>IFERROR(IPMT(Assumptions!$E$17,A204,180,Assumptions!$D$8), 0)</f>
        <v>0</v>
      </c>
      <c r="E204" s="2">
        <f t="shared" si="62"/>
        <v>0</v>
      </c>
      <c r="F204" s="2">
        <f>IF(I203&gt;1, Assumptions!$E$19, 0)*-1</f>
        <v>0</v>
      </c>
      <c r="G204" s="24">
        <f t="shared" si="57"/>
        <v>1</v>
      </c>
      <c r="H204" s="20">
        <f t="shared" si="63"/>
        <v>339999.99999999988</v>
      </c>
      <c r="I204" s="2">
        <f>MAX(Assumptions!$D$8-SUM(Model_15y!H204), 0)</f>
        <v>1.1641532182693481E-10</v>
      </c>
      <c r="J204" s="2">
        <f>J203*(1+(Assumptions!$E$51))</f>
        <v>966218.75765672186</v>
      </c>
      <c r="K204" s="22">
        <f t="shared" si="52"/>
        <v>966218.75765672175</v>
      </c>
      <c r="L204" s="5">
        <f t="shared" si="64"/>
        <v>425000</v>
      </c>
      <c r="M204" s="63">
        <f>L204/Assumptions!$D$6</f>
        <v>1</v>
      </c>
      <c r="N204" s="24">
        <f t="shared" si="51"/>
        <v>0</v>
      </c>
      <c r="O204" s="22">
        <f>N204*Assumptions!$E$25*-1</f>
        <v>0</v>
      </c>
      <c r="P204" s="5">
        <f>Assumptions!$E$35*J204*-1</f>
        <v>-1990.252441623709</v>
      </c>
      <c r="Q204" s="5">
        <f>J204*Assumptions!$E$36*-1</f>
        <v>-801.51528627244852</v>
      </c>
      <c r="R204" s="5">
        <f>R192+R192*Assumptions!$D$51</f>
        <v>-709.25233500843069</v>
      </c>
      <c r="S204" s="5">
        <f>S192+(S192*Assumptions!$D$51)</f>
        <v>0</v>
      </c>
      <c r="T204" s="5">
        <f t="shared" si="58"/>
        <v>0</v>
      </c>
      <c r="U204" s="22">
        <f t="shared" si="53"/>
        <v>-3501.020062904588</v>
      </c>
      <c r="V204" s="5">
        <f>MAX(Assumptions!$E$18:$E$19)-U204</f>
        <v>6342.6530747032848</v>
      </c>
      <c r="W204" s="5">
        <f t="shared" si="54"/>
        <v>0</v>
      </c>
      <c r="X204" s="5">
        <f t="shared" si="59"/>
        <v>-3501.020062904588</v>
      </c>
      <c r="Y204" s="5">
        <f>D204*Assumptions!$D$44*-1</f>
        <v>0</v>
      </c>
      <c r="Z204" s="5">
        <f t="shared" si="55"/>
        <v>2841.6330117986968</v>
      </c>
      <c r="AA204" s="5">
        <f t="shared" si="65"/>
        <v>131607.322289495</v>
      </c>
      <c r="AB204" s="3">
        <f>Assumptions!$E$45</f>
        <v>6.9899151946608562E-3</v>
      </c>
      <c r="AC204" s="5">
        <f t="shared" si="66"/>
        <v>135368.87932309366</v>
      </c>
      <c r="AD204" s="4">
        <f>AC204*Assumptions!$E$43</f>
        <v>121.23305171063308</v>
      </c>
      <c r="AE204" s="2">
        <f>AD204*Assumptions!$D$44*-1</f>
        <v>-18.184957756594962</v>
      </c>
      <c r="AF204" s="2">
        <f>AC204*Assumptions!$E$46*-1</f>
        <v>-4.5114689345324557</v>
      </c>
      <c r="AG204" s="5">
        <f t="shared" si="67"/>
        <v>135346.18289640252</v>
      </c>
      <c r="AH204" s="20">
        <f>Model_30y[[#This Row],[Mortgage Payment]]+Model_30y[[#This Row],[Total Upkeep]]+Model_30y[[#This Row],[Monthly Investment]]</f>
        <v>-4862.2375554253204</v>
      </c>
      <c r="AI204" s="5">
        <f>Model_Renter!D204*-1</f>
        <v>4959.2855107769401</v>
      </c>
      <c r="AJ204" s="5">
        <f t="shared" si="60"/>
        <v>97.047955351619748</v>
      </c>
    </row>
    <row r="205" spans="1:36" x14ac:dyDescent="0.25">
      <c r="A205" s="17">
        <f t="shared" si="61"/>
        <v>203</v>
      </c>
      <c r="B205" s="17">
        <f t="shared" si="56"/>
        <v>17</v>
      </c>
      <c r="C205" s="23">
        <f>IFERROR(PPMT(Assumptions!$E$17, A205, 180, Assumptions!$D$8), 0)</f>
        <v>0</v>
      </c>
      <c r="D205" s="38">
        <f>IFERROR(IPMT(Assumptions!$E$17,A205,180,Assumptions!$D$8), 0)</f>
        <v>0</v>
      </c>
      <c r="E205" s="2">
        <f t="shared" si="62"/>
        <v>0</v>
      </c>
      <c r="F205" s="2">
        <f>IF(I204&gt;1, Assumptions!$E$19, 0)*-1</f>
        <v>0</v>
      </c>
      <c r="G205" s="24">
        <f t="shared" si="57"/>
        <v>1</v>
      </c>
      <c r="H205" s="20">
        <f t="shared" si="63"/>
        <v>339999.99999999988</v>
      </c>
      <c r="I205" s="2">
        <f>MAX(Assumptions!$D$8-SUM(Model_15y!H205), 0)</f>
        <v>1.1641532182693481E-10</v>
      </c>
      <c r="J205" s="2">
        <f>J204*(1+(Assumptions!$E$51))</f>
        <v>970155.25247749826</v>
      </c>
      <c r="K205" s="22">
        <f t="shared" si="52"/>
        <v>970155.25247749814</v>
      </c>
      <c r="L205" s="5">
        <f t="shared" si="64"/>
        <v>425000</v>
      </c>
      <c r="M205" s="63">
        <f>L205/Assumptions!$D$6</f>
        <v>1</v>
      </c>
      <c r="N205" s="24">
        <f t="shared" si="51"/>
        <v>0</v>
      </c>
      <c r="O205" s="22">
        <f>N205*Assumptions!$E$25*-1</f>
        <v>0</v>
      </c>
      <c r="P205" s="5">
        <f>Assumptions!$E$35*J205*-1</f>
        <v>-1998.3609764315925</v>
      </c>
      <c r="Q205" s="5">
        <f>J205*Assumptions!$E$36*-1</f>
        <v>-804.78075876320884</v>
      </c>
      <c r="R205" s="5">
        <f>R193+R193*Assumptions!$D$51</f>
        <v>-709.25233500843069</v>
      </c>
      <c r="S205" s="5">
        <f>S193+(S193*Assumptions!$D$51)</f>
        <v>0</v>
      </c>
      <c r="T205" s="5">
        <f t="shared" si="58"/>
        <v>0</v>
      </c>
      <c r="U205" s="22">
        <f t="shared" si="53"/>
        <v>-3512.3940702032319</v>
      </c>
      <c r="V205" s="5">
        <f>MAX(Assumptions!$E$18:$E$19)-U205</f>
        <v>6354.0270820019286</v>
      </c>
      <c r="W205" s="5">
        <f t="shared" si="54"/>
        <v>0</v>
      </c>
      <c r="X205" s="5">
        <f t="shared" si="59"/>
        <v>-3512.3940702032319</v>
      </c>
      <c r="Y205" s="5">
        <f>D205*Assumptions!$D$44*-1</f>
        <v>0</v>
      </c>
      <c r="Z205" s="5">
        <f t="shared" si="55"/>
        <v>2841.6330117986968</v>
      </c>
      <c r="AA205" s="5">
        <f t="shared" si="65"/>
        <v>135346.18289640252</v>
      </c>
      <c r="AB205" s="3">
        <f>Assumptions!$E$45</f>
        <v>6.9899151946608562E-3</v>
      </c>
      <c r="AC205" s="5">
        <f t="shared" si="66"/>
        <v>139133.87424856811</v>
      </c>
      <c r="AD205" s="4">
        <f>AC205*Assumptions!$E$43</f>
        <v>124.60488892146569</v>
      </c>
      <c r="AE205" s="2">
        <f>AD205*Assumptions!$D$44*-1</f>
        <v>-18.690733338219854</v>
      </c>
      <c r="AF205" s="2">
        <f>AC205*Assumptions!$E$46*-1</f>
        <v>-4.6369457629577662</v>
      </c>
      <c r="AG205" s="5">
        <f t="shared" si="67"/>
        <v>139110.54656946694</v>
      </c>
      <c r="AH205" s="20">
        <f>Model_30y[[#This Row],[Mortgage Payment]]+Model_30y[[#This Row],[Total Upkeep]]+Model_30y[[#This Row],[Monthly Investment]]</f>
        <v>-4874.3715044709679</v>
      </c>
      <c r="AI205" s="5">
        <f>Model_Renter!D205*-1</f>
        <v>4959.2855107769401</v>
      </c>
      <c r="AJ205" s="5">
        <f t="shared" si="60"/>
        <v>84.91400630597218</v>
      </c>
    </row>
    <row r="206" spans="1:36" x14ac:dyDescent="0.25">
      <c r="A206" s="17">
        <f t="shared" si="61"/>
        <v>204</v>
      </c>
      <c r="B206" s="17">
        <f t="shared" si="56"/>
        <v>17</v>
      </c>
      <c r="C206" s="23">
        <f>IFERROR(PPMT(Assumptions!$E$17, A206, 180, Assumptions!$D$8), 0)</f>
        <v>0</v>
      </c>
      <c r="D206" s="38">
        <f>IFERROR(IPMT(Assumptions!$E$17,A206,180,Assumptions!$D$8), 0)</f>
        <v>0</v>
      </c>
      <c r="E206" s="2">
        <f t="shared" si="62"/>
        <v>0</v>
      </c>
      <c r="F206" s="2">
        <f>IF(I205&gt;1, Assumptions!$E$19, 0)*-1</f>
        <v>0</v>
      </c>
      <c r="G206" s="24">
        <f t="shared" si="57"/>
        <v>1</v>
      </c>
      <c r="H206" s="20">
        <f t="shared" si="63"/>
        <v>339999.99999999988</v>
      </c>
      <c r="I206" s="2">
        <f>MAX(Assumptions!$D$8-SUM(Model_15y!H206), 0)</f>
        <v>1.1641532182693481E-10</v>
      </c>
      <c r="J206" s="2">
        <f>J205*(1+(Assumptions!$E$51))</f>
        <v>974107.78506544826</v>
      </c>
      <c r="K206" s="22">
        <f t="shared" si="52"/>
        <v>974107.78506544814</v>
      </c>
      <c r="L206" s="5">
        <f t="shared" si="64"/>
        <v>425000</v>
      </c>
      <c r="M206" s="63">
        <f>L206/Assumptions!$D$6</f>
        <v>1</v>
      </c>
      <c r="N206" s="24">
        <f t="shared" si="51"/>
        <v>0</v>
      </c>
      <c r="O206" s="22">
        <f>N206*Assumptions!$E$25*-1</f>
        <v>0</v>
      </c>
      <c r="P206" s="5">
        <f>Assumptions!$E$35*J206*-1</f>
        <v>-2006.5025464139871</v>
      </c>
      <c r="Q206" s="5">
        <f>J206*Assumptions!$E$36*-1</f>
        <v>-808.05953519310856</v>
      </c>
      <c r="R206" s="5">
        <f>R194+R194*Assumptions!$D$51</f>
        <v>-709.25233500843069</v>
      </c>
      <c r="S206" s="5">
        <f>S194+(S194*Assumptions!$D$51)</f>
        <v>0</v>
      </c>
      <c r="T206" s="5">
        <f t="shared" si="58"/>
        <v>0</v>
      </c>
      <c r="U206" s="22">
        <f t="shared" si="53"/>
        <v>-3523.8144166155266</v>
      </c>
      <c r="V206" s="5">
        <f>MAX(Assumptions!$E$18:$E$19)-U206</f>
        <v>6365.4474284142234</v>
      </c>
      <c r="W206" s="5">
        <f t="shared" si="54"/>
        <v>0</v>
      </c>
      <c r="X206" s="5">
        <f t="shared" si="59"/>
        <v>-3523.8144166155266</v>
      </c>
      <c r="Y206" s="5">
        <f>D206*Assumptions!$D$44*-1</f>
        <v>0</v>
      </c>
      <c r="Z206" s="5">
        <f t="shared" si="55"/>
        <v>2841.6330117986968</v>
      </c>
      <c r="AA206" s="5">
        <f t="shared" si="65"/>
        <v>139110.54656946694</v>
      </c>
      <c r="AB206" s="3">
        <f>Assumptions!$E$45</f>
        <v>6.9899151946608562E-3</v>
      </c>
      <c r="AC206" s="5">
        <f t="shared" si="66"/>
        <v>142924.55050446914</v>
      </c>
      <c r="AD206" s="4">
        <f>AC206*Assumptions!$E$43</f>
        <v>127.99972570262177</v>
      </c>
      <c r="AE206" s="2">
        <f>AD206*Assumptions!$D$44*-1</f>
        <v>-19.199958855393266</v>
      </c>
      <c r="AF206" s="2">
        <f>AC206*Assumptions!$E$46*-1</f>
        <v>-4.7632784788292621</v>
      </c>
      <c r="AG206" s="5">
        <f t="shared" si="67"/>
        <v>142900.58726713492</v>
      </c>
      <c r="AH206" s="20">
        <f>Model_30y[[#This Row],[Mortgage Payment]]+Model_30y[[#This Row],[Total Upkeep]]+Model_30y[[#This Row],[Monthly Investment]]</f>
        <v>-4886.556048304049</v>
      </c>
      <c r="AI206" s="5">
        <f>Model_Renter!D206*-1</f>
        <v>4959.2855107769401</v>
      </c>
      <c r="AJ206" s="5">
        <f t="shared" si="60"/>
        <v>72.7294624728911</v>
      </c>
    </row>
    <row r="207" spans="1:36" x14ac:dyDescent="0.25">
      <c r="A207" s="17">
        <f t="shared" si="61"/>
        <v>205</v>
      </c>
      <c r="B207" s="17">
        <f t="shared" si="56"/>
        <v>18</v>
      </c>
      <c r="C207" s="23">
        <f>IFERROR(PPMT(Assumptions!$E$17, A207, 180, Assumptions!$D$8), 0)</f>
        <v>0</v>
      </c>
      <c r="D207" s="38">
        <f>IFERROR(IPMT(Assumptions!$E$17,A207,180,Assumptions!$D$8), 0)</f>
        <v>0</v>
      </c>
      <c r="E207" s="2">
        <f t="shared" si="62"/>
        <v>0</v>
      </c>
      <c r="F207" s="2">
        <f>IF(I206&gt;1, Assumptions!$E$19, 0)*-1</f>
        <v>0</v>
      </c>
      <c r="G207" s="24">
        <f t="shared" si="57"/>
        <v>1</v>
      </c>
      <c r="H207" s="20">
        <f t="shared" si="63"/>
        <v>339999.99999999988</v>
      </c>
      <c r="I207" s="2">
        <f>MAX(Assumptions!$D$8-SUM(Model_15y!H207), 0)</f>
        <v>1.1641532182693481E-10</v>
      </c>
      <c r="J207" s="2">
        <f>J206*(1+(Assumptions!$E$51))</f>
        <v>978076.42076042038</v>
      </c>
      <c r="K207" s="22">
        <f t="shared" si="52"/>
        <v>978076.42076042027</v>
      </c>
      <c r="L207" s="5">
        <f t="shared" si="64"/>
        <v>425000</v>
      </c>
      <c r="M207" s="63">
        <f>L207/Assumptions!$D$6</f>
        <v>1</v>
      </c>
      <c r="N207" s="24">
        <f t="shared" si="51"/>
        <v>0</v>
      </c>
      <c r="O207" s="22">
        <f>N207*Assumptions!$E$25*-1</f>
        <v>0</v>
      </c>
      <c r="P207" s="5">
        <f>Assumptions!$E$35*J207*-1</f>
        <v>-2014.6772861602833</v>
      </c>
      <c r="Q207" s="5">
        <f>J207*Assumptions!$E$36*-1</f>
        <v>-811.35166976404264</v>
      </c>
      <c r="R207" s="5">
        <f>R195+R195*Assumptions!$D$51</f>
        <v>-744.71495175885218</v>
      </c>
      <c r="S207" s="5">
        <f>S195+(S195*Assumptions!$D$51)</f>
        <v>0</v>
      </c>
      <c r="T207" s="5">
        <f t="shared" si="58"/>
        <v>0</v>
      </c>
      <c r="U207" s="22">
        <f t="shared" si="53"/>
        <v>-3570.7439076831783</v>
      </c>
      <c r="V207" s="5">
        <f>MAX(Assumptions!$E$18:$E$19)-U207</f>
        <v>6412.3769194818751</v>
      </c>
      <c r="W207" s="5">
        <f t="shared" si="54"/>
        <v>0</v>
      </c>
      <c r="X207" s="5">
        <f t="shared" si="59"/>
        <v>-3570.7439076831783</v>
      </c>
      <c r="Y207" s="5">
        <f>D207*Assumptions!$D$44*-1</f>
        <v>0</v>
      </c>
      <c r="Z207" s="5">
        <f t="shared" si="55"/>
        <v>2841.6330117986968</v>
      </c>
      <c r="AA207" s="5">
        <f t="shared" si="65"/>
        <v>142900.58726713492</v>
      </c>
      <c r="AB207" s="3">
        <f>Assumptions!$E$45</f>
        <v>6.9899151946608562E-3</v>
      </c>
      <c r="AC207" s="5">
        <f t="shared" si="66"/>
        <v>146741.08326519813</v>
      </c>
      <c r="AD207" s="4">
        <f>AC207*Assumptions!$E$43</f>
        <v>131.41771893600335</v>
      </c>
      <c r="AE207" s="2">
        <f>AD207*Assumptions!$D$44*-1</f>
        <v>-19.712657840400503</v>
      </c>
      <c r="AF207" s="2">
        <f>AC207*Assumptions!$E$46*-1</f>
        <v>-4.8904729202234218</v>
      </c>
      <c r="AG207" s="5">
        <f t="shared" si="67"/>
        <v>146716.4801344375</v>
      </c>
      <c r="AH207" s="20">
        <f>Model_30y[[#This Row],[Mortgage Payment]]+Model_30y[[#This Row],[Total Upkeep]]+Model_30y[[#This Row],[Monthly Investment]]</f>
        <v>-4934.2540162980449</v>
      </c>
      <c r="AI207" s="5">
        <f>Model_Renter!D207*-1</f>
        <v>5144.762788879998</v>
      </c>
      <c r="AJ207" s="5">
        <f t="shared" si="60"/>
        <v>210.50877258195305</v>
      </c>
    </row>
    <row r="208" spans="1:36" x14ac:dyDescent="0.25">
      <c r="A208" s="17">
        <f t="shared" si="61"/>
        <v>206</v>
      </c>
      <c r="B208" s="17">
        <f t="shared" si="56"/>
        <v>18</v>
      </c>
      <c r="C208" s="23">
        <f>IFERROR(PPMT(Assumptions!$E$17, A208, 180, Assumptions!$D$8), 0)</f>
        <v>0</v>
      </c>
      <c r="D208" s="38">
        <f>IFERROR(IPMT(Assumptions!$E$17,A208,180,Assumptions!$D$8), 0)</f>
        <v>0</v>
      </c>
      <c r="E208" s="2">
        <f t="shared" si="62"/>
        <v>0</v>
      </c>
      <c r="F208" s="2">
        <f>IF(I207&gt;1, Assumptions!$E$19, 0)*-1</f>
        <v>0</v>
      </c>
      <c r="G208" s="24">
        <f t="shared" si="57"/>
        <v>1</v>
      </c>
      <c r="H208" s="20">
        <f t="shared" si="63"/>
        <v>339999.99999999988</v>
      </c>
      <c r="I208" s="2">
        <f>MAX(Assumptions!$D$8-SUM(Model_15y!H208), 0)</f>
        <v>1.1641532182693481E-10</v>
      </c>
      <c r="J208" s="2">
        <f>J207*(1+(Assumptions!$E$51))</f>
        <v>982061.2251684661</v>
      </c>
      <c r="K208" s="22">
        <f t="shared" si="52"/>
        <v>982061.22516846599</v>
      </c>
      <c r="L208" s="5">
        <f t="shared" si="64"/>
        <v>425000</v>
      </c>
      <c r="M208" s="63">
        <f>L208/Assumptions!$D$6</f>
        <v>1</v>
      </c>
      <c r="N208" s="24">
        <f t="shared" si="51"/>
        <v>0</v>
      </c>
      <c r="O208" s="22">
        <f>N208*Assumptions!$E$25*-1</f>
        <v>0</v>
      </c>
      <c r="P208" s="5">
        <f>Assumptions!$E$35*J208*-1</f>
        <v>-2022.8853308082053</v>
      </c>
      <c r="Q208" s="5">
        <f>J208*Assumptions!$E$36*-1</f>
        <v>-814.65721689873124</v>
      </c>
      <c r="R208" s="5">
        <f>R196+R196*Assumptions!$D$51</f>
        <v>-744.71495175885218</v>
      </c>
      <c r="S208" s="5">
        <f>S196+(S196*Assumptions!$D$51)</f>
        <v>0</v>
      </c>
      <c r="T208" s="5">
        <f t="shared" si="58"/>
        <v>0</v>
      </c>
      <c r="U208" s="22">
        <f t="shared" si="53"/>
        <v>-3582.2574994657889</v>
      </c>
      <c r="V208" s="5">
        <f>MAX(Assumptions!$E$18:$E$19)-U208</f>
        <v>6423.8905112644861</v>
      </c>
      <c r="W208" s="5">
        <f t="shared" si="54"/>
        <v>0</v>
      </c>
      <c r="X208" s="5">
        <f t="shared" si="59"/>
        <v>-3582.2574994657889</v>
      </c>
      <c r="Y208" s="5">
        <f>D208*Assumptions!$D$44*-1</f>
        <v>0</v>
      </c>
      <c r="Z208" s="5">
        <f t="shared" si="55"/>
        <v>2841.6330117986972</v>
      </c>
      <c r="AA208" s="5">
        <f t="shared" si="65"/>
        <v>146716.4801344375</v>
      </c>
      <c r="AB208" s="3">
        <f>Assumptions!$E$45</f>
        <v>6.9899151946608562E-3</v>
      </c>
      <c r="AC208" s="5">
        <f t="shared" si="66"/>
        <v>150583.64890003507</v>
      </c>
      <c r="AD208" s="4">
        <f>AC208*Assumptions!$E$43</f>
        <v>134.85902657361646</v>
      </c>
      <c r="AE208" s="2">
        <f>AD208*Assumptions!$D$44*-1</f>
        <v>-20.22885398604247</v>
      </c>
      <c r="AF208" s="2">
        <f>AC208*Assumptions!$E$46*-1</f>
        <v>-5.0185349650387057</v>
      </c>
      <c r="AG208" s="5">
        <f t="shared" si="67"/>
        <v>150558.401511084</v>
      </c>
      <c r="AH208" s="20">
        <f>Model_30y[[#This Row],[Mortgage Payment]]+Model_30y[[#This Row],[Total Upkeep]]+Model_30y[[#This Row],[Monthly Investment]]</f>
        <v>-4946.5403884777852</v>
      </c>
      <c r="AI208" s="5">
        <f>Model_Renter!D208*-1</f>
        <v>5144.762788879998</v>
      </c>
      <c r="AJ208" s="5">
        <f t="shared" si="60"/>
        <v>198.22240040221277</v>
      </c>
    </row>
    <row r="209" spans="1:36" x14ac:dyDescent="0.25">
      <c r="A209" s="17">
        <f t="shared" si="61"/>
        <v>207</v>
      </c>
      <c r="B209" s="17">
        <f t="shared" si="56"/>
        <v>18</v>
      </c>
      <c r="C209" s="23">
        <f>IFERROR(PPMT(Assumptions!$E$17, A209, 180, Assumptions!$D$8), 0)</f>
        <v>0</v>
      </c>
      <c r="D209" s="38">
        <f>IFERROR(IPMT(Assumptions!$E$17,A209,180,Assumptions!$D$8), 0)</f>
        <v>0</v>
      </c>
      <c r="E209" s="2">
        <f t="shared" si="62"/>
        <v>0</v>
      </c>
      <c r="F209" s="2">
        <f>IF(I208&gt;1, Assumptions!$E$19, 0)*-1</f>
        <v>0</v>
      </c>
      <c r="G209" s="24">
        <f t="shared" si="57"/>
        <v>1</v>
      </c>
      <c r="H209" s="20">
        <f t="shared" si="63"/>
        <v>339999.99999999988</v>
      </c>
      <c r="I209" s="2">
        <f>MAX(Assumptions!$D$8-SUM(Model_15y!H209), 0)</f>
        <v>1.1641532182693481E-10</v>
      </c>
      <c r="J209" s="2">
        <f>J208*(1+(Assumptions!$E$51))</f>
        <v>986062.26416292379</v>
      </c>
      <c r="K209" s="22">
        <f t="shared" si="52"/>
        <v>986062.26416292368</v>
      </c>
      <c r="L209" s="5">
        <f t="shared" si="64"/>
        <v>425000</v>
      </c>
      <c r="M209" s="63">
        <f>L209/Assumptions!$D$6</f>
        <v>1</v>
      </c>
      <c r="N209" s="24">
        <f t="shared" si="51"/>
        <v>0</v>
      </c>
      <c r="O209" s="22">
        <f>N209*Assumptions!$E$25*-1</f>
        <v>0</v>
      </c>
      <c r="P209" s="5">
        <f>Assumptions!$E$35*J209*-1</f>
        <v>-2031.1268160460443</v>
      </c>
      <c r="Q209" s="5">
        <f>J209*Assumptions!$E$36*-1</f>
        <v>-817.97623124161908</v>
      </c>
      <c r="R209" s="5">
        <f>R197+R197*Assumptions!$D$51</f>
        <v>-744.71495175885218</v>
      </c>
      <c r="S209" s="5">
        <f>S197+(S197*Assumptions!$D$51)</f>
        <v>0</v>
      </c>
      <c r="T209" s="5">
        <f t="shared" si="58"/>
        <v>0</v>
      </c>
      <c r="U209" s="22">
        <f t="shared" si="53"/>
        <v>-3593.8179990465155</v>
      </c>
      <c r="V209" s="5">
        <f>MAX(Assumptions!$E$18:$E$19)-U209</f>
        <v>6435.4510108452123</v>
      </c>
      <c r="W209" s="5">
        <f t="shared" si="54"/>
        <v>0</v>
      </c>
      <c r="X209" s="5">
        <f t="shared" si="59"/>
        <v>-3593.8179990465155</v>
      </c>
      <c r="Y209" s="5">
        <f>D209*Assumptions!$D$44*-1</f>
        <v>0</v>
      </c>
      <c r="Z209" s="5">
        <f t="shared" si="55"/>
        <v>2841.6330117986968</v>
      </c>
      <c r="AA209" s="5">
        <f t="shared" si="65"/>
        <v>150558.401511084</v>
      </c>
      <c r="AB209" s="3">
        <f>Assumptions!$E$45</f>
        <v>6.9899151946608562E-3</v>
      </c>
      <c r="AC209" s="5">
        <f t="shared" si="66"/>
        <v>154452.42498128887</v>
      </c>
      <c r="AD209" s="4">
        <f>AC209*Assumptions!$E$43</f>
        <v>138.32380764487033</v>
      </c>
      <c r="AE209" s="2">
        <f>AD209*Assumptions!$D$44*-1</f>
        <v>-20.748571146730548</v>
      </c>
      <c r="AF209" s="2">
        <f>AC209*Assumptions!$E$46*-1</f>
        <v>-5.1474705312671922</v>
      </c>
      <c r="AG209" s="5">
        <f t="shared" si="67"/>
        <v>154426.52893961087</v>
      </c>
      <c r="AH209" s="20">
        <f>Model_30y[[#This Row],[Mortgage Payment]]+Model_30y[[#This Row],[Total Upkeep]]+Model_30y[[#This Row],[Monthly Investment]]</f>
        <v>-4958.8779960258662</v>
      </c>
      <c r="AI209" s="5">
        <f>Model_Renter!D209*-1</f>
        <v>5144.762788879998</v>
      </c>
      <c r="AJ209" s="5">
        <f t="shared" si="60"/>
        <v>185.88479285413177</v>
      </c>
    </row>
    <row r="210" spans="1:36" x14ac:dyDescent="0.25">
      <c r="A210" s="17">
        <f t="shared" si="61"/>
        <v>208</v>
      </c>
      <c r="B210" s="17">
        <f t="shared" si="56"/>
        <v>18</v>
      </c>
      <c r="C210" s="23">
        <f>IFERROR(PPMT(Assumptions!$E$17, A210, 180, Assumptions!$D$8), 0)</f>
        <v>0</v>
      </c>
      <c r="D210" s="38">
        <f>IFERROR(IPMT(Assumptions!$E$17,A210,180,Assumptions!$D$8), 0)</f>
        <v>0</v>
      </c>
      <c r="E210" s="2">
        <f t="shared" si="62"/>
        <v>0</v>
      </c>
      <c r="F210" s="2">
        <f>IF(I209&gt;1, Assumptions!$E$19, 0)*-1</f>
        <v>0</v>
      </c>
      <c r="G210" s="24">
        <f t="shared" si="57"/>
        <v>1</v>
      </c>
      <c r="H210" s="20">
        <f t="shared" si="63"/>
        <v>339999.99999999988</v>
      </c>
      <c r="I210" s="2">
        <f>MAX(Assumptions!$D$8-SUM(Model_15y!H210), 0)</f>
        <v>1.1641532182693481E-10</v>
      </c>
      <c r="J210" s="2">
        <f>J209*(1+(Assumptions!$E$51))</f>
        <v>990079.60388550814</v>
      </c>
      <c r="K210" s="22">
        <f t="shared" si="52"/>
        <v>990079.60388550803</v>
      </c>
      <c r="L210" s="5">
        <f t="shared" si="64"/>
        <v>425000</v>
      </c>
      <c r="M210" s="63">
        <f>L210/Assumptions!$D$6</f>
        <v>1</v>
      </c>
      <c r="N210" s="24">
        <f t="shared" ref="N210:N273" si="68">IF(M210&lt;0.2, 1, 0)</f>
        <v>0</v>
      </c>
      <c r="O210" s="22">
        <f>N210*Assumptions!$E$25*-1</f>
        <v>0</v>
      </c>
      <c r="P210" s="5">
        <f>Assumptions!$E$35*J210*-1</f>
        <v>-2039.4018781149034</v>
      </c>
      <c r="Q210" s="5">
        <f>J210*Assumptions!$E$36*-1</f>
        <v>-821.30876765977962</v>
      </c>
      <c r="R210" s="5">
        <f>R198+R198*Assumptions!$D$51</f>
        <v>-744.71495175885218</v>
      </c>
      <c r="S210" s="5">
        <f>S198+(S198*Assumptions!$D$51)</f>
        <v>0</v>
      </c>
      <c r="T210" s="5">
        <f t="shared" si="58"/>
        <v>0</v>
      </c>
      <c r="U210" s="22">
        <f t="shared" si="53"/>
        <v>-3605.4255975335354</v>
      </c>
      <c r="V210" s="5">
        <f>MAX(Assumptions!$E$18:$E$19)-U210</f>
        <v>6447.0586093322327</v>
      </c>
      <c r="W210" s="5">
        <f t="shared" si="54"/>
        <v>0</v>
      </c>
      <c r="X210" s="5">
        <f t="shared" si="59"/>
        <v>-3605.4255975335354</v>
      </c>
      <c r="Y210" s="5">
        <f>D210*Assumptions!$D$44*-1</f>
        <v>0</v>
      </c>
      <c r="Z210" s="5">
        <f t="shared" si="55"/>
        <v>2841.6330117986972</v>
      </c>
      <c r="AA210" s="5">
        <f t="shared" si="65"/>
        <v>154426.52893961087</v>
      </c>
      <c r="AB210" s="3">
        <f>Assumptions!$E$45</f>
        <v>6.9899151946608562E-3</v>
      </c>
      <c r="AC210" s="5">
        <f t="shared" si="66"/>
        <v>158347.5902925033</v>
      </c>
      <c r="AD210" s="4">
        <f>AC210*Assumptions!$E$43</f>
        <v>141.81222226392643</v>
      </c>
      <c r="AE210" s="2">
        <f>AD210*Assumptions!$D$44*-1</f>
        <v>-21.271833339588962</v>
      </c>
      <c r="AF210" s="2">
        <f>AC210*Assumptions!$E$46*-1</f>
        <v>-5.2772855772680529</v>
      </c>
      <c r="AG210" s="5">
        <f t="shared" si="67"/>
        <v>158321.04117358645</v>
      </c>
      <c r="AH210" s="20">
        <f>Model_30y[[#This Row],[Mortgage Payment]]+Model_30y[[#This Row],[Total Upkeep]]+Model_30y[[#This Row],[Monthly Investment]]</f>
        <v>-4971.2670542848582</v>
      </c>
      <c r="AI210" s="5">
        <f>Model_Renter!D210*-1</f>
        <v>5144.762788879998</v>
      </c>
      <c r="AJ210" s="5">
        <f t="shared" si="60"/>
        <v>173.49573459513977</v>
      </c>
    </row>
    <row r="211" spans="1:36" x14ac:dyDescent="0.25">
      <c r="A211" s="17">
        <f t="shared" si="61"/>
        <v>209</v>
      </c>
      <c r="B211" s="17">
        <f t="shared" si="56"/>
        <v>18</v>
      </c>
      <c r="C211" s="23">
        <f>IFERROR(PPMT(Assumptions!$E$17, A211, 180, Assumptions!$D$8), 0)</f>
        <v>0</v>
      </c>
      <c r="D211" s="38">
        <f>IFERROR(IPMT(Assumptions!$E$17,A211,180,Assumptions!$D$8), 0)</f>
        <v>0</v>
      </c>
      <c r="E211" s="2">
        <f t="shared" si="62"/>
        <v>0</v>
      </c>
      <c r="F211" s="2">
        <f>IF(I210&gt;1, Assumptions!$E$19, 0)*-1</f>
        <v>0</v>
      </c>
      <c r="G211" s="24">
        <f t="shared" si="57"/>
        <v>1</v>
      </c>
      <c r="H211" s="20">
        <f t="shared" si="63"/>
        <v>339999.99999999988</v>
      </c>
      <c r="I211" s="2">
        <f>MAX(Assumptions!$D$8-SUM(Model_15y!H211), 0)</f>
        <v>1.1641532182693481E-10</v>
      </c>
      <c r="J211" s="2">
        <f>J210*(1+(Assumptions!$E$51))</f>
        <v>994113.31074740319</v>
      </c>
      <c r="K211" s="22">
        <f t="shared" si="52"/>
        <v>994113.31074740307</v>
      </c>
      <c r="L211" s="5">
        <f t="shared" si="64"/>
        <v>425000</v>
      </c>
      <c r="M211" s="63">
        <f>L211/Assumptions!$D$6</f>
        <v>1</v>
      </c>
      <c r="N211" s="24">
        <f t="shared" si="68"/>
        <v>0</v>
      </c>
      <c r="O211" s="22">
        <f>N211*Assumptions!$E$25*-1</f>
        <v>0</v>
      </c>
      <c r="P211" s="5">
        <f>Assumptions!$E$35*J211*-1</f>
        <v>-2047.7106538109485</v>
      </c>
      <c r="Q211" s="5">
        <f>J211*Assumptions!$E$36*-1</f>
        <v>-824.65488124382125</v>
      </c>
      <c r="R211" s="5">
        <f>R199+R199*Assumptions!$D$51</f>
        <v>-744.71495175885218</v>
      </c>
      <c r="S211" s="5">
        <f>S199+(S199*Assumptions!$D$51)</f>
        <v>0</v>
      </c>
      <c r="T211" s="5">
        <f t="shared" si="58"/>
        <v>0</v>
      </c>
      <c r="U211" s="22">
        <f t="shared" si="53"/>
        <v>-3617.080486813622</v>
      </c>
      <c r="V211" s="5">
        <f>MAX(Assumptions!$E$18:$E$19)-U211</f>
        <v>6458.7134986123183</v>
      </c>
      <c r="W211" s="5">
        <f t="shared" si="54"/>
        <v>0</v>
      </c>
      <c r="X211" s="5">
        <f t="shared" si="59"/>
        <v>-3617.080486813622</v>
      </c>
      <c r="Y211" s="5">
        <f>D211*Assumptions!$D$44*-1</f>
        <v>0</v>
      </c>
      <c r="Z211" s="5">
        <f t="shared" si="55"/>
        <v>2841.6330117986963</v>
      </c>
      <c r="AA211" s="5">
        <f t="shared" si="65"/>
        <v>158321.04117358645</v>
      </c>
      <c r="AB211" s="3">
        <f>Assumptions!$E$45</f>
        <v>6.9899151946608562E-3</v>
      </c>
      <c r="AC211" s="5">
        <f t="shared" si="66"/>
        <v>162269.32483671891</v>
      </c>
      <c r="AD211" s="4">
        <f>AC211*Assumptions!$E$43</f>
        <v>145.32443163709775</v>
      </c>
      <c r="AE211" s="2">
        <f>AD211*Assumptions!$D$44*-1</f>
        <v>-21.798664745564661</v>
      </c>
      <c r="AF211" s="2">
        <f>AC211*Assumptions!$E$46*-1</f>
        <v>-5.4079861020429014</v>
      </c>
      <c r="AG211" s="5">
        <f t="shared" si="67"/>
        <v>162242.11818587131</v>
      </c>
      <c r="AH211" s="20">
        <f>Model_30y[[#This Row],[Mortgage Payment]]+Model_30y[[#This Row],[Total Upkeep]]+Model_30y[[#This Row],[Monthly Investment]]</f>
        <v>-4983.7077795116402</v>
      </c>
      <c r="AI211" s="5">
        <f>Model_Renter!D211*-1</f>
        <v>5144.762788879998</v>
      </c>
      <c r="AJ211" s="5">
        <f t="shared" si="60"/>
        <v>161.05500936835779</v>
      </c>
    </row>
    <row r="212" spans="1:36" x14ac:dyDescent="0.25">
      <c r="A212" s="17">
        <f t="shared" si="61"/>
        <v>210</v>
      </c>
      <c r="B212" s="17">
        <f t="shared" si="56"/>
        <v>18</v>
      </c>
      <c r="C212" s="23">
        <f>IFERROR(PPMT(Assumptions!$E$17, A212, 180, Assumptions!$D$8), 0)</f>
        <v>0</v>
      </c>
      <c r="D212" s="38">
        <f>IFERROR(IPMT(Assumptions!$E$17,A212,180,Assumptions!$D$8), 0)</f>
        <v>0</v>
      </c>
      <c r="E212" s="2">
        <f t="shared" si="62"/>
        <v>0</v>
      </c>
      <c r="F212" s="2">
        <f>IF(I211&gt;1, Assumptions!$E$19, 0)*-1</f>
        <v>0</v>
      </c>
      <c r="G212" s="24">
        <f t="shared" si="57"/>
        <v>1</v>
      </c>
      <c r="H212" s="20">
        <f t="shared" si="63"/>
        <v>339999.99999999988</v>
      </c>
      <c r="I212" s="2">
        <f>MAX(Assumptions!$D$8-SUM(Model_15y!H212), 0)</f>
        <v>1.1641532182693481E-10</v>
      </c>
      <c r="J212" s="2">
        <f>J211*(1+(Assumptions!$E$51))</f>
        <v>998163.45143036055</v>
      </c>
      <c r="K212" s="22">
        <f t="shared" si="52"/>
        <v>998163.45143036044</v>
      </c>
      <c r="L212" s="5">
        <f t="shared" si="64"/>
        <v>425000</v>
      </c>
      <c r="M212" s="63">
        <f>L212/Assumptions!$D$6</f>
        <v>1</v>
      </c>
      <c r="N212" s="24">
        <f t="shared" si="68"/>
        <v>0</v>
      </c>
      <c r="O212" s="22">
        <f>N212*Assumptions!$E$25*-1</f>
        <v>0</v>
      </c>
      <c r="P212" s="5">
        <f>Assumptions!$E$35*J212*-1</f>
        <v>-2056.0532804876698</v>
      </c>
      <c r="Q212" s="5">
        <f>J212*Assumptions!$E$36*-1</f>
        <v>-828.01462730879837</v>
      </c>
      <c r="R212" s="5">
        <f>R200+R200*Assumptions!$D$51</f>
        <v>-744.71495175885218</v>
      </c>
      <c r="S212" s="5">
        <f>S200+(S200*Assumptions!$D$51)</f>
        <v>0</v>
      </c>
      <c r="T212" s="5">
        <f t="shared" si="58"/>
        <v>0</v>
      </c>
      <c r="U212" s="22">
        <f t="shared" si="53"/>
        <v>-3628.7828595553206</v>
      </c>
      <c r="V212" s="5">
        <f>MAX(Assumptions!$E$18:$E$19)-U212</f>
        <v>6470.4158713540173</v>
      </c>
      <c r="W212" s="5">
        <f t="shared" si="54"/>
        <v>0</v>
      </c>
      <c r="X212" s="5">
        <f t="shared" si="59"/>
        <v>-3628.7828595553206</v>
      </c>
      <c r="Y212" s="5">
        <f>D212*Assumptions!$D$44*-1</f>
        <v>0</v>
      </c>
      <c r="Z212" s="5">
        <f t="shared" si="55"/>
        <v>2841.6330117986968</v>
      </c>
      <c r="AA212" s="5">
        <f t="shared" si="65"/>
        <v>162242.11818587131</v>
      </c>
      <c r="AB212" s="3">
        <f>Assumptions!$E$45</f>
        <v>6.9899151946608562E-3</v>
      </c>
      <c r="AC212" s="5">
        <f t="shared" si="66"/>
        <v>166217.80984479139</v>
      </c>
      <c r="AD212" s="4">
        <f>AC212*Assumptions!$E$43</f>
        <v>148.86059807029838</v>
      </c>
      <c r="AE212" s="2">
        <f>AD212*Assumptions!$D$44*-1</f>
        <v>-22.329089710544757</v>
      </c>
      <c r="AF212" s="2">
        <f>AC212*Assumptions!$E$46*-1</f>
        <v>-5.5395781455130235</v>
      </c>
      <c r="AG212" s="5">
        <f t="shared" si="67"/>
        <v>166189.94117693533</v>
      </c>
      <c r="AH212" s="20">
        <f>Model_30y[[#This Row],[Mortgage Payment]]+Model_30y[[#This Row],[Total Upkeep]]+Model_30y[[#This Row],[Monthly Investment]]</f>
        <v>-4996.200388881336</v>
      </c>
      <c r="AI212" s="5">
        <f>Model_Renter!D212*-1</f>
        <v>5144.762788879998</v>
      </c>
      <c r="AJ212" s="5">
        <f t="shared" si="60"/>
        <v>148.56239999866193</v>
      </c>
    </row>
    <row r="213" spans="1:36" x14ac:dyDescent="0.25">
      <c r="A213" s="17">
        <f t="shared" si="61"/>
        <v>211</v>
      </c>
      <c r="B213" s="17">
        <f t="shared" si="56"/>
        <v>18</v>
      </c>
      <c r="C213" s="23">
        <f>IFERROR(PPMT(Assumptions!$E$17, A213, 180, Assumptions!$D$8), 0)</f>
        <v>0</v>
      </c>
      <c r="D213" s="38">
        <f>IFERROR(IPMT(Assumptions!$E$17,A213,180,Assumptions!$D$8), 0)</f>
        <v>0</v>
      </c>
      <c r="E213" s="2">
        <f t="shared" si="62"/>
        <v>0</v>
      </c>
      <c r="F213" s="2">
        <f>IF(I212&gt;1, Assumptions!$E$19, 0)*-1</f>
        <v>0</v>
      </c>
      <c r="G213" s="24">
        <f t="shared" si="57"/>
        <v>1</v>
      </c>
      <c r="H213" s="20">
        <f t="shared" si="63"/>
        <v>339999.99999999988</v>
      </c>
      <c r="I213" s="2">
        <f>MAX(Assumptions!$D$8-SUM(Model_15y!H213), 0)</f>
        <v>1.1641532182693481E-10</v>
      </c>
      <c r="J213" s="2">
        <f>J212*(1+(Assumptions!$E$51))</f>
        <v>1002230.0928878015</v>
      </c>
      <c r="K213" s="22">
        <f t="shared" si="52"/>
        <v>1002230.0928878014</v>
      </c>
      <c r="L213" s="5">
        <f t="shared" si="64"/>
        <v>425000</v>
      </c>
      <c r="M213" s="63">
        <f>L213/Assumptions!$D$6</f>
        <v>1</v>
      </c>
      <c r="N213" s="24">
        <f t="shared" si="68"/>
        <v>0</v>
      </c>
      <c r="O213" s="22">
        <f>N213*Assumptions!$E$25*-1</f>
        <v>0</v>
      </c>
      <c r="P213" s="5">
        <f>Assumptions!$E$35*J213*-1</f>
        <v>-2064.4298960581527</v>
      </c>
      <c r="Q213" s="5">
        <f>J213*Assumptions!$E$36*-1</f>
        <v>-831.38806139512587</v>
      </c>
      <c r="R213" s="5">
        <f>R201+R201*Assumptions!$D$51</f>
        <v>-744.71495175885218</v>
      </c>
      <c r="S213" s="5">
        <f>S201+(S201*Assumptions!$D$51)</f>
        <v>0</v>
      </c>
      <c r="T213" s="5">
        <f t="shared" si="58"/>
        <v>0</v>
      </c>
      <c r="U213" s="22">
        <f t="shared" si="53"/>
        <v>-3640.532909212131</v>
      </c>
      <c r="V213" s="5">
        <f>MAX(Assumptions!$E$18:$E$19)-U213</f>
        <v>6482.1659210108282</v>
      </c>
      <c r="W213" s="5">
        <f t="shared" si="54"/>
        <v>0</v>
      </c>
      <c r="X213" s="5">
        <f t="shared" si="59"/>
        <v>-3640.532909212131</v>
      </c>
      <c r="Y213" s="5">
        <f>D213*Assumptions!$D$44*-1</f>
        <v>0</v>
      </c>
      <c r="Z213" s="5">
        <f t="shared" si="55"/>
        <v>2841.6330117986972</v>
      </c>
      <c r="AA213" s="5">
        <f t="shared" si="65"/>
        <v>166189.94117693533</v>
      </c>
      <c r="AB213" s="3">
        <f>Assumptions!$E$45</f>
        <v>6.9899151946608562E-3</v>
      </c>
      <c r="AC213" s="5">
        <f t="shared" si="66"/>
        <v>170193.22778376649</v>
      </c>
      <c r="AD213" s="4">
        <f>AC213*Assumptions!$E$43</f>
        <v>152.42088497654396</v>
      </c>
      <c r="AE213" s="2">
        <f>AD213*Assumptions!$D$44*-1</f>
        <v>-22.863132746481593</v>
      </c>
      <c r="AF213" s="2">
        <f>AC213*Assumptions!$E$46*-1</f>
        <v>-5.6720677887984836</v>
      </c>
      <c r="AG213" s="5">
        <f t="shared" si="67"/>
        <v>170164.6925832312</v>
      </c>
      <c r="AH213" s="20">
        <f>Model_30y[[#This Row],[Mortgage Payment]]+Model_30y[[#This Row],[Total Upkeep]]+Model_30y[[#This Row],[Monthly Investment]]</f>
        <v>-5008.7451004912582</v>
      </c>
      <c r="AI213" s="5">
        <f>Model_Renter!D213*-1</f>
        <v>5144.762788879998</v>
      </c>
      <c r="AJ213" s="5">
        <f t="shared" si="60"/>
        <v>136.01768838873977</v>
      </c>
    </row>
    <row r="214" spans="1:36" x14ac:dyDescent="0.25">
      <c r="A214" s="17">
        <f t="shared" si="61"/>
        <v>212</v>
      </c>
      <c r="B214" s="17">
        <f t="shared" si="56"/>
        <v>18</v>
      </c>
      <c r="C214" s="23">
        <f>IFERROR(PPMT(Assumptions!$E$17, A214, 180, Assumptions!$D$8), 0)</f>
        <v>0</v>
      </c>
      <c r="D214" s="38">
        <f>IFERROR(IPMT(Assumptions!$E$17,A214,180,Assumptions!$D$8), 0)</f>
        <v>0</v>
      </c>
      <c r="E214" s="2">
        <f t="shared" si="62"/>
        <v>0</v>
      </c>
      <c r="F214" s="2">
        <f>IF(I213&gt;1, Assumptions!$E$19, 0)*-1</f>
        <v>0</v>
      </c>
      <c r="G214" s="24">
        <f t="shared" si="57"/>
        <v>1</v>
      </c>
      <c r="H214" s="20">
        <f t="shared" si="63"/>
        <v>339999.99999999988</v>
      </c>
      <c r="I214" s="2">
        <f>MAX(Assumptions!$D$8-SUM(Model_15y!H214), 0)</f>
        <v>1.1641532182693481E-10</v>
      </c>
      <c r="J214" s="2">
        <f>J213*(1+(Assumptions!$E$51))</f>
        <v>1006313.3023459237</v>
      </c>
      <c r="K214" s="22">
        <f t="shared" si="52"/>
        <v>1006313.3023459236</v>
      </c>
      <c r="L214" s="5">
        <f t="shared" si="64"/>
        <v>425000</v>
      </c>
      <c r="M214" s="63">
        <f>L214/Assumptions!$D$6</f>
        <v>1</v>
      </c>
      <c r="N214" s="24">
        <f t="shared" si="68"/>
        <v>0</v>
      </c>
      <c r="O214" s="22">
        <f>N214*Assumptions!$E$25*-1</f>
        <v>0</v>
      </c>
      <c r="P214" s="5">
        <f>Assumptions!$E$35*J214*-1</f>
        <v>-2072.8406389973579</v>
      </c>
      <c r="Q214" s="5">
        <f>J214*Assumptions!$E$36*-1</f>
        <v>-834.77523926949698</v>
      </c>
      <c r="R214" s="5">
        <f>R202+R202*Assumptions!$D$51</f>
        <v>-744.71495175885218</v>
      </c>
      <c r="S214" s="5">
        <f>S202+(S202*Assumptions!$D$51)</f>
        <v>0</v>
      </c>
      <c r="T214" s="5">
        <f t="shared" si="58"/>
        <v>0</v>
      </c>
      <c r="U214" s="22">
        <f t="shared" si="53"/>
        <v>-3652.3308300257072</v>
      </c>
      <c r="V214" s="5">
        <f>MAX(Assumptions!$E$18:$E$19)-U214</f>
        <v>6493.963841824404</v>
      </c>
      <c r="W214" s="5">
        <f t="shared" si="54"/>
        <v>0</v>
      </c>
      <c r="X214" s="5">
        <f t="shared" si="59"/>
        <v>-3652.3308300257072</v>
      </c>
      <c r="Y214" s="5">
        <f>D214*Assumptions!$D$44*-1</f>
        <v>0</v>
      </c>
      <c r="Z214" s="5">
        <f t="shared" si="55"/>
        <v>2841.6330117986968</v>
      </c>
      <c r="AA214" s="5">
        <f t="shared" si="65"/>
        <v>170164.6925832312</v>
      </c>
      <c r="AB214" s="3">
        <f>Assumptions!$E$45</f>
        <v>6.9899151946608562E-3</v>
      </c>
      <c r="AC214" s="5">
        <f t="shared" si="66"/>
        <v>174195.7623653122</v>
      </c>
      <c r="AD214" s="4">
        <f>AC214*Assumptions!$E$43</f>
        <v>156.00545688350326</v>
      </c>
      <c r="AE214" s="2">
        <f>AD214*Assumptions!$D$44*-1</f>
        <v>-23.400818532525488</v>
      </c>
      <c r="AF214" s="2">
        <f>AC214*Assumptions!$E$46*-1</f>
        <v>-5.8054611544991532</v>
      </c>
      <c r="AG214" s="5">
        <f t="shared" si="67"/>
        <v>174166.55608562517</v>
      </c>
      <c r="AH214" s="20">
        <f>Model_30y[[#This Row],[Mortgage Payment]]+Model_30y[[#This Row],[Total Upkeep]]+Model_30y[[#This Row],[Monthly Investment]]</f>
        <v>-5021.3421333648857</v>
      </c>
      <c r="AI214" s="5">
        <f>Model_Renter!D214*-1</f>
        <v>5144.762788879998</v>
      </c>
      <c r="AJ214" s="5">
        <f t="shared" si="60"/>
        <v>123.42065551511223</v>
      </c>
    </row>
    <row r="215" spans="1:36" x14ac:dyDescent="0.25">
      <c r="A215" s="17">
        <f t="shared" si="61"/>
        <v>213</v>
      </c>
      <c r="B215" s="17">
        <f t="shared" si="56"/>
        <v>18</v>
      </c>
      <c r="C215" s="23">
        <f>IFERROR(PPMT(Assumptions!$E$17, A215, 180, Assumptions!$D$8), 0)</f>
        <v>0</v>
      </c>
      <c r="D215" s="38">
        <f>IFERROR(IPMT(Assumptions!$E$17,A215,180,Assumptions!$D$8), 0)</f>
        <v>0</v>
      </c>
      <c r="E215" s="2">
        <f t="shared" si="62"/>
        <v>0</v>
      </c>
      <c r="F215" s="2">
        <f>IF(I214&gt;1, Assumptions!$E$19, 0)*-1</f>
        <v>0</v>
      </c>
      <c r="G215" s="24">
        <f t="shared" si="57"/>
        <v>1</v>
      </c>
      <c r="H215" s="20">
        <f t="shared" si="63"/>
        <v>339999.99999999988</v>
      </c>
      <c r="I215" s="2">
        <f>MAX(Assumptions!$D$8-SUM(Model_15y!H215), 0)</f>
        <v>1.1641532182693481E-10</v>
      </c>
      <c r="J215" s="2">
        <f>J214*(1+(Assumptions!$E$51))</f>
        <v>1010413.147304813</v>
      </c>
      <c r="K215" s="22">
        <f t="shared" si="52"/>
        <v>1010413.1473048129</v>
      </c>
      <c r="L215" s="5">
        <f t="shared" si="64"/>
        <v>425000</v>
      </c>
      <c r="M215" s="63">
        <f>L215/Assumptions!$D$6</f>
        <v>1</v>
      </c>
      <c r="N215" s="24">
        <f t="shared" si="68"/>
        <v>0</v>
      </c>
      <c r="O215" s="22">
        <f>N215*Assumptions!$E$25*-1</f>
        <v>0</v>
      </c>
      <c r="P215" s="5">
        <f>Assumptions!$E$35*J215*-1</f>
        <v>-2081.2856483444098</v>
      </c>
      <c r="Q215" s="5">
        <f>J215*Assumptions!$E$36*-1</f>
        <v>-838.17621692580565</v>
      </c>
      <c r="R215" s="5">
        <f>R203+R203*Assumptions!$D$51</f>
        <v>-744.71495175885218</v>
      </c>
      <c r="S215" s="5">
        <f>S203+(S203*Assumptions!$D$51)</f>
        <v>0</v>
      </c>
      <c r="T215" s="5">
        <f t="shared" si="58"/>
        <v>0</v>
      </c>
      <c r="U215" s="22">
        <f t="shared" si="53"/>
        <v>-3664.1768170290679</v>
      </c>
      <c r="V215" s="5">
        <f>MAX(Assumptions!$E$18:$E$19)-U215</f>
        <v>6505.8098288277652</v>
      </c>
      <c r="W215" s="5">
        <f t="shared" si="54"/>
        <v>0</v>
      </c>
      <c r="X215" s="5">
        <f t="shared" si="59"/>
        <v>-3664.1768170290679</v>
      </c>
      <c r="Y215" s="5">
        <f>D215*Assumptions!$D$44*-1</f>
        <v>0</v>
      </c>
      <c r="Z215" s="5">
        <f t="shared" si="55"/>
        <v>2841.6330117986972</v>
      </c>
      <c r="AA215" s="5">
        <f t="shared" si="65"/>
        <v>174166.55608562517</v>
      </c>
      <c r="AB215" s="3">
        <f>Assumptions!$E$45</f>
        <v>6.9899151946608562E-3</v>
      </c>
      <c r="AC215" s="5">
        <f t="shared" si="66"/>
        <v>178225.59855420853</v>
      </c>
      <c r="AD215" s="4">
        <f>AC215*Assumptions!$E$43</f>
        <v>159.61447944110159</v>
      </c>
      <c r="AE215" s="2">
        <f>AD215*Assumptions!$D$44*-1</f>
        <v>-23.94217191616524</v>
      </c>
      <c r="AF215" s="2">
        <f>AC215*Assumptions!$E$46*-1</f>
        <v>-5.9397644069776492</v>
      </c>
      <c r="AG215" s="5">
        <f t="shared" si="67"/>
        <v>178195.71661788539</v>
      </c>
      <c r="AH215" s="20">
        <f>Model_30y[[#This Row],[Mortgage Payment]]+Model_30y[[#This Row],[Total Upkeep]]+Model_30y[[#This Row],[Monthly Investment]]</f>
        <v>-5033.9917074558325</v>
      </c>
      <c r="AI215" s="5">
        <f>Model_Renter!D215*-1</f>
        <v>5144.762788879998</v>
      </c>
      <c r="AJ215" s="5">
        <f t="shared" si="60"/>
        <v>110.77108142416546</v>
      </c>
    </row>
    <row r="216" spans="1:36" x14ac:dyDescent="0.25">
      <c r="A216" s="17">
        <f t="shared" si="61"/>
        <v>214</v>
      </c>
      <c r="B216" s="17">
        <f t="shared" si="56"/>
        <v>18</v>
      </c>
      <c r="C216" s="23">
        <f>IFERROR(PPMT(Assumptions!$E$17, A216, 180, Assumptions!$D$8), 0)</f>
        <v>0</v>
      </c>
      <c r="D216" s="38">
        <f>IFERROR(IPMT(Assumptions!$E$17,A216,180,Assumptions!$D$8), 0)</f>
        <v>0</v>
      </c>
      <c r="E216" s="2">
        <f t="shared" si="62"/>
        <v>0</v>
      </c>
      <c r="F216" s="2">
        <f>IF(I215&gt;1, Assumptions!$E$19, 0)*-1</f>
        <v>0</v>
      </c>
      <c r="G216" s="24">
        <f t="shared" si="57"/>
        <v>1</v>
      </c>
      <c r="H216" s="20">
        <f t="shared" si="63"/>
        <v>339999.99999999988</v>
      </c>
      <c r="I216" s="2">
        <f>MAX(Assumptions!$D$8-SUM(Model_15y!H216), 0)</f>
        <v>1.1641532182693481E-10</v>
      </c>
      <c r="J216" s="2">
        <f>J215*(1+(Assumptions!$E$51))</f>
        <v>1014529.6955395585</v>
      </c>
      <c r="K216" s="22">
        <f t="shared" si="52"/>
        <v>1014529.6955395584</v>
      </c>
      <c r="L216" s="5">
        <f t="shared" si="64"/>
        <v>425000</v>
      </c>
      <c r="M216" s="63">
        <f>L216/Assumptions!$D$6</f>
        <v>1</v>
      </c>
      <c r="N216" s="24">
        <f t="shared" si="68"/>
        <v>0</v>
      </c>
      <c r="O216" s="22">
        <f>N216*Assumptions!$E$25*-1</f>
        <v>0</v>
      </c>
      <c r="P216" s="5">
        <f>Assumptions!$E$35*J216*-1</f>
        <v>-2089.765063704896</v>
      </c>
      <c r="Q216" s="5">
        <f>J216*Assumptions!$E$36*-1</f>
        <v>-841.59105058607145</v>
      </c>
      <c r="R216" s="5">
        <f>R204+R204*Assumptions!$D$51</f>
        <v>-744.71495175885218</v>
      </c>
      <c r="S216" s="5">
        <f>S204+(S204*Assumptions!$D$51)</f>
        <v>0</v>
      </c>
      <c r="T216" s="5">
        <f t="shared" si="58"/>
        <v>0</v>
      </c>
      <c r="U216" s="22">
        <f t="shared" si="53"/>
        <v>-3676.0710660498198</v>
      </c>
      <c r="V216" s="5">
        <f>MAX(Assumptions!$E$18:$E$19)-U216</f>
        <v>6517.704077848517</v>
      </c>
      <c r="W216" s="5">
        <f t="shared" si="54"/>
        <v>0</v>
      </c>
      <c r="X216" s="5">
        <f t="shared" si="59"/>
        <v>-3676.0710660498198</v>
      </c>
      <c r="Y216" s="5">
        <f>D216*Assumptions!$D$44*-1</f>
        <v>0</v>
      </c>
      <c r="Z216" s="5">
        <f t="shared" si="55"/>
        <v>2841.6330117986972</v>
      </c>
      <c r="AA216" s="5">
        <f t="shared" si="65"/>
        <v>178195.71661788539</v>
      </c>
      <c r="AB216" s="3">
        <f>Assumptions!$E$45</f>
        <v>6.9899151946608562E-3</v>
      </c>
      <c r="AC216" s="5">
        <f t="shared" si="66"/>
        <v>182282.92257689493</v>
      </c>
      <c r="AD216" s="4">
        <f>AC216*Assumptions!$E$43</f>
        <v>163.2481194291754</v>
      </c>
      <c r="AE216" s="2">
        <f>AD216*Assumptions!$D$44*-1</f>
        <v>-24.487217914376309</v>
      </c>
      <c r="AF216" s="2">
        <f>AC216*Assumptions!$E$46*-1</f>
        <v>-6.0749837526441919</v>
      </c>
      <c r="AG216" s="5">
        <f t="shared" si="67"/>
        <v>182252.3603752279</v>
      </c>
      <c r="AH216" s="20">
        <f>Model_30y[[#This Row],[Mortgage Payment]]+Model_30y[[#This Row],[Total Upkeep]]+Model_30y[[#This Row],[Monthly Investment]]</f>
        <v>-5046.6940436518616</v>
      </c>
      <c r="AI216" s="5">
        <f>Model_Renter!D216*-1</f>
        <v>5144.762788879998</v>
      </c>
      <c r="AJ216" s="5">
        <f t="shared" si="60"/>
        <v>98.068745228136322</v>
      </c>
    </row>
    <row r="217" spans="1:36" x14ac:dyDescent="0.25">
      <c r="A217" s="17">
        <f t="shared" si="61"/>
        <v>215</v>
      </c>
      <c r="B217" s="17">
        <f t="shared" si="56"/>
        <v>18</v>
      </c>
      <c r="C217" s="23">
        <f>IFERROR(PPMT(Assumptions!$E$17, A217, 180, Assumptions!$D$8), 0)</f>
        <v>0</v>
      </c>
      <c r="D217" s="38">
        <f>IFERROR(IPMT(Assumptions!$E$17,A217,180,Assumptions!$D$8), 0)</f>
        <v>0</v>
      </c>
      <c r="E217" s="2">
        <f t="shared" si="62"/>
        <v>0</v>
      </c>
      <c r="F217" s="2">
        <f>IF(I216&gt;1, Assumptions!$E$19, 0)*-1</f>
        <v>0</v>
      </c>
      <c r="G217" s="24">
        <f t="shared" si="57"/>
        <v>1</v>
      </c>
      <c r="H217" s="20">
        <f t="shared" si="63"/>
        <v>339999.99999999988</v>
      </c>
      <c r="I217" s="2">
        <f>MAX(Assumptions!$D$8-SUM(Model_15y!H217), 0)</f>
        <v>1.1641532182693481E-10</v>
      </c>
      <c r="J217" s="2">
        <f>J216*(1+(Assumptions!$E$51))</f>
        <v>1018663.0151013738</v>
      </c>
      <c r="K217" s="22">
        <f t="shared" si="52"/>
        <v>1018663.0151013737</v>
      </c>
      <c r="L217" s="5">
        <f t="shared" si="64"/>
        <v>425000</v>
      </c>
      <c r="M217" s="63">
        <f>L217/Assumptions!$D$6</f>
        <v>1</v>
      </c>
      <c r="N217" s="24">
        <f t="shared" si="68"/>
        <v>0</v>
      </c>
      <c r="O217" s="22">
        <f>N217*Assumptions!$E$25*-1</f>
        <v>0</v>
      </c>
      <c r="P217" s="5">
        <f>Assumptions!$E$35*J217*-1</f>
        <v>-2098.2790252531731</v>
      </c>
      <c r="Q217" s="5">
        <f>J217*Assumptions!$E$36*-1</f>
        <v>-845.01979670136973</v>
      </c>
      <c r="R217" s="5">
        <f>R205+R205*Assumptions!$D$51</f>
        <v>-744.71495175885218</v>
      </c>
      <c r="S217" s="5">
        <f>S205+(S205*Assumptions!$D$51)</f>
        <v>0</v>
      </c>
      <c r="T217" s="5">
        <f t="shared" si="58"/>
        <v>0</v>
      </c>
      <c r="U217" s="22">
        <f t="shared" si="53"/>
        <v>-3688.013773713395</v>
      </c>
      <c r="V217" s="5">
        <f>MAX(Assumptions!$E$18:$E$19)-U217</f>
        <v>6529.6467855120918</v>
      </c>
      <c r="W217" s="5">
        <f t="shared" si="54"/>
        <v>0</v>
      </c>
      <c r="X217" s="5">
        <f t="shared" si="59"/>
        <v>-3688.013773713395</v>
      </c>
      <c r="Y217" s="5">
        <f>D217*Assumptions!$D$44*-1</f>
        <v>0</v>
      </c>
      <c r="Z217" s="5">
        <f t="shared" si="55"/>
        <v>2841.6330117986968</v>
      </c>
      <c r="AA217" s="5">
        <f t="shared" si="65"/>
        <v>182252.3603752279</v>
      </c>
      <c r="AB217" s="3">
        <f>Assumptions!$E$45</f>
        <v>6.9899151946608562E-3</v>
      </c>
      <c r="AC217" s="5">
        <f t="shared" si="66"/>
        <v>186367.92193007621</v>
      </c>
      <c r="AD217" s="4">
        <f>AC217*Assumptions!$E$43</f>
        <v>166.90654476517983</v>
      </c>
      <c r="AE217" s="2">
        <f>AD217*Assumptions!$D$44*-1</f>
        <v>-25.035981714776973</v>
      </c>
      <c r="AF217" s="2">
        <f>AC217*Assumptions!$E$46*-1</f>
        <v>-6.2111254402434222</v>
      </c>
      <c r="AG217" s="5">
        <f t="shared" si="67"/>
        <v>186336.6748229212</v>
      </c>
      <c r="AH217" s="20">
        <f>Model_30y[[#This Row],[Mortgage Payment]]+Model_30y[[#This Row],[Total Upkeep]]+Model_30y[[#This Row],[Monthly Investment]]</f>
        <v>-5059.4493637788964</v>
      </c>
      <c r="AI217" s="5">
        <f>Model_Renter!D217*-1</f>
        <v>5144.762788879998</v>
      </c>
      <c r="AJ217" s="5">
        <f t="shared" si="60"/>
        <v>85.313425101101529</v>
      </c>
    </row>
    <row r="218" spans="1:36" x14ac:dyDescent="0.25">
      <c r="A218" s="17">
        <f t="shared" si="61"/>
        <v>216</v>
      </c>
      <c r="B218" s="17">
        <f t="shared" si="56"/>
        <v>18</v>
      </c>
      <c r="C218" s="23">
        <f>IFERROR(PPMT(Assumptions!$E$17, A218, 180, Assumptions!$D$8), 0)</f>
        <v>0</v>
      </c>
      <c r="D218" s="38">
        <f>IFERROR(IPMT(Assumptions!$E$17,A218,180,Assumptions!$D$8), 0)</f>
        <v>0</v>
      </c>
      <c r="E218" s="2">
        <f t="shared" si="62"/>
        <v>0</v>
      </c>
      <c r="F218" s="2">
        <f>IF(I217&gt;1, Assumptions!$E$19, 0)*-1</f>
        <v>0</v>
      </c>
      <c r="G218" s="24">
        <f t="shared" si="57"/>
        <v>1</v>
      </c>
      <c r="H218" s="20">
        <f t="shared" si="63"/>
        <v>339999.99999999988</v>
      </c>
      <c r="I218" s="2">
        <f>MAX(Assumptions!$D$8-SUM(Model_15y!H218), 0)</f>
        <v>1.1641532182693481E-10</v>
      </c>
      <c r="J218" s="2">
        <f>J217*(1+(Assumptions!$E$51))</f>
        <v>1022813.1743187212</v>
      </c>
      <c r="K218" s="22">
        <f t="shared" si="52"/>
        <v>1022813.1743187211</v>
      </c>
      <c r="L218" s="5">
        <f t="shared" si="64"/>
        <v>425000</v>
      </c>
      <c r="M218" s="63">
        <f>L218/Assumptions!$D$6</f>
        <v>1</v>
      </c>
      <c r="N218" s="24">
        <f t="shared" si="68"/>
        <v>0</v>
      </c>
      <c r="O218" s="22">
        <f>N218*Assumptions!$E$25*-1</f>
        <v>0</v>
      </c>
      <c r="P218" s="5">
        <f>Assumptions!$E$35*J218*-1</f>
        <v>-2106.8276737346878</v>
      </c>
      <c r="Q218" s="5">
        <f>J218*Assumptions!$E$36*-1</f>
        <v>-848.46251195276443</v>
      </c>
      <c r="R218" s="5">
        <f>R206+R206*Assumptions!$D$51</f>
        <v>-744.71495175885218</v>
      </c>
      <c r="S218" s="5">
        <f>S206+(S206*Assumptions!$D$51)</f>
        <v>0</v>
      </c>
      <c r="T218" s="5">
        <f t="shared" si="58"/>
        <v>0</v>
      </c>
      <c r="U218" s="22">
        <f t="shared" si="53"/>
        <v>-3700.0051374463046</v>
      </c>
      <c r="V218" s="5">
        <f>MAX(Assumptions!$E$18:$E$19)-U218</f>
        <v>6541.6381492450018</v>
      </c>
      <c r="W218" s="5">
        <f t="shared" si="54"/>
        <v>0</v>
      </c>
      <c r="X218" s="5">
        <f t="shared" si="59"/>
        <v>-3700.0051374463046</v>
      </c>
      <c r="Y218" s="5">
        <f>D218*Assumptions!$D$44*-1</f>
        <v>0</v>
      </c>
      <c r="Z218" s="5">
        <f t="shared" si="55"/>
        <v>2841.6330117986972</v>
      </c>
      <c r="AA218" s="5">
        <f t="shared" si="65"/>
        <v>186336.6748229212</v>
      </c>
      <c r="AB218" s="3">
        <f>Assumptions!$E$45</f>
        <v>6.9899151946608562E-3</v>
      </c>
      <c r="AC218" s="5">
        <f t="shared" si="66"/>
        <v>190480.78538938719</v>
      </c>
      <c r="AD218" s="4">
        <f>AC218*Assumptions!$E$43</f>
        <v>170.58992451194825</v>
      </c>
      <c r="AE218" s="2">
        <f>AD218*Assumptions!$D$44*-1</f>
        <v>-25.588488676792238</v>
      </c>
      <c r="AF218" s="2">
        <f>AC218*Assumptions!$E$46*-1</f>
        <v>-6.3481957611431667</v>
      </c>
      <c r="AG218" s="5">
        <f t="shared" si="67"/>
        <v>190448.84870494925</v>
      </c>
      <c r="AH218" s="20">
        <f>Model_30y[[#This Row],[Mortgage Payment]]+Model_30y[[#This Row],[Total Upkeep]]+Model_30y[[#This Row],[Monthly Investment]]</f>
        <v>-5072.2578906050603</v>
      </c>
      <c r="AI218" s="5">
        <f>Model_Renter!D218*-1</f>
        <v>5144.762788879998</v>
      </c>
      <c r="AJ218" s="5">
        <f t="shared" si="60"/>
        <v>72.504898274937659</v>
      </c>
    </row>
    <row r="219" spans="1:36" x14ac:dyDescent="0.25">
      <c r="A219" s="17">
        <f t="shared" si="61"/>
        <v>217</v>
      </c>
      <c r="B219" s="17">
        <f t="shared" si="56"/>
        <v>19</v>
      </c>
      <c r="C219" s="23">
        <f>IFERROR(PPMT(Assumptions!$E$17, A219, 180, Assumptions!$D$8), 0)</f>
        <v>0</v>
      </c>
      <c r="D219" s="38">
        <f>IFERROR(IPMT(Assumptions!$E$17,A219,180,Assumptions!$D$8), 0)</f>
        <v>0</v>
      </c>
      <c r="E219" s="2">
        <f t="shared" si="62"/>
        <v>0</v>
      </c>
      <c r="F219" s="2">
        <f>IF(I218&gt;1, Assumptions!$E$19, 0)*-1</f>
        <v>0</v>
      </c>
      <c r="G219" s="24">
        <f t="shared" si="57"/>
        <v>1</v>
      </c>
      <c r="H219" s="20">
        <f t="shared" si="63"/>
        <v>339999.99999999988</v>
      </c>
      <c r="I219" s="2">
        <f>MAX(Assumptions!$D$8-SUM(Model_15y!H219), 0)</f>
        <v>1.1641532182693481E-10</v>
      </c>
      <c r="J219" s="2">
        <f>J218*(1+(Assumptions!$E$51))</f>
        <v>1026980.241798442</v>
      </c>
      <c r="K219" s="22">
        <f t="shared" si="52"/>
        <v>1026980.2417984419</v>
      </c>
      <c r="L219" s="5">
        <f t="shared" si="64"/>
        <v>425000</v>
      </c>
      <c r="M219" s="63">
        <f>L219/Assumptions!$D$6</f>
        <v>1</v>
      </c>
      <c r="N219" s="24">
        <f t="shared" si="68"/>
        <v>0</v>
      </c>
      <c r="O219" s="22">
        <f>N219*Assumptions!$E$25*-1</f>
        <v>0</v>
      </c>
      <c r="P219" s="5">
        <f>Assumptions!$E$35*J219*-1</f>
        <v>-2115.4111504682987</v>
      </c>
      <c r="Q219" s="5">
        <f>J219*Assumptions!$E$36*-1</f>
        <v>-851.91925325224531</v>
      </c>
      <c r="R219" s="5">
        <f>R207+R207*Assumptions!$D$51</f>
        <v>-781.95069934679475</v>
      </c>
      <c r="S219" s="5">
        <f>S207+(S207*Assumptions!$D$51)</f>
        <v>0</v>
      </c>
      <c r="T219" s="5">
        <f t="shared" si="58"/>
        <v>0</v>
      </c>
      <c r="U219" s="22">
        <f t="shared" si="53"/>
        <v>-3749.2811030673388</v>
      </c>
      <c r="V219" s="5">
        <f>MAX(Assumptions!$E$18:$E$19)-U219</f>
        <v>6590.9141148660356</v>
      </c>
      <c r="W219" s="5">
        <f t="shared" si="54"/>
        <v>0</v>
      </c>
      <c r="X219" s="5">
        <f t="shared" si="59"/>
        <v>-3749.2811030673388</v>
      </c>
      <c r="Y219" s="5">
        <f>D219*Assumptions!$D$44*-1</f>
        <v>0</v>
      </c>
      <c r="Z219" s="5">
        <f t="shared" si="55"/>
        <v>2841.6330117986968</v>
      </c>
      <c r="AA219" s="5">
        <f t="shared" si="65"/>
        <v>190448.84870494925</v>
      </c>
      <c r="AB219" s="3">
        <f>Assumptions!$E$45</f>
        <v>6.9899151946608562E-3</v>
      </c>
      <c r="AC219" s="5">
        <f t="shared" si="66"/>
        <v>194621.70301811633</v>
      </c>
      <c r="AD219" s="4">
        <f>AC219*Assumptions!$E$43</f>
        <v>174.29842888550516</v>
      </c>
      <c r="AE219" s="2">
        <f>AD219*Assumptions!$D$44*-1</f>
        <v>-26.144764332825773</v>
      </c>
      <c r="AF219" s="2">
        <f>AC219*Assumptions!$E$46*-1</f>
        <v>-6.4862010496251719</v>
      </c>
      <c r="AG219" s="5">
        <f t="shared" si="67"/>
        <v>194589.07205273389</v>
      </c>
      <c r="AH219" s="20">
        <f>Model_30y[[#This Row],[Mortgage Payment]]+Model_30y[[#This Row],[Total Upkeep]]+Model_30y[[#This Row],[Monthly Investment]]</f>
        <v>-5122.3555954326712</v>
      </c>
      <c r="AI219" s="5">
        <f>Model_Renter!D219*-1</f>
        <v>5337.1769171841106</v>
      </c>
      <c r="AJ219" s="5">
        <f t="shared" si="60"/>
        <v>214.82132175143943</v>
      </c>
    </row>
    <row r="220" spans="1:36" x14ac:dyDescent="0.25">
      <c r="A220" s="17">
        <f t="shared" si="61"/>
        <v>218</v>
      </c>
      <c r="B220" s="17">
        <f t="shared" si="56"/>
        <v>19</v>
      </c>
      <c r="C220" s="23">
        <f>IFERROR(PPMT(Assumptions!$E$17, A220, 180, Assumptions!$D$8), 0)</f>
        <v>0</v>
      </c>
      <c r="D220" s="38">
        <f>IFERROR(IPMT(Assumptions!$E$17,A220,180,Assumptions!$D$8), 0)</f>
        <v>0</v>
      </c>
      <c r="E220" s="2">
        <f t="shared" si="62"/>
        <v>0</v>
      </c>
      <c r="F220" s="2">
        <f>IF(I219&gt;1, Assumptions!$E$19, 0)*-1</f>
        <v>0</v>
      </c>
      <c r="G220" s="24">
        <f t="shared" si="57"/>
        <v>1</v>
      </c>
      <c r="H220" s="20">
        <f t="shared" si="63"/>
        <v>339999.99999999988</v>
      </c>
      <c r="I220" s="2">
        <f>MAX(Assumptions!$D$8-SUM(Model_15y!H220), 0)</f>
        <v>1.1641532182693481E-10</v>
      </c>
      <c r="J220" s="2">
        <f>J219*(1+(Assumptions!$E$51))</f>
        <v>1031164.2864268899</v>
      </c>
      <c r="K220" s="22">
        <f t="shared" si="52"/>
        <v>1031164.2864268898</v>
      </c>
      <c r="L220" s="5">
        <f t="shared" si="64"/>
        <v>425000</v>
      </c>
      <c r="M220" s="63">
        <f>L220/Assumptions!$D$6</f>
        <v>1</v>
      </c>
      <c r="N220" s="24">
        <f t="shared" si="68"/>
        <v>0</v>
      </c>
      <c r="O220" s="22">
        <f>N220*Assumptions!$E$25*-1</f>
        <v>0</v>
      </c>
      <c r="P220" s="5">
        <f>Assumptions!$E$35*J220*-1</f>
        <v>-2124.0295973486163</v>
      </c>
      <c r="Q220" s="5">
        <f>J220*Assumptions!$E$36*-1</f>
        <v>-855.39007774366814</v>
      </c>
      <c r="R220" s="5">
        <f>R208+R208*Assumptions!$D$51</f>
        <v>-781.95069934679475</v>
      </c>
      <c r="S220" s="5">
        <f>S208+(S208*Assumptions!$D$51)</f>
        <v>0</v>
      </c>
      <c r="T220" s="5">
        <f t="shared" si="58"/>
        <v>0</v>
      </c>
      <c r="U220" s="22">
        <f t="shared" si="53"/>
        <v>-3761.3703744390796</v>
      </c>
      <c r="V220" s="5">
        <f>MAX(Assumptions!$E$18:$E$19)-U220</f>
        <v>6603.0033862377768</v>
      </c>
      <c r="W220" s="5">
        <f t="shared" si="54"/>
        <v>0</v>
      </c>
      <c r="X220" s="5">
        <f t="shared" si="59"/>
        <v>-3761.3703744390796</v>
      </c>
      <c r="Y220" s="5">
        <f>D220*Assumptions!$D$44*-1</f>
        <v>0</v>
      </c>
      <c r="Z220" s="5">
        <f t="shared" si="55"/>
        <v>2841.6330117986972</v>
      </c>
      <c r="AA220" s="5">
        <f t="shared" si="65"/>
        <v>194589.07205273389</v>
      </c>
      <c r="AB220" s="3">
        <f>Assumptions!$E$45</f>
        <v>6.9899151946608562E-3</v>
      </c>
      <c r="AC220" s="5">
        <f t="shared" si="66"/>
        <v>198790.86617598895</v>
      </c>
      <c r="AD220" s="4">
        <f>AC220*Assumptions!$E$43</f>
        <v>178.03222926293216</v>
      </c>
      <c r="AE220" s="2">
        <f>AD220*Assumptions!$D$44*-1</f>
        <v>-26.704834389439824</v>
      </c>
      <c r="AF220" s="2">
        <f>AC220*Assumptions!$E$46*-1</f>
        <v>-6.6251476831778273</v>
      </c>
      <c r="AG220" s="5">
        <f t="shared" si="67"/>
        <v>198757.53619391634</v>
      </c>
      <c r="AH220" s="20">
        <f>Model_30y[[#This Row],[Mortgage Payment]]+Model_30y[[#This Row],[Total Upkeep]]+Model_30y[[#This Row],[Monthly Investment]]</f>
        <v>-5135.2712077505448</v>
      </c>
      <c r="AI220" s="5">
        <f>Model_Renter!D220*-1</f>
        <v>5337.1769171841106</v>
      </c>
      <c r="AJ220" s="5">
        <f t="shared" si="60"/>
        <v>201.90570943356579</v>
      </c>
    </row>
    <row r="221" spans="1:36" x14ac:dyDescent="0.25">
      <c r="A221" s="17">
        <f t="shared" si="61"/>
        <v>219</v>
      </c>
      <c r="B221" s="17">
        <f t="shared" si="56"/>
        <v>19</v>
      </c>
      <c r="C221" s="23">
        <f>IFERROR(PPMT(Assumptions!$E$17, A221, 180, Assumptions!$D$8), 0)</f>
        <v>0</v>
      </c>
      <c r="D221" s="38">
        <f>IFERROR(IPMT(Assumptions!$E$17,A221,180,Assumptions!$D$8), 0)</f>
        <v>0</v>
      </c>
      <c r="E221" s="2">
        <f t="shared" si="62"/>
        <v>0</v>
      </c>
      <c r="F221" s="2">
        <f>IF(I220&gt;1, Assumptions!$E$19, 0)*-1</f>
        <v>0</v>
      </c>
      <c r="G221" s="24">
        <f t="shared" si="57"/>
        <v>1</v>
      </c>
      <c r="H221" s="20">
        <f t="shared" si="63"/>
        <v>339999.99999999988</v>
      </c>
      <c r="I221" s="2">
        <f>MAX(Assumptions!$D$8-SUM(Model_15y!H221), 0)</f>
        <v>1.1641532182693481E-10</v>
      </c>
      <c r="J221" s="2">
        <f>J220*(1+(Assumptions!$E$51))</f>
        <v>1035365.3773710706</v>
      </c>
      <c r="K221" s="22">
        <f t="shared" si="52"/>
        <v>1035365.3773710704</v>
      </c>
      <c r="L221" s="5">
        <f t="shared" si="64"/>
        <v>425000</v>
      </c>
      <c r="M221" s="63">
        <f>L221/Assumptions!$D$6</f>
        <v>1</v>
      </c>
      <c r="N221" s="24">
        <f t="shared" si="68"/>
        <v>0</v>
      </c>
      <c r="O221" s="22">
        <f>N221*Assumptions!$E$25*-1</f>
        <v>0</v>
      </c>
      <c r="P221" s="5">
        <f>Assumptions!$E$35*J221*-1</f>
        <v>-2132.6831568483476</v>
      </c>
      <c r="Q221" s="5">
        <f>J221*Assumptions!$E$36*-1</f>
        <v>-858.87504280370047</v>
      </c>
      <c r="R221" s="5">
        <f>R209+R209*Assumptions!$D$51</f>
        <v>-781.95069934679475</v>
      </c>
      <c r="S221" s="5">
        <f>S209+(S209*Assumptions!$D$51)</f>
        <v>0</v>
      </c>
      <c r="T221" s="5">
        <f t="shared" si="58"/>
        <v>0</v>
      </c>
      <c r="U221" s="22">
        <f t="shared" si="53"/>
        <v>-3773.5088989988431</v>
      </c>
      <c r="V221" s="5">
        <f>MAX(Assumptions!$E$18:$E$19)-U221</f>
        <v>6615.1419107975398</v>
      </c>
      <c r="W221" s="5">
        <f t="shared" si="54"/>
        <v>0</v>
      </c>
      <c r="X221" s="5">
        <f t="shared" si="59"/>
        <v>-3773.5088989988431</v>
      </c>
      <c r="Y221" s="5">
        <f>D221*Assumptions!$D$44*-1</f>
        <v>0</v>
      </c>
      <c r="Z221" s="5">
        <f t="shared" si="55"/>
        <v>2841.6330117986968</v>
      </c>
      <c r="AA221" s="5">
        <f t="shared" si="65"/>
        <v>198757.53619391634</v>
      </c>
      <c r="AB221" s="3">
        <f>Assumptions!$E$45</f>
        <v>6.9899151946608562E-3</v>
      </c>
      <c r="AC221" s="5">
        <f t="shared" si="66"/>
        <v>202988.46752801025</v>
      </c>
      <c r="AD221" s="4">
        <f>AC221*Assumptions!$E$43</f>
        <v>181.79149819028751</v>
      </c>
      <c r="AE221" s="2">
        <f>AD221*Assumptions!$D$44*-1</f>
        <v>-27.268724728543127</v>
      </c>
      <c r="AF221" s="2">
        <f>AC221*Assumptions!$E$46*-1</f>
        <v>-6.7650420827908775</v>
      </c>
      <c r="AG221" s="5">
        <f t="shared" si="67"/>
        <v>202954.43376119892</v>
      </c>
      <c r="AH221" s="20">
        <f>Model_30y[[#This Row],[Mortgage Payment]]+Model_30y[[#This Row],[Total Upkeep]]+Model_30y[[#This Row],[Monthly Investment]]</f>
        <v>-5148.2407007657403</v>
      </c>
      <c r="AI221" s="5">
        <f>Model_Renter!D221*-1</f>
        <v>5337.1769171841106</v>
      </c>
      <c r="AJ221" s="5">
        <f t="shared" si="60"/>
        <v>188.93621641837035</v>
      </c>
    </row>
    <row r="222" spans="1:36" x14ac:dyDescent="0.25">
      <c r="A222" s="17">
        <f t="shared" si="61"/>
        <v>220</v>
      </c>
      <c r="B222" s="17">
        <f t="shared" si="56"/>
        <v>19</v>
      </c>
      <c r="C222" s="23">
        <f>IFERROR(PPMT(Assumptions!$E$17, A222, 180, Assumptions!$D$8), 0)</f>
        <v>0</v>
      </c>
      <c r="D222" s="38">
        <f>IFERROR(IPMT(Assumptions!$E$17,A222,180,Assumptions!$D$8), 0)</f>
        <v>0</v>
      </c>
      <c r="E222" s="2">
        <f t="shared" si="62"/>
        <v>0</v>
      </c>
      <c r="F222" s="2">
        <f>IF(I221&gt;1, Assumptions!$E$19, 0)*-1</f>
        <v>0</v>
      </c>
      <c r="G222" s="24">
        <f t="shared" si="57"/>
        <v>1</v>
      </c>
      <c r="H222" s="20">
        <f t="shared" si="63"/>
        <v>339999.99999999988</v>
      </c>
      <c r="I222" s="2">
        <f>MAX(Assumptions!$D$8-SUM(Model_15y!H222), 0)</f>
        <v>1.1641532182693481E-10</v>
      </c>
      <c r="J222" s="2">
        <f>J221*(1+(Assumptions!$E$51))</f>
        <v>1039583.5840797841</v>
      </c>
      <c r="K222" s="22">
        <f t="shared" si="52"/>
        <v>1039583.584079784</v>
      </c>
      <c r="L222" s="5">
        <f t="shared" si="64"/>
        <v>425000</v>
      </c>
      <c r="M222" s="63">
        <f>L222/Assumptions!$D$6</f>
        <v>1</v>
      </c>
      <c r="N222" s="24">
        <f t="shared" si="68"/>
        <v>0</v>
      </c>
      <c r="O222" s="22">
        <f>N222*Assumptions!$E$25*-1</f>
        <v>0</v>
      </c>
      <c r="P222" s="5">
        <f>Assumptions!$E$35*J222*-1</f>
        <v>-2141.37197202065</v>
      </c>
      <c r="Q222" s="5">
        <f>J222*Assumptions!$E$36*-1</f>
        <v>-862.37420604276906</v>
      </c>
      <c r="R222" s="5">
        <f>R210+R210*Assumptions!$D$51</f>
        <v>-781.95069934679475</v>
      </c>
      <c r="S222" s="5">
        <f>S210+(S210*Assumptions!$D$51)</f>
        <v>0</v>
      </c>
      <c r="T222" s="5">
        <f t="shared" si="58"/>
        <v>0</v>
      </c>
      <c r="U222" s="22">
        <f t="shared" si="53"/>
        <v>-3785.6968774102138</v>
      </c>
      <c r="V222" s="5">
        <f>MAX(Assumptions!$E$18:$E$19)-U222</f>
        <v>6627.3298892089106</v>
      </c>
      <c r="W222" s="5">
        <f t="shared" si="54"/>
        <v>0</v>
      </c>
      <c r="X222" s="5">
        <f t="shared" si="59"/>
        <v>-3785.6968774102138</v>
      </c>
      <c r="Y222" s="5">
        <f>D222*Assumptions!$D$44*-1</f>
        <v>0</v>
      </c>
      <c r="Z222" s="5">
        <f t="shared" si="55"/>
        <v>2841.6330117986968</v>
      </c>
      <c r="AA222" s="5">
        <f t="shared" si="65"/>
        <v>202954.43376119892</v>
      </c>
      <c r="AB222" s="3">
        <f>Assumptions!$E$45</f>
        <v>6.9899151946608562E-3</v>
      </c>
      <c r="AC222" s="5">
        <f t="shared" si="66"/>
        <v>207214.7010533688</v>
      </c>
      <c r="AD222" s="4">
        <f>AC222*Assumptions!$E$43</f>
        <v>185.5764093905799</v>
      </c>
      <c r="AE222" s="2">
        <f>AD222*Assumptions!$D$44*-1</f>
        <v>-27.836461408586985</v>
      </c>
      <c r="AF222" s="2">
        <f>AC222*Assumptions!$E$46*-1</f>
        <v>-6.9058907132521474</v>
      </c>
      <c r="AG222" s="5">
        <f t="shared" si="67"/>
        <v>207179.95870124697</v>
      </c>
      <c r="AH222" s="20">
        <f>Model_30y[[#This Row],[Mortgage Payment]]+Model_30y[[#This Row],[Total Upkeep]]+Model_30y[[#This Row],[Monthly Investment]]</f>
        <v>-5161.2643010558932</v>
      </c>
      <c r="AI222" s="5">
        <f>Model_Renter!D222*-1</f>
        <v>5337.1769171841106</v>
      </c>
      <c r="AJ222" s="5">
        <f t="shared" si="60"/>
        <v>175.91261612821745</v>
      </c>
    </row>
    <row r="223" spans="1:36" x14ac:dyDescent="0.25">
      <c r="A223" s="17">
        <f t="shared" si="61"/>
        <v>221</v>
      </c>
      <c r="B223" s="17">
        <f t="shared" si="56"/>
        <v>19</v>
      </c>
      <c r="C223" s="23">
        <f>IFERROR(PPMT(Assumptions!$E$17, A223, 180, Assumptions!$D$8), 0)</f>
        <v>0</v>
      </c>
      <c r="D223" s="38">
        <f>IFERROR(IPMT(Assumptions!$E$17,A223,180,Assumptions!$D$8), 0)</f>
        <v>0</v>
      </c>
      <c r="E223" s="2">
        <f t="shared" si="62"/>
        <v>0</v>
      </c>
      <c r="F223" s="2">
        <f>IF(I222&gt;1, Assumptions!$E$19, 0)*-1</f>
        <v>0</v>
      </c>
      <c r="G223" s="24">
        <f t="shared" si="57"/>
        <v>1</v>
      </c>
      <c r="H223" s="20">
        <f t="shared" si="63"/>
        <v>339999.99999999988</v>
      </c>
      <c r="I223" s="2">
        <f>MAX(Assumptions!$D$8-SUM(Model_15y!H223), 0)</f>
        <v>1.1641532182693481E-10</v>
      </c>
      <c r="J223" s="2">
        <f>J222*(1+(Assumptions!$E$51))</f>
        <v>1043818.9762847739</v>
      </c>
      <c r="K223" s="22">
        <f t="shared" si="52"/>
        <v>1043818.9762847738</v>
      </c>
      <c r="L223" s="5">
        <f t="shared" si="64"/>
        <v>425000</v>
      </c>
      <c r="M223" s="63">
        <f>L223/Assumptions!$D$6</f>
        <v>1</v>
      </c>
      <c r="N223" s="24">
        <f t="shared" si="68"/>
        <v>0</v>
      </c>
      <c r="O223" s="22">
        <f>N223*Assumptions!$E$25*-1</f>
        <v>0</v>
      </c>
      <c r="P223" s="5">
        <f>Assumptions!$E$35*J223*-1</f>
        <v>-2150.096186501497</v>
      </c>
      <c r="Q223" s="5">
        <f>J223*Assumptions!$E$36*-1</f>
        <v>-865.88762530601275</v>
      </c>
      <c r="R223" s="5">
        <f>R211+R211*Assumptions!$D$51</f>
        <v>-781.95069934679475</v>
      </c>
      <c r="S223" s="5">
        <f>S211+(S211*Assumptions!$D$51)</f>
        <v>0</v>
      </c>
      <c r="T223" s="5">
        <f t="shared" si="58"/>
        <v>0</v>
      </c>
      <c r="U223" s="22">
        <f t="shared" si="53"/>
        <v>-3797.9345111543043</v>
      </c>
      <c r="V223" s="5">
        <f>MAX(Assumptions!$E$18:$E$19)-U223</f>
        <v>6639.5675229530007</v>
      </c>
      <c r="W223" s="5">
        <f t="shared" si="54"/>
        <v>0</v>
      </c>
      <c r="X223" s="5">
        <f t="shared" si="59"/>
        <v>-3797.9345111543043</v>
      </c>
      <c r="Y223" s="5">
        <f>D223*Assumptions!$D$44*-1</f>
        <v>0</v>
      </c>
      <c r="Z223" s="5">
        <f t="shared" si="55"/>
        <v>2841.6330117986963</v>
      </c>
      <c r="AA223" s="5">
        <f t="shared" si="65"/>
        <v>207179.95870124697</v>
      </c>
      <c r="AB223" s="3">
        <f>Assumptions!$E$45</f>
        <v>6.9899151946608562E-3</v>
      </c>
      <c r="AC223" s="5">
        <f t="shared" si="66"/>
        <v>211469.76205440072</v>
      </c>
      <c r="AD223" s="4">
        <f>AC223*Assumptions!$E$43</f>
        <v>189.38713777179652</v>
      </c>
      <c r="AE223" s="2">
        <f>AD223*Assumptions!$D$44*-1</f>
        <v>-28.408070665769475</v>
      </c>
      <c r="AF223" s="2">
        <f>AC223*Assumptions!$E$46*-1</f>
        <v>-7.0477000834462995</v>
      </c>
      <c r="AG223" s="5">
        <f t="shared" si="67"/>
        <v>211434.3062836515</v>
      </c>
      <c r="AH223" s="20">
        <f>Model_30y[[#This Row],[Mortgage Payment]]+Model_30y[[#This Row],[Total Upkeep]]+Model_30y[[#This Row],[Monthly Investment]]</f>
        <v>-5174.3422361612866</v>
      </c>
      <c r="AI223" s="5">
        <f>Model_Renter!D223*-1</f>
        <v>5337.1769171841106</v>
      </c>
      <c r="AJ223" s="5">
        <f t="shared" si="60"/>
        <v>162.83468102282404</v>
      </c>
    </row>
    <row r="224" spans="1:36" x14ac:dyDescent="0.25">
      <c r="A224" s="17">
        <f t="shared" si="61"/>
        <v>222</v>
      </c>
      <c r="B224" s="17">
        <f t="shared" si="56"/>
        <v>19</v>
      </c>
      <c r="C224" s="23">
        <f>IFERROR(PPMT(Assumptions!$E$17, A224, 180, Assumptions!$D$8), 0)</f>
        <v>0</v>
      </c>
      <c r="D224" s="38">
        <f>IFERROR(IPMT(Assumptions!$E$17,A224,180,Assumptions!$D$8), 0)</f>
        <v>0</v>
      </c>
      <c r="E224" s="2">
        <f t="shared" si="62"/>
        <v>0</v>
      </c>
      <c r="F224" s="2">
        <f>IF(I223&gt;1, Assumptions!$E$19, 0)*-1</f>
        <v>0</v>
      </c>
      <c r="G224" s="24">
        <f t="shared" si="57"/>
        <v>1</v>
      </c>
      <c r="H224" s="20">
        <f t="shared" si="63"/>
        <v>339999.99999999988</v>
      </c>
      <c r="I224" s="2">
        <f>MAX(Assumptions!$D$8-SUM(Model_15y!H224), 0)</f>
        <v>1.1641532182693481E-10</v>
      </c>
      <c r="J224" s="2">
        <f>J223*(1+(Assumptions!$E$51))</f>
        <v>1048071.6240018791</v>
      </c>
      <c r="K224" s="22">
        <f t="shared" si="52"/>
        <v>1048071.624001879</v>
      </c>
      <c r="L224" s="5">
        <f t="shared" si="64"/>
        <v>425000</v>
      </c>
      <c r="M224" s="63">
        <f>L224/Assumptions!$D$6</f>
        <v>1</v>
      </c>
      <c r="N224" s="24">
        <f t="shared" si="68"/>
        <v>0</v>
      </c>
      <c r="O224" s="22">
        <f>N224*Assumptions!$E$25*-1</f>
        <v>0</v>
      </c>
      <c r="P224" s="5">
        <f>Assumptions!$E$35*J224*-1</f>
        <v>-2158.8559445120541</v>
      </c>
      <c r="Q224" s="5">
        <f>J224*Assumptions!$E$36*-1</f>
        <v>-869.41535867423875</v>
      </c>
      <c r="R224" s="5">
        <f>R212+R212*Assumptions!$D$51</f>
        <v>-781.95069934679475</v>
      </c>
      <c r="S224" s="5">
        <f>S212+(S212*Assumptions!$D$51)</f>
        <v>0</v>
      </c>
      <c r="T224" s="5">
        <f t="shared" si="58"/>
        <v>0</v>
      </c>
      <c r="U224" s="22">
        <f t="shared" si="53"/>
        <v>-3810.2220025330876</v>
      </c>
      <c r="V224" s="5">
        <f>MAX(Assumptions!$E$18:$E$19)-U224</f>
        <v>6651.8550143317843</v>
      </c>
      <c r="W224" s="5">
        <f t="shared" si="54"/>
        <v>0</v>
      </c>
      <c r="X224" s="5">
        <f t="shared" si="59"/>
        <v>-3810.2220025330876</v>
      </c>
      <c r="Y224" s="5">
        <f>D224*Assumptions!$D$44*-1</f>
        <v>0</v>
      </c>
      <c r="Z224" s="5">
        <f t="shared" si="55"/>
        <v>2841.6330117986968</v>
      </c>
      <c r="AA224" s="5">
        <f t="shared" si="65"/>
        <v>211434.3062836515</v>
      </c>
      <c r="AB224" s="3">
        <f>Assumptions!$E$45</f>
        <v>6.9899151946608562E-3</v>
      </c>
      <c r="AC224" s="5">
        <f t="shared" si="66"/>
        <v>215753.84716561486</v>
      </c>
      <c r="AD224" s="4">
        <f>AC224*Assumptions!$E$43</f>
        <v>193.22385943498585</v>
      </c>
      <c r="AE224" s="2">
        <f>AD224*Assumptions!$D$44*-1</f>
        <v>-28.983578915247875</v>
      </c>
      <c r="AF224" s="2">
        <f>AC224*Assumptions!$E$46*-1</f>
        <v>-7.1904767466556132</v>
      </c>
      <c r="AG224" s="5">
        <f t="shared" si="67"/>
        <v>215717.67310995297</v>
      </c>
      <c r="AH224" s="20">
        <f>Model_30y[[#This Row],[Mortgage Payment]]+Model_30y[[#This Row],[Total Upkeep]]+Model_30y[[#This Row],[Monthly Investment]]</f>
        <v>-5187.4747345889964</v>
      </c>
      <c r="AI224" s="5">
        <f>Model_Renter!D224*-1</f>
        <v>5337.1769171841106</v>
      </c>
      <c r="AJ224" s="5">
        <f t="shared" si="60"/>
        <v>149.70218259511421</v>
      </c>
    </row>
    <row r="225" spans="1:36" x14ac:dyDescent="0.25">
      <c r="A225" s="17">
        <f t="shared" si="61"/>
        <v>223</v>
      </c>
      <c r="B225" s="17">
        <f t="shared" si="56"/>
        <v>19</v>
      </c>
      <c r="C225" s="23">
        <f>IFERROR(PPMT(Assumptions!$E$17, A225, 180, Assumptions!$D$8), 0)</f>
        <v>0</v>
      </c>
      <c r="D225" s="38">
        <f>IFERROR(IPMT(Assumptions!$E$17,A225,180,Assumptions!$D$8), 0)</f>
        <v>0</v>
      </c>
      <c r="E225" s="2">
        <f t="shared" si="62"/>
        <v>0</v>
      </c>
      <c r="F225" s="2">
        <f>IF(I224&gt;1, Assumptions!$E$19, 0)*-1</f>
        <v>0</v>
      </c>
      <c r="G225" s="24">
        <f t="shared" si="57"/>
        <v>1</v>
      </c>
      <c r="H225" s="20">
        <f t="shared" si="63"/>
        <v>339999.99999999988</v>
      </c>
      <c r="I225" s="2">
        <f>MAX(Assumptions!$D$8-SUM(Model_15y!H225), 0)</f>
        <v>1.1641532182693481E-10</v>
      </c>
      <c r="J225" s="2">
        <f>J224*(1+(Assumptions!$E$51))</f>
        <v>1052341.5975321922</v>
      </c>
      <c r="K225" s="22">
        <f t="shared" si="52"/>
        <v>1052341.5975321922</v>
      </c>
      <c r="L225" s="5">
        <f t="shared" si="64"/>
        <v>425000</v>
      </c>
      <c r="M225" s="63">
        <f>L225/Assumptions!$D$6</f>
        <v>1</v>
      </c>
      <c r="N225" s="24">
        <f t="shared" si="68"/>
        <v>0</v>
      </c>
      <c r="O225" s="22">
        <f>N225*Assumptions!$E$25*-1</f>
        <v>0</v>
      </c>
      <c r="P225" s="5">
        <f>Assumptions!$E$35*J225*-1</f>
        <v>-2167.6513908610618</v>
      </c>
      <c r="Q225" s="5">
        <f>J225*Assumptions!$E$36*-1</f>
        <v>-872.95746446488272</v>
      </c>
      <c r="R225" s="5">
        <f>R213+R213*Assumptions!$D$51</f>
        <v>-781.95069934679475</v>
      </c>
      <c r="S225" s="5">
        <f>S213+(S213*Assumptions!$D$51)</f>
        <v>0</v>
      </c>
      <c r="T225" s="5">
        <f t="shared" si="58"/>
        <v>0</v>
      </c>
      <c r="U225" s="22">
        <f t="shared" si="53"/>
        <v>-3822.5595546727395</v>
      </c>
      <c r="V225" s="5">
        <f>MAX(Assumptions!$E$18:$E$19)-U225</f>
        <v>6664.1925664714363</v>
      </c>
      <c r="W225" s="5">
        <f t="shared" si="54"/>
        <v>0</v>
      </c>
      <c r="X225" s="5">
        <f t="shared" si="59"/>
        <v>-3822.5595546727395</v>
      </c>
      <c r="Y225" s="5">
        <f>D225*Assumptions!$D$44*-1</f>
        <v>0</v>
      </c>
      <c r="Z225" s="5">
        <f t="shared" si="55"/>
        <v>2841.6330117986968</v>
      </c>
      <c r="AA225" s="5">
        <f t="shared" si="65"/>
        <v>215717.67310995297</v>
      </c>
      <c r="AB225" s="3">
        <f>Assumptions!$E$45</f>
        <v>6.9899151946608562E-3</v>
      </c>
      <c r="AC225" s="5">
        <f t="shared" si="66"/>
        <v>220067.15436277981</v>
      </c>
      <c r="AD225" s="4">
        <f>AC225*Assumptions!$E$43</f>
        <v>197.08675168239574</v>
      </c>
      <c r="AE225" s="2">
        <f>AD225*Assumptions!$D$44*-1</f>
        <v>-29.563012752359359</v>
      </c>
      <c r="AF225" s="2">
        <f>AC225*Assumptions!$E$46*-1</f>
        <v>-7.3342273008628327</v>
      </c>
      <c r="AG225" s="5">
        <f t="shared" si="67"/>
        <v>220030.25712272659</v>
      </c>
      <c r="AH225" s="20">
        <f>Model_30y[[#This Row],[Mortgage Payment]]+Model_30y[[#This Row],[Total Upkeep]]+Model_30y[[#This Row],[Monthly Investment]]</f>
        <v>-5200.6620258170487</v>
      </c>
      <c r="AI225" s="5">
        <f>Model_Renter!D225*-1</f>
        <v>5337.1769171841106</v>
      </c>
      <c r="AJ225" s="5">
        <f t="shared" si="60"/>
        <v>136.51489136706186</v>
      </c>
    </row>
    <row r="226" spans="1:36" x14ac:dyDescent="0.25">
      <c r="A226" s="17">
        <f t="shared" si="61"/>
        <v>224</v>
      </c>
      <c r="B226" s="17">
        <f t="shared" si="56"/>
        <v>19</v>
      </c>
      <c r="C226" s="23">
        <f>IFERROR(PPMT(Assumptions!$E$17, A226, 180, Assumptions!$D$8), 0)</f>
        <v>0</v>
      </c>
      <c r="D226" s="38">
        <f>IFERROR(IPMT(Assumptions!$E$17,A226,180,Assumptions!$D$8), 0)</f>
        <v>0</v>
      </c>
      <c r="E226" s="2">
        <f t="shared" si="62"/>
        <v>0</v>
      </c>
      <c r="F226" s="2">
        <f>IF(I225&gt;1, Assumptions!$E$19, 0)*-1</f>
        <v>0</v>
      </c>
      <c r="G226" s="24">
        <f t="shared" si="57"/>
        <v>1</v>
      </c>
      <c r="H226" s="20">
        <f t="shared" si="63"/>
        <v>339999.99999999988</v>
      </c>
      <c r="I226" s="2">
        <f>MAX(Assumptions!$D$8-SUM(Model_15y!H226), 0)</f>
        <v>1.1641532182693481E-10</v>
      </c>
      <c r="J226" s="2">
        <f>J225*(1+(Assumptions!$E$51))</f>
        <v>1056628.9674632207</v>
      </c>
      <c r="K226" s="22">
        <f t="shared" si="52"/>
        <v>1056628.9674632205</v>
      </c>
      <c r="L226" s="5">
        <f t="shared" si="64"/>
        <v>425000</v>
      </c>
      <c r="M226" s="63">
        <f>L226/Assumptions!$D$6</f>
        <v>1</v>
      </c>
      <c r="N226" s="24">
        <f t="shared" si="68"/>
        <v>0</v>
      </c>
      <c r="O226" s="22">
        <f>N226*Assumptions!$E$25*-1</f>
        <v>0</v>
      </c>
      <c r="P226" s="5">
        <f>Assumptions!$E$35*J226*-1</f>
        <v>-2176.4826709472272</v>
      </c>
      <c r="Q226" s="5">
        <f>J226*Assumptions!$E$36*-1</f>
        <v>-876.51400123297253</v>
      </c>
      <c r="R226" s="5">
        <f>R214+R214*Assumptions!$D$51</f>
        <v>-781.95069934679475</v>
      </c>
      <c r="S226" s="5">
        <f>S214+(S214*Assumptions!$D$51)</f>
        <v>0</v>
      </c>
      <c r="T226" s="5">
        <f t="shared" si="58"/>
        <v>0</v>
      </c>
      <c r="U226" s="22">
        <f t="shared" si="53"/>
        <v>-3834.9473715269946</v>
      </c>
      <c r="V226" s="5">
        <f>MAX(Assumptions!$E$18:$E$19)-U226</f>
        <v>6676.5803833256914</v>
      </c>
      <c r="W226" s="5">
        <f t="shared" si="54"/>
        <v>0</v>
      </c>
      <c r="X226" s="5">
        <f t="shared" si="59"/>
        <v>-3834.9473715269946</v>
      </c>
      <c r="Y226" s="5">
        <f>D226*Assumptions!$D$44*-1</f>
        <v>0</v>
      </c>
      <c r="Z226" s="5">
        <f t="shared" si="55"/>
        <v>2841.6330117986968</v>
      </c>
      <c r="AA226" s="5">
        <f t="shared" si="65"/>
        <v>220030.25712272659</v>
      </c>
      <c r="AB226" s="3">
        <f>Assumptions!$E$45</f>
        <v>6.9899151946608562E-3</v>
      </c>
      <c r="AC226" s="5">
        <f t="shared" si="66"/>
        <v>224409.88297207258</v>
      </c>
      <c r="AD226" s="4">
        <f>AC226*Assumptions!$E$43</f>
        <v>200.97599302566672</v>
      </c>
      <c r="AE226" s="2">
        <f>AD226*Assumptions!$D$44*-1</f>
        <v>-30.146398953850007</v>
      </c>
      <c r="AF226" s="2">
        <f>AC226*Assumptions!$E$46*-1</f>
        <v>-7.4789583890560651</v>
      </c>
      <c r="AG226" s="5">
        <f t="shared" si="67"/>
        <v>224372.25761472966</v>
      </c>
      <c r="AH226" s="20">
        <f>Model_30y[[#This Row],[Mortgage Payment]]+Model_30y[[#This Row],[Total Upkeep]]+Model_30y[[#This Row],[Monthly Investment]]</f>
        <v>-5213.9043402986008</v>
      </c>
      <c r="AI226" s="5">
        <f>Model_Renter!D226*-1</f>
        <v>5337.1769171841106</v>
      </c>
      <c r="AJ226" s="5">
        <f t="shared" si="60"/>
        <v>123.27257688550981</v>
      </c>
    </row>
    <row r="227" spans="1:36" x14ac:dyDescent="0.25">
      <c r="A227" s="17">
        <f t="shared" si="61"/>
        <v>225</v>
      </c>
      <c r="B227" s="17">
        <f t="shared" si="56"/>
        <v>19</v>
      </c>
      <c r="C227" s="23">
        <f>IFERROR(PPMT(Assumptions!$E$17, A227, 180, Assumptions!$D$8), 0)</f>
        <v>0</v>
      </c>
      <c r="D227" s="38">
        <f>IFERROR(IPMT(Assumptions!$E$17,A227,180,Assumptions!$D$8), 0)</f>
        <v>0</v>
      </c>
      <c r="E227" s="2">
        <f t="shared" si="62"/>
        <v>0</v>
      </c>
      <c r="F227" s="2">
        <f>IF(I226&gt;1, Assumptions!$E$19, 0)*-1</f>
        <v>0</v>
      </c>
      <c r="G227" s="24">
        <f t="shared" si="57"/>
        <v>1</v>
      </c>
      <c r="H227" s="20">
        <f t="shared" si="63"/>
        <v>339999.99999999988</v>
      </c>
      <c r="I227" s="2">
        <f>MAX(Assumptions!$D$8-SUM(Model_15y!H227), 0)</f>
        <v>1.1641532182693481E-10</v>
      </c>
      <c r="J227" s="2">
        <f>J226*(1+(Assumptions!$E$51))</f>
        <v>1060933.8046700545</v>
      </c>
      <c r="K227" s="22">
        <f t="shared" si="52"/>
        <v>1060933.8046700545</v>
      </c>
      <c r="L227" s="5">
        <f t="shared" si="64"/>
        <v>425000</v>
      </c>
      <c r="M227" s="63">
        <f>L227/Assumptions!$D$6</f>
        <v>1</v>
      </c>
      <c r="N227" s="24">
        <f t="shared" si="68"/>
        <v>0</v>
      </c>
      <c r="O227" s="22">
        <f>N227*Assumptions!$E$25*-1</f>
        <v>0</v>
      </c>
      <c r="P227" s="5">
        <f>Assumptions!$E$35*J227*-1</f>
        <v>-2185.3499307616321</v>
      </c>
      <c r="Q227" s="5">
        <f>J227*Assumptions!$E$36*-1</f>
        <v>-880.08502777209651</v>
      </c>
      <c r="R227" s="5">
        <f>R215+R215*Assumptions!$D$51</f>
        <v>-781.95069934679475</v>
      </c>
      <c r="S227" s="5">
        <f>S215+(S215*Assumptions!$D$51)</f>
        <v>0</v>
      </c>
      <c r="T227" s="5">
        <f t="shared" si="58"/>
        <v>0</v>
      </c>
      <c r="U227" s="22">
        <f t="shared" si="53"/>
        <v>-3847.3856578805235</v>
      </c>
      <c r="V227" s="5">
        <f>MAX(Assumptions!$E$18:$E$19)-U227</f>
        <v>6689.0186696792207</v>
      </c>
      <c r="W227" s="5">
        <f t="shared" si="54"/>
        <v>0</v>
      </c>
      <c r="X227" s="5">
        <f t="shared" si="59"/>
        <v>-3847.3856578805235</v>
      </c>
      <c r="Y227" s="5">
        <f>D227*Assumptions!$D$44*-1</f>
        <v>0</v>
      </c>
      <c r="Z227" s="5">
        <f t="shared" si="55"/>
        <v>2841.6330117986972</v>
      </c>
      <c r="AA227" s="5">
        <f t="shared" si="65"/>
        <v>224372.25761472966</v>
      </c>
      <c r="AB227" s="3">
        <f>Assumptions!$E$45</f>
        <v>6.9899151946608562E-3</v>
      </c>
      <c r="AC227" s="5">
        <f t="shared" si="66"/>
        <v>228782.23367928993</v>
      </c>
      <c r="AD227" s="4">
        <f>AC227*Assumptions!$E$43</f>
        <v>204.89176319408145</v>
      </c>
      <c r="AE227" s="2">
        <f>AD227*Assumptions!$D$44*-1</f>
        <v>-30.733764479112217</v>
      </c>
      <c r="AF227" s="2">
        <f>AC227*Assumptions!$E$46*-1</f>
        <v>-7.624676699535768</v>
      </c>
      <c r="AG227" s="5">
        <f t="shared" si="67"/>
        <v>228743.87523811127</v>
      </c>
      <c r="AH227" s="20">
        <f>Model_30y[[#This Row],[Mortgage Payment]]+Model_30y[[#This Row],[Total Upkeep]]+Model_30y[[#This Row],[Monthly Investment]]</f>
        <v>-5227.2019094661364</v>
      </c>
      <c r="AI227" s="5">
        <f>Model_Renter!D227*-1</f>
        <v>5337.1769171841106</v>
      </c>
      <c r="AJ227" s="5">
        <f t="shared" si="60"/>
        <v>109.97500771797422</v>
      </c>
    </row>
    <row r="228" spans="1:36" x14ac:dyDescent="0.25">
      <c r="A228" s="17">
        <f t="shared" si="61"/>
        <v>226</v>
      </c>
      <c r="B228" s="17">
        <f t="shared" si="56"/>
        <v>19</v>
      </c>
      <c r="C228" s="23">
        <f>IFERROR(PPMT(Assumptions!$E$17, A228, 180, Assumptions!$D$8), 0)</f>
        <v>0</v>
      </c>
      <c r="D228" s="38">
        <f>IFERROR(IPMT(Assumptions!$E$17,A228,180,Assumptions!$D$8), 0)</f>
        <v>0</v>
      </c>
      <c r="E228" s="2">
        <f t="shared" si="62"/>
        <v>0</v>
      </c>
      <c r="F228" s="2">
        <f>IF(I227&gt;1, Assumptions!$E$19, 0)*-1</f>
        <v>0</v>
      </c>
      <c r="G228" s="24">
        <f t="shared" si="57"/>
        <v>1</v>
      </c>
      <c r="H228" s="20">
        <f t="shared" si="63"/>
        <v>339999.99999999988</v>
      </c>
      <c r="I228" s="2">
        <f>MAX(Assumptions!$D$8-SUM(Model_15y!H228), 0)</f>
        <v>1.1641532182693481E-10</v>
      </c>
      <c r="J228" s="2">
        <f>J227*(1+(Assumptions!$E$51))</f>
        <v>1065256.1803165374</v>
      </c>
      <c r="K228" s="22">
        <f t="shared" si="52"/>
        <v>1065256.1803165372</v>
      </c>
      <c r="L228" s="5">
        <f t="shared" si="64"/>
        <v>425000</v>
      </c>
      <c r="M228" s="63">
        <f>L228/Assumptions!$D$6</f>
        <v>1</v>
      </c>
      <c r="N228" s="24">
        <f t="shared" si="68"/>
        <v>0</v>
      </c>
      <c r="O228" s="22">
        <f>N228*Assumptions!$E$25*-1</f>
        <v>0</v>
      </c>
      <c r="P228" s="5">
        <f>Assumptions!$E$35*J228*-1</f>
        <v>-2194.2533168901423</v>
      </c>
      <c r="Q228" s="5">
        <f>J228*Assumptions!$E$36*-1</f>
        <v>-883.6706031153758</v>
      </c>
      <c r="R228" s="5">
        <f>R216+R216*Assumptions!$D$51</f>
        <v>-781.95069934679475</v>
      </c>
      <c r="S228" s="5">
        <f>S216+(S216*Assumptions!$D$51)</f>
        <v>0</v>
      </c>
      <c r="T228" s="5">
        <f t="shared" si="58"/>
        <v>0</v>
      </c>
      <c r="U228" s="22">
        <f t="shared" si="53"/>
        <v>-3859.8746193523129</v>
      </c>
      <c r="V228" s="5">
        <f>MAX(Assumptions!$E$18:$E$19)-U228</f>
        <v>6701.5076311510093</v>
      </c>
      <c r="W228" s="5">
        <f t="shared" si="54"/>
        <v>0</v>
      </c>
      <c r="X228" s="5">
        <f t="shared" si="59"/>
        <v>-3859.8746193523129</v>
      </c>
      <c r="Y228" s="5">
        <f>D228*Assumptions!$D$44*-1</f>
        <v>0</v>
      </c>
      <c r="Z228" s="5">
        <f t="shared" si="55"/>
        <v>2841.6330117986963</v>
      </c>
      <c r="AA228" s="5">
        <f t="shared" si="65"/>
        <v>228743.87523811127</v>
      </c>
      <c r="AB228" s="3">
        <f>Assumptions!$E$45</f>
        <v>6.9899151946608562E-3</v>
      </c>
      <c r="AC228" s="5">
        <f t="shared" si="66"/>
        <v>233184.40853912244</v>
      </c>
      <c r="AD228" s="4">
        <f>AC228*Assumptions!$E$43</f>
        <v>208.83424314287038</v>
      </c>
      <c r="AE228" s="2">
        <f>AD228*Assumptions!$D$44*-1</f>
        <v>-31.325136471430554</v>
      </c>
      <c r="AF228" s="2">
        <f>AC228*Assumptions!$E$46*-1</f>
        <v>-7.7713889662238325</v>
      </c>
      <c r="AG228" s="5">
        <f t="shared" si="67"/>
        <v>233145.31201368477</v>
      </c>
      <c r="AH228" s="20">
        <f>Model_30y[[#This Row],[Mortgage Payment]]+Model_30y[[#This Row],[Total Upkeep]]+Model_30y[[#This Row],[Monthly Investment]]</f>
        <v>-5240.5549657356933</v>
      </c>
      <c r="AI228" s="5">
        <f>Model_Renter!D228*-1</f>
        <v>5337.1769171841106</v>
      </c>
      <c r="AJ228" s="5">
        <f t="shared" si="60"/>
        <v>96.621951448417349</v>
      </c>
    </row>
    <row r="229" spans="1:36" x14ac:dyDescent="0.25">
      <c r="A229" s="17">
        <f t="shared" si="61"/>
        <v>227</v>
      </c>
      <c r="B229" s="17">
        <f t="shared" si="56"/>
        <v>19</v>
      </c>
      <c r="C229" s="23">
        <f>IFERROR(PPMT(Assumptions!$E$17, A229, 180, Assumptions!$D$8), 0)</f>
        <v>0</v>
      </c>
      <c r="D229" s="38">
        <f>IFERROR(IPMT(Assumptions!$E$17,A229,180,Assumptions!$D$8), 0)</f>
        <v>0</v>
      </c>
      <c r="E229" s="2">
        <f t="shared" si="62"/>
        <v>0</v>
      </c>
      <c r="F229" s="2">
        <f>IF(I228&gt;1, Assumptions!$E$19, 0)*-1</f>
        <v>0</v>
      </c>
      <c r="G229" s="24">
        <f t="shared" si="57"/>
        <v>1</v>
      </c>
      <c r="H229" s="20">
        <f t="shared" si="63"/>
        <v>339999.99999999988</v>
      </c>
      <c r="I229" s="2">
        <f>MAX(Assumptions!$D$8-SUM(Model_15y!H229), 0)</f>
        <v>1.1641532182693481E-10</v>
      </c>
      <c r="J229" s="2">
        <f>J228*(1+(Assumptions!$E$51))</f>
        <v>1069596.1658564433</v>
      </c>
      <c r="K229" s="22">
        <f t="shared" si="52"/>
        <v>1069596.1658564433</v>
      </c>
      <c r="L229" s="5">
        <f t="shared" si="64"/>
        <v>425000</v>
      </c>
      <c r="M229" s="63">
        <f>L229/Assumptions!$D$6</f>
        <v>1</v>
      </c>
      <c r="N229" s="24">
        <f t="shared" si="68"/>
        <v>0</v>
      </c>
      <c r="O229" s="22">
        <f>N229*Assumptions!$E$25*-1</f>
        <v>0</v>
      </c>
      <c r="P229" s="5">
        <f>Assumptions!$E$35*J229*-1</f>
        <v>-2203.1929765158338</v>
      </c>
      <c r="Q229" s="5">
        <f>J229*Assumptions!$E$36*-1</f>
        <v>-887.270786536439</v>
      </c>
      <c r="R229" s="5">
        <f>R217+R217*Assumptions!$D$51</f>
        <v>-781.95069934679475</v>
      </c>
      <c r="S229" s="5">
        <f>S217+(S217*Assumptions!$D$51)</f>
        <v>0</v>
      </c>
      <c r="T229" s="5">
        <f t="shared" si="58"/>
        <v>0</v>
      </c>
      <c r="U229" s="22">
        <f t="shared" si="53"/>
        <v>-3872.4144623990678</v>
      </c>
      <c r="V229" s="5">
        <f>MAX(Assumptions!$E$18:$E$19)-U229</f>
        <v>6714.047474197765</v>
      </c>
      <c r="W229" s="5">
        <f t="shared" si="54"/>
        <v>0</v>
      </c>
      <c r="X229" s="5">
        <f t="shared" si="59"/>
        <v>-3872.4144623990678</v>
      </c>
      <c r="Y229" s="5">
        <f>D229*Assumptions!$D$44*-1</f>
        <v>0</v>
      </c>
      <c r="Z229" s="5">
        <f t="shared" si="55"/>
        <v>2841.6330117986972</v>
      </c>
      <c r="AA229" s="5">
        <f t="shared" si="65"/>
        <v>233145.31201368477</v>
      </c>
      <c r="AB229" s="3">
        <f>Assumptions!$E$45</f>
        <v>6.9899151946608562E-3</v>
      </c>
      <c r="AC229" s="5">
        <f t="shared" si="66"/>
        <v>237616.61098449185</v>
      </c>
      <c r="AD229" s="4">
        <f>AC229*Assumptions!$E$43</f>
        <v>212.80361506157399</v>
      </c>
      <c r="AE229" s="2">
        <f>AD229*Assumptions!$D$44*-1</f>
        <v>-31.920542259236097</v>
      </c>
      <c r="AF229" s="2">
        <f>AC229*Assumptions!$E$46*-1</f>
        <v>-7.9191019689747666</v>
      </c>
      <c r="AG229" s="5">
        <f t="shared" si="67"/>
        <v>237576.77134026363</v>
      </c>
      <c r="AH229" s="20">
        <f>Model_30y[[#This Row],[Mortgage Payment]]+Model_30y[[#This Row],[Total Upkeep]]+Model_30y[[#This Row],[Monthly Investment]]</f>
        <v>-5253.9637425110823</v>
      </c>
      <c r="AI229" s="5">
        <f>Model_Renter!D229*-1</f>
        <v>5337.1769171841106</v>
      </c>
      <c r="AJ229" s="5">
        <f t="shared" si="60"/>
        <v>83.213174673028334</v>
      </c>
    </row>
    <row r="230" spans="1:36" x14ac:dyDescent="0.25">
      <c r="A230" s="17">
        <f t="shared" si="61"/>
        <v>228</v>
      </c>
      <c r="B230" s="17">
        <f t="shared" si="56"/>
        <v>19</v>
      </c>
      <c r="C230" s="23">
        <f>IFERROR(PPMT(Assumptions!$E$17, A230, 180, Assumptions!$D$8), 0)</f>
        <v>0</v>
      </c>
      <c r="D230" s="38">
        <f>IFERROR(IPMT(Assumptions!$E$17,A230,180,Assumptions!$D$8), 0)</f>
        <v>0</v>
      </c>
      <c r="E230" s="2">
        <f t="shared" si="62"/>
        <v>0</v>
      </c>
      <c r="F230" s="2">
        <f>IF(I229&gt;1, Assumptions!$E$19, 0)*-1</f>
        <v>0</v>
      </c>
      <c r="G230" s="24">
        <f t="shared" si="57"/>
        <v>1</v>
      </c>
      <c r="H230" s="20">
        <f t="shared" si="63"/>
        <v>339999.99999999988</v>
      </c>
      <c r="I230" s="2">
        <f>MAX(Assumptions!$D$8-SUM(Model_15y!H230), 0)</f>
        <v>1.1641532182693481E-10</v>
      </c>
      <c r="J230" s="2">
        <f>J229*(1+(Assumptions!$E$51))</f>
        <v>1073953.8330346581</v>
      </c>
      <c r="K230" s="22">
        <f t="shared" si="52"/>
        <v>1073953.8330346579</v>
      </c>
      <c r="L230" s="5">
        <f t="shared" si="64"/>
        <v>425000</v>
      </c>
      <c r="M230" s="63">
        <f>L230/Assumptions!$D$6</f>
        <v>1</v>
      </c>
      <c r="N230" s="24">
        <f t="shared" si="68"/>
        <v>0</v>
      </c>
      <c r="O230" s="22">
        <f>N230*Assumptions!$E$25*-1</f>
        <v>0</v>
      </c>
      <c r="P230" s="5">
        <f>Assumptions!$E$35*J230*-1</f>
        <v>-2212.169057421424</v>
      </c>
      <c r="Q230" s="5">
        <f>J230*Assumptions!$E$36*-1</f>
        <v>-890.88563755040343</v>
      </c>
      <c r="R230" s="5">
        <f>R218+R218*Assumptions!$D$51</f>
        <v>-781.95069934679475</v>
      </c>
      <c r="S230" s="5">
        <f>S218+(S218*Assumptions!$D$51)</f>
        <v>0</v>
      </c>
      <c r="T230" s="5">
        <f t="shared" si="58"/>
        <v>0</v>
      </c>
      <c r="U230" s="22">
        <f t="shared" si="53"/>
        <v>-3885.0053943186222</v>
      </c>
      <c r="V230" s="5">
        <f>MAX(Assumptions!$E$18:$E$19)-U230</f>
        <v>6726.6384061173194</v>
      </c>
      <c r="W230" s="5">
        <f t="shared" si="54"/>
        <v>0</v>
      </c>
      <c r="X230" s="5">
        <f t="shared" si="59"/>
        <v>-3885.0053943186222</v>
      </c>
      <c r="Y230" s="5">
        <f>D230*Assumptions!$D$44*-1</f>
        <v>0</v>
      </c>
      <c r="Z230" s="5">
        <f t="shared" si="55"/>
        <v>2841.6330117986972</v>
      </c>
      <c r="AA230" s="5">
        <f t="shared" si="65"/>
        <v>237576.77134026363</v>
      </c>
      <c r="AB230" s="3">
        <f>Assumptions!$E$45</f>
        <v>6.9899151946608562E-3</v>
      </c>
      <c r="AC230" s="5">
        <f t="shared" si="66"/>
        <v>242079.0458359521</v>
      </c>
      <c r="AD230" s="4">
        <f>AC230*Assumptions!$E$43</f>
        <v>216.80006238246216</v>
      </c>
      <c r="AE230" s="2">
        <f>AD230*Assumptions!$D$44*-1</f>
        <v>-32.520009357369325</v>
      </c>
      <c r="AF230" s="2">
        <f>AC230*Assumptions!$E$46*-1</f>
        <v>-8.0678225338890055</v>
      </c>
      <c r="AG230" s="5">
        <f t="shared" si="67"/>
        <v>242038.45800406084</v>
      </c>
      <c r="AH230" s="20">
        <f>Model_30y[[#This Row],[Mortgage Payment]]+Model_30y[[#This Row],[Total Upkeep]]+Model_30y[[#This Row],[Monthly Investment]]</f>
        <v>-5267.4284741881511</v>
      </c>
      <c r="AI230" s="5">
        <f>Model_Renter!D230*-1</f>
        <v>5337.1769171841106</v>
      </c>
      <c r="AJ230" s="5">
        <f t="shared" si="60"/>
        <v>69.748442995959522</v>
      </c>
    </row>
    <row r="231" spans="1:36" x14ac:dyDescent="0.25">
      <c r="A231" s="17">
        <f t="shared" si="61"/>
        <v>229</v>
      </c>
      <c r="B231" s="17">
        <f t="shared" si="56"/>
        <v>20</v>
      </c>
      <c r="C231" s="23">
        <f>IFERROR(PPMT(Assumptions!$E$17, A231, 180, Assumptions!$D$8), 0)</f>
        <v>0</v>
      </c>
      <c r="D231" s="38">
        <f>IFERROR(IPMT(Assumptions!$E$17,A231,180,Assumptions!$D$8), 0)</f>
        <v>0</v>
      </c>
      <c r="E231" s="2">
        <f t="shared" si="62"/>
        <v>0</v>
      </c>
      <c r="F231" s="2">
        <f>IF(I230&gt;1, Assumptions!$E$19, 0)*-1</f>
        <v>0</v>
      </c>
      <c r="G231" s="24">
        <f t="shared" si="57"/>
        <v>1</v>
      </c>
      <c r="H231" s="20">
        <f t="shared" si="63"/>
        <v>339999.99999999988</v>
      </c>
      <c r="I231" s="2">
        <f>MAX(Assumptions!$D$8-SUM(Model_15y!H231), 0)</f>
        <v>1.1641532182693481E-10</v>
      </c>
      <c r="J231" s="2">
        <f>J230*(1+(Assumptions!$E$51))</f>
        <v>1078329.2538883649</v>
      </c>
      <c r="K231" s="22">
        <f t="shared" si="52"/>
        <v>1078329.2538883649</v>
      </c>
      <c r="L231" s="5">
        <f t="shared" si="64"/>
        <v>425000</v>
      </c>
      <c r="M231" s="63">
        <f>L231/Assumptions!$D$6</f>
        <v>1</v>
      </c>
      <c r="N231" s="24">
        <f t="shared" si="68"/>
        <v>0</v>
      </c>
      <c r="O231" s="22">
        <f>N231*Assumptions!$E$25*-1</f>
        <v>0</v>
      </c>
      <c r="P231" s="5">
        <f>Assumptions!$E$35*J231*-1</f>
        <v>-2221.1817079917155</v>
      </c>
      <c r="Q231" s="5">
        <f>J231*Assumptions!$E$36*-1</f>
        <v>-894.51521591485823</v>
      </c>
      <c r="R231" s="5">
        <f>R219+R219*Assumptions!$D$51</f>
        <v>-821.04823431413445</v>
      </c>
      <c r="S231" s="5">
        <f>S219+(S219*Assumptions!$D$51)</f>
        <v>0</v>
      </c>
      <c r="T231" s="5">
        <f t="shared" si="58"/>
        <v>0</v>
      </c>
      <c r="U231" s="22">
        <f t="shared" si="53"/>
        <v>-3936.7451582207082</v>
      </c>
      <c r="V231" s="5">
        <f>MAX(Assumptions!$E$18:$E$19)-U231</f>
        <v>6778.3781700194049</v>
      </c>
      <c r="W231" s="5">
        <f t="shared" si="54"/>
        <v>0</v>
      </c>
      <c r="X231" s="5">
        <f t="shared" si="59"/>
        <v>-3936.7451582207082</v>
      </c>
      <c r="Y231" s="5">
        <f>D231*Assumptions!$D$44*-1</f>
        <v>0</v>
      </c>
      <c r="Z231" s="5">
        <f t="shared" si="55"/>
        <v>2841.6330117986968</v>
      </c>
      <c r="AA231" s="5">
        <f t="shared" si="65"/>
        <v>242038.45800406084</v>
      </c>
      <c r="AB231" s="3">
        <f>Assumptions!$E$45</f>
        <v>6.9899151946608562E-3</v>
      </c>
      <c r="AC231" s="5">
        <f t="shared" si="66"/>
        <v>246571.9193111544</v>
      </c>
      <c r="AD231" s="4">
        <f>AC231*Assumptions!$E$43</f>
        <v>220.82376978901087</v>
      </c>
      <c r="AE231" s="2">
        <f>AD231*Assumptions!$D$44*-1</f>
        <v>-33.123565468351629</v>
      </c>
      <c r="AF231" s="2">
        <f>AC231*Assumptions!$E$46*-1</f>
        <v>-8.2175575336283586</v>
      </c>
      <c r="AG231" s="5">
        <f t="shared" si="67"/>
        <v>246530.57818815243</v>
      </c>
      <c r="AH231" s="20">
        <f>Model_30y[[#This Row],[Mortgage Payment]]+Model_30y[[#This Row],[Total Upkeep]]+Model_30y[[#This Row],[Monthly Investment]]</f>
        <v>-5320.0469311263942</v>
      </c>
      <c r="AI231" s="5">
        <f>Model_Renter!D231*-1</f>
        <v>5536.7873338867967</v>
      </c>
      <c r="AJ231" s="5">
        <f t="shared" si="60"/>
        <v>216.7404027604025</v>
      </c>
    </row>
    <row r="232" spans="1:36" x14ac:dyDescent="0.25">
      <c r="A232" s="17">
        <f t="shared" si="61"/>
        <v>230</v>
      </c>
      <c r="B232" s="17">
        <f t="shared" si="56"/>
        <v>20</v>
      </c>
      <c r="C232" s="23">
        <f>IFERROR(PPMT(Assumptions!$E$17, A232, 180, Assumptions!$D$8), 0)</f>
        <v>0</v>
      </c>
      <c r="D232" s="38">
        <f>IFERROR(IPMT(Assumptions!$E$17,A232,180,Assumptions!$D$8), 0)</f>
        <v>0</v>
      </c>
      <c r="E232" s="2">
        <f t="shared" si="62"/>
        <v>0</v>
      </c>
      <c r="F232" s="2">
        <f>IF(I231&gt;1, Assumptions!$E$19, 0)*-1</f>
        <v>0</v>
      </c>
      <c r="G232" s="24">
        <f t="shared" si="57"/>
        <v>1</v>
      </c>
      <c r="H232" s="20">
        <f t="shared" si="63"/>
        <v>339999.99999999988</v>
      </c>
      <c r="I232" s="2">
        <f>MAX(Assumptions!$D$8-SUM(Model_15y!H232), 0)</f>
        <v>1.1641532182693481E-10</v>
      </c>
      <c r="J232" s="2">
        <f>J231*(1+(Assumptions!$E$51))</f>
        <v>1082722.5007482353</v>
      </c>
      <c r="K232" s="22">
        <f t="shared" si="52"/>
        <v>1082722.5007482353</v>
      </c>
      <c r="L232" s="5">
        <f t="shared" si="64"/>
        <v>425000</v>
      </c>
      <c r="M232" s="63">
        <f>L232/Assumptions!$D$6</f>
        <v>1</v>
      </c>
      <c r="N232" s="24">
        <f t="shared" si="68"/>
        <v>0</v>
      </c>
      <c r="O232" s="22">
        <f>N232*Assumptions!$E$25*-1</f>
        <v>0</v>
      </c>
      <c r="P232" s="5">
        <f>Assumptions!$E$35*J232*-1</f>
        <v>-2230.231077216049</v>
      </c>
      <c r="Q232" s="5">
        <f>J232*Assumptions!$E$36*-1</f>
        <v>-898.15958163085224</v>
      </c>
      <c r="R232" s="5">
        <f>R220+R220*Assumptions!$D$51</f>
        <v>-821.04823431413445</v>
      </c>
      <c r="S232" s="5">
        <f>S220+(S220*Assumptions!$D$51)</f>
        <v>0</v>
      </c>
      <c r="T232" s="5">
        <f t="shared" si="58"/>
        <v>0</v>
      </c>
      <c r="U232" s="22">
        <f t="shared" si="53"/>
        <v>-3949.4388931610356</v>
      </c>
      <c r="V232" s="5">
        <f>MAX(Assumptions!$E$18:$E$19)-U232</f>
        <v>6791.0719049597319</v>
      </c>
      <c r="W232" s="5">
        <f t="shared" si="54"/>
        <v>0</v>
      </c>
      <c r="X232" s="5">
        <f t="shared" si="59"/>
        <v>-3949.4388931610356</v>
      </c>
      <c r="Y232" s="5">
        <f>D232*Assumptions!$D$44*-1</f>
        <v>0</v>
      </c>
      <c r="Z232" s="5">
        <f t="shared" si="55"/>
        <v>2841.6330117986963</v>
      </c>
      <c r="AA232" s="5">
        <f t="shared" si="65"/>
        <v>246530.57818815243</v>
      </c>
      <c r="AB232" s="3">
        <f>Assumptions!$E$45</f>
        <v>6.9899151946608562E-3</v>
      </c>
      <c r="AC232" s="5">
        <f t="shared" si="66"/>
        <v>251095.43903437702</v>
      </c>
      <c r="AD232" s="4">
        <f>AC232*Assumptions!$E$43</f>
        <v>224.87492322443686</v>
      </c>
      <c r="AE232" s="2">
        <f>AD232*Assumptions!$D$44*-1</f>
        <v>-33.731238483665528</v>
      </c>
      <c r="AF232" s="2">
        <f>AC232*Assumptions!$E$46*-1</f>
        <v>-8.3683138877336134</v>
      </c>
      <c r="AG232" s="5">
        <f t="shared" si="67"/>
        <v>251053.33948200563</v>
      </c>
      <c r="AH232" s="20">
        <f>Model_30y[[#This Row],[Mortgage Payment]]+Model_30y[[#This Row],[Total Upkeep]]+Model_30y[[#This Row],[Monthly Investment]]</f>
        <v>-5333.6242797838813</v>
      </c>
      <c r="AI232" s="5">
        <f>Model_Renter!D232*-1</f>
        <v>5536.7873338867967</v>
      </c>
      <c r="AJ232" s="5">
        <f t="shared" si="60"/>
        <v>203.16305410291534</v>
      </c>
    </row>
    <row r="233" spans="1:36" x14ac:dyDescent="0.25">
      <c r="A233" s="17">
        <f t="shared" si="61"/>
        <v>231</v>
      </c>
      <c r="B233" s="17">
        <f t="shared" si="56"/>
        <v>20</v>
      </c>
      <c r="C233" s="23">
        <f>IFERROR(PPMT(Assumptions!$E$17, A233, 180, Assumptions!$D$8), 0)</f>
        <v>0</v>
      </c>
      <c r="D233" s="38">
        <f>IFERROR(IPMT(Assumptions!$E$17,A233,180,Assumptions!$D$8), 0)</f>
        <v>0</v>
      </c>
      <c r="E233" s="2">
        <f t="shared" si="62"/>
        <v>0</v>
      </c>
      <c r="F233" s="2">
        <f>IF(I232&gt;1, Assumptions!$E$19, 0)*-1</f>
        <v>0</v>
      </c>
      <c r="G233" s="24">
        <f t="shared" si="57"/>
        <v>1</v>
      </c>
      <c r="H233" s="20">
        <f t="shared" si="63"/>
        <v>339999.99999999988</v>
      </c>
      <c r="I233" s="2">
        <f>MAX(Assumptions!$D$8-SUM(Model_15y!H233), 0)</f>
        <v>1.1641532182693481E-10</v>
      </c>
      <c r="J233" s="2">
        <f>J232*(1+(Assumptions!$E$51))</f>
        <v>1087133.6462396248</v>
      </c>
      <c r="K233" s="22">
        <f t="shared" si="52"/>
        <v>1087133.6462396248</v>
      </c>
      <c r="L233" s="5">
        <f t="shared" si="64"/>
        <v>425000</v>
      </c>
      <c r="M233" s="63">
        <f>L233/Assumptions!$D$6</f>
        <v>1</v>
      </c>
      <c r="N233" s="24">
        <f t="shared" si="68"/>
        <v>0</v>
      </c>
      <c r="O233" s="22">
        <f>N233*Assumptions!$E$25*-1</f>
        <v>0</v>
      </c>
      <c r="P233" s="5">
        <f>Assumptions!$E$35*J233*-1</f>
        <v>-2239.3173146907666</v>
      </c>
      <c r="Q233" s="5">
        <f>J233*Assumptions!$E$36*-1</f>
        <v>-901.81879494388613</v>
      </c>
      <c r="R233" s="5">
        <f>R221+R221*Assumptions!$D$51</f>
        <v>-821.04823431413445</v>
      </c>
      <c r="S233" s="5">
        <f>S221+(S221*Assumptions!$D$51)</f>
        <v>0</v>
      </c>
      <c r="T233" s="5">
        <f t="shared" si="58"/>
        <v>0</v>
      </c>
      <c r="U233" s="22">
        <f t="shared" si="53"/>
        <v>-3962.184343948787</v>
      </c>
      <c r="V233" s="5">
        <f>MAX(Assumptions!$E$18:$E$19)-U233</f>
        <v>6803.8173557474838</v>
      </c>
      <c r="W233" s="5">
        <f t="shared" si="54"/>
        <v>0</v>
      </c>
      <c r="X233" s="5">
        <f t="shared" si="59"/>
        <v>-3962.184343948787</v>
      </c>
      <c r="Y233" s="5">
        <f>D233*Assumptions!$D$44*-1</f>
        <v>0</v>
      </c>
      <c r="Z233" s="5">
        <f t="shared" si="55"/>
        <v>2841.6330117986968</v>
      </c>
      <c r="AA233" s="5">
        <f t="shared" si="65"/>
        <v>251053.33948200563</v>
      </c>
      <c r="AB233" s="3">
        <f>Assumptions!$E$45</f>
        <v>6.9899151946608562E-3</v>
      </c>
      <c r="AC233" s="5">
        <f t="shared" si="66"/>
        <v>255649.81404611995</v>
      </c>
      <c r="AD233" s="4">
        <f>AC233*Assumptions!$E$43</f>
        <v>228.95370990029028</v>
      </c>
      <c r="AE233" s="2">
        <f>AD233*Assumptions!$D$44*-1</f>
        <v>-34.34305648504354</v>
      </c>
      <c r="AF233" s="2">
        <f>AC233*Assumptions!$E$46*-1</f>
        <v>-8.5200985629442894</v>
      </c>
      <c r="AG233" s="5">
        <f t="shared" si="67"/>
        <v>255606.95089107196</v>
      </c>
      <c r="AH233" s="20">
        <f>Model_30y[[#This Row],[Mortgage Payment]]+Model_30y[[#This Row],[Total Upkeep]]+Model_30y[[#This Row],[Monthly Investment]]</f>
        <v>-5347.2582925256083</v>
      </c>
      <c r="AI233" s="5">
        <f>Model_Renter!D233*-1</f>
        <v>5536.7873338867967</v>
      </c>
      <c r="AJ233" s="5">
        <f t="shared" si="60"/>
        <v>189.52904136118832</v>
      </c>
    </row>
    <row r="234" spans="1:36" x14ac:dyDescent="0.25">
      <c r="A234" s="17">
        <f t="shared" si="61"/>
        <v>232</v>
      </c>
      <c r="B234" s="17">
        <f t="shared" si="56"/>
        <v>20</v>
      </c>
      <c r="C234" s="23">
        <f>IFERROR(PPMT(Assumptions!$E$17, A234, 180, Assumptions!$D$8), 0)</f>
        <v>0</v>
      </c>
      <c r="D234" s="38">
        <f>IFERROR(IPMT(Assumptions!$E$17,A234,180,Assumptions!$D$8), 0)</f>
        <v>0</v>
      </c>
      <c r="E234" s="2">
        <f t="shared" si="62"/>
        <v>0</v>
      </c>
      <c r="F234" s="2">
        <f>IF(I233&gt;1, Assumptions!$E$19, 0)*-1</f>
        <v>0</v>
      </c>
      <c r="G234" s="24">
        <f t="shared" si="57"/>
        <v>1</v>
      </c>
      <c r="H234" s="20">
        <f t="shared" si="63"/>
        <v>339999.99999999988</v>
      </c>
      <c r="I234" s="2">
        <f>MAX(Assumptions!$D$8-SUM(Model_15y!H234), 0)</f>
        <v>1.1641532182693481E-10</v>
      </c>
      <c r="J234" s="2">
        <f>J233*(1+(Assumptions!$E$51))</f>
        <v>1091562.763283774</v>
      </c>
      <c r="K234" s="22">
        <f t="shared" si="52"/>
        <v>1091562.7632837738</v>
      </c>
      <c r="L234" s="5">
        <f t="shared" si="64"/>
        <v>425000</v>
      </c>
      <c r="M234" s="63">
        <f>L234/Assumptions!$D$6</f>
        <v>1</v>
      </c>
      <c r="N234" s="24">
        <f t="shared" si="68"/>
        <v>0</v>
      </c>
      <c r="O234" s="22">
        <f>N234*Assumptions!$E$25*-1</f>
        <v>0</v>
      </c>
      <c r="P234" s="5">
        <f>Assumptions!$E$35*J234*-1</f>
        <v>-2248.4405706216839</v>
      </c>
      <c r="Q234" s="5">
        <f>J234*Assumptions!$E$36*-1</f>
        <v>-905.49291634490817</v>
      </c>
      <c r="R234" s="5">
        <f>R222+R222*Assumptions!$D$51</f>
        <v>-821.04823431413445</v>
      </c>
      <c r="S234" s="5">
        <f>S222+(S222*Assumptions!$D$51)</f>
        <v>0</v>
      </c>
      <c r="T234" s="5">
        <f t="shared" si="58"/>
        <v>0</v>
      </c>
      <c r="U234" s="22">
        <f t="shared" si="53"/>
        <v>-3974.9817212807266</v>
      </c>
      <c r="V234" s="5">
        <f>MAX(Assumptions!$E$18:$E$19)-U234</f>
        <v>6816.6147330794229</v>
      </c>
      <c r="W234" s="5">
        <f t="shared" si="54"/>
        <v>0</v>
      </c>
      <c r="X234" s="5">
        <f t="shared" si="59"/>
        <v>-3974.9817212807266</v>
      </c>
      <c r="Y234" s="5">
        <f>D234*Assumptions!$D$44*-1</f>
        <v>0</v>
      </c>
      <c r="Z234" s="5">
        <f t="shared" si="55"/>
        <v>2841.6330117986963</v>
      </c>
      <c r="AA234" s="5">
        <f t="shared" si="65"/>
        <v>255606.95089107196</v>
      </c>
      <c r="AB234" s="3">
        <f>Assumptions!$E$45</f>
        <v>6.9899151946608562E-3</v>
      </c>
      <c r="AC234" s="5">
        <f t="shared" si="66"/>
        <v>260235.25481276508</v>
      </c>
      <c r="AD234" s="4">
        <f>AC234*Assumptions!$E$43</f>
        <v>233.06031830510625</v>
      </c>
      <c r="AE234" s="2">
        <f>AD234*Assumptions!$D$44*-1</f>
        <v>-34.959047745765936</v>
      </c>
      <c r="AF234" s="2">
        <f>AC234*Assumptions!$E$46*-1</f>
        <v>-8.6729185735205974</v>
      </c>
      <c r="AG234" s="5">
        <f t="shared" si="67"/>
        <v>260191.6228464458</v>
      </c>
      <c r="AH234" s="20">
        <f>Model_30y[[#This Row],[Mortgage Payment]]+Model_30y[[#This Row],[Total Upkeep]]+Model_30y[[#This Row],[Monthly Investment]]</f>
        <v>-5360.9492077584655</v>
      </c>
      <c r="AI234" s="5">
        <f>Model_Renter!D234*-1</f>
        <v>5536.7873338867967</v>
      </c>
      <c r="AJ234" s="5">
        <f t="shared" si="60"/>
        <v>175.83812612833117</v>
      </c>
    </row>
    <row r="235" spans="1:36" x14ac:dyDescent="0.25">
      <c r="A235" s="17">
        <f t="shared" si="61"/>
        <v>233</v>
      </c>
      <c r="B235" s="17">
        <f t="shared" si="56"/>
        <v>20</v>
      </c>
      <c r="C235" s="23">
        <f>IFERROR(PPMT(Assumptions!$E$17, A235, 180, Assumptions!$D$8), 0)</f>
        <v>0</v>
      </c>
      <c r="D235" s="38">
        <f>IFERROR(IPMT(Assumptions!$E$17,A235,180,Assumptions!$D$8), 0)</f>
        <v>0</v>
      </c>
      <c r="E235" s="2">
        <f t="shared" si="62"/>
        <v>0</v>
      </c>
      <c r="F235" s="2">
        <f>IF(I234&gt;1, Assumptions!$E$19, 0)*-1</f>
        <v>0</v>
      </c>
      <c r="G235" s="24">
        <f t="shared" si="57"/>
        <v>1</v>
      </c>
      <c r="H235" s="20">
        <f t="shared" si="63"/>
        <v>339999.99999999988</v>
      </c>
      <c r="I235" s="2">
        <f>MAX(Assumptions!$D$8-SUM(Model_15y!H235), 0)</f>
        <v>1.1641532182693481E-10</v>
      </c>
      <c r="J235" s="2">
        <f>J234*(1+(Assumptions!$E$51))</f>
        <v>1096009.9250990134</v>
      </c>
      <c r="K235" s="22">
        <f t="shared" si="52"/>
        <v>1096009.9250990134</v>
      </c>
      <c r="L235" s="5">
        <f t="shared" si="64"/>
        <v>425000</v>
      </c>
      <c r="M235" s="63">
        <f>L235/Assumptions!$D$6</f>
        <v>1</v>
      </c>
      <c r="N235" s="24">
        <f t="shared" si="68"/>
        <v>0</v>
      </c>
      <c r="O235" s="22">
        <f>N235*Assumptions!$E$25*-1</f>
        <v>0</v>
      </c>
      <c r="P235" s="5">
        <f>Assumptions!$E$35*J235*-1</f>
        <v>-2257.6009958265736</v>
      </c>
      <c r="Q235" s="5">
        <f>J235*Assumptions!$E$36*-1</f>
        <v>-909.18200657131399</v>
      </c>
      <c r="R235" s="5">
        <f>R223+R223*Assumptions!$D$51</f>
        <v>-821.04823431413445</v>
      </c>
      <c r="S235" s="5">
        <f>S223+(S223*Assumptions!$D$51)</f>
        <v>0</v>
      </c>
      <c r="T235" s="5">
        <f t="shared" si="58"/>
        <v>0</v>
      </c>
      <c r="U235" s="22">
        <f t="shared" si="53"/>
        <v>-3987.831236712022</v>
      </c>
      <c r="V235" s="5">
        <f>MAX(Assumptions!$E$18:$E$19)-U235</f>
        <v>6829.4642485107188</v>
      </c>
      <c r="W235" s="5">
        <f t="shared" si="54"/>
        <v>0</v>
      </c>
      <c r="X235" s="5">
        <f t="shared" si="59"/>
        <v>-3987.831236712022</v>
      </c>
      <c r="Y235" s="5">
        <f>D235*Assumptions!$D$44*-1</f>
        <v>0</v>
      </c>
      <c r="Z235" s="5">
        <f t="shared" si="55"/>
        <v>2841.6330117986968</v>
      </c>
      <c r="AA235" s="5">
        <f t="shared" si="65"/>
        <v>260191.6228464458</v>
      </c>
      <c r="AB235" s="3">
        <f>Assumptions!$E$45</f>
        <v>6.9899151946608562E-3</v>
      </c>
      <c r="AC235" s="5">
        <f t="shared" si="66"/>
        <v>264851.97323630232</v>
      </c>
      <c r="AD235" s="4">
        <f>AC235*Assumptions!$E$43</f>
        <v>237.19493821311519</v>
      </c>
      <c r="AE235" s="2">
        <f>AD235*Assumptions!$D$44*-1</f>
        <v>-35.579240731967275</v>
      </c>
      <c r="AF235" s="2">
        <f>AC235*Assumptions!$E$46*-1</f>
        <v>-8.8267809815675751</v>
      </c>
      <c r="AG235" s="5">
        <f t="shared" si="67"/>
        <v>264807.56721458881</v>
      </c>
      <c r="AH235" s="20">
        <f>Model_30y[[#This Row],[Mortgage Payment]]+Model_30y[[#This Row],[Total Upkeep]]+Model_30y[[#This Row],[Monthly Investment]]</f>
        <v>-5374.697264902924</v>
      </c>
      <c r="AI235" s="5">
        <f>Model_Renter!D235*-1</f>
        <v>5536.7873338867967</v>
      </c>
      <c r="AJ235" s="5">
        <f t="shared" si="60"/>
        <v>162.0900689838727</v>
      </c>
    </row>
    <row r="236" spans="1:36" x14ac:dyDescent="0.25">
      <c r="A236" s="17">
        <f t="shared" si="61"/>
        <v>234</v>
      </c>
      <c r="B236" s="17">
        <f t="shared" si="56"/>
        <v>20</v>
      </c>
      <c r="C236" s="23">
        <f>IFERROR(PPMT(Assumptions!$E$17, A236, 180, Assumptions!$D$8), 0)</f>
        <v>0</v>
      </c>
      <c r="D236" s="38">
        <f>IFERROR(IPMT(Assumptions!$E$17,A236,180,Assumptions!$D$8), 0)</f>
        <v>0</v>
      </c>
      <c r="E236" s="2">
        <f t="shared" si="62"/>
        <v>0</v>
      </c>
      <c r="F236" s="2">
        <f>IF(I235&gt;1, Assumptions!$E$19, 0)*-1</f>
        <v>0</v>
      </c>
      <c r="G236" s="24">
        <f t="shared" si="57"/>
        <v>1</v>
      </c>
      <c r="H236" s="20">
        <f t="shared" si="63"/>
        <v>339999.99999999988</v>
      </c>
      <c r="I236" s="2">
        <f>MAX(Assumptions!$D$8-SUM(Model_15y!H236), 0)</f>
        <v>1.1641532182693481E-10</v>
      </c>
      <c r="J236" s="2">
        <f>J235*(1+(Assumptions!$E$51))</f>
        <v>1100475.2052019739</v>
      </c>
      <c r="K236" s="22">
        <f t="shared" si="52"/>
        <v>1100475.2052019737</v>
      </c>
      <c r="L236" s="5">
        <f t="shared" si="64"/>
        <v>425000</v>
      </c>
      <c r="M236" s="63">
        <f>L236/Assumptions!$D$6</f>
        <v>1</v>
      </c>
      <c r="N236" s="24">
        <f t="shared" si="68"/>
        <v>0</v>
      </c>
      <c r="O236" s="22">
        <f>N236*Assumptions!$E$25*-1</f>
        <v>0</v>
      </c>
      <c r="P236" s="5">
        <f>Assumptions!$E$35*J236*-1</f>
        <v>-2266.7987417376585</v>
      </c>
      <c r="Q236" s="5">
        <f>J236*Assumptions!$E$36*-1</f>
        <v>-912.88612660795138</v>
      </c>
      <c r="R236" s="5">
        <f>R224+R224*Assumptions!$D$51</f>
        <v>-821.04823431413445</v>
      </c>
      <c r="S236" s="5">
        <f>S224+(S224*Assumptions!$D$51)</f>
        <v>0</v>
      </c>
      <c r="T236" s="5">
        <f t="shared" si="58"/>
        <v>0</v>
      </c>
      <c r="U236" s="22">
        <f t="shared" si="53"/>
        <v>-4000.7331026597444</v>
      </c>
      <c r="V236" s="5">
        <f>MAX(Assumptions!$E$18:$E$19)-U236</f>
        <v>6842.3661144584412</v>
      </c>
      <c r="W236" s="5">
        <f t="shared" si="54"/>
        <v>0</v>
      </c>
      <c r="X236" s="5">
        <f t="shared" si="59"/>
        <v>-4000.7331026597444</v>
      </c>
      <c r="Y236" s="5">
        <f>D236*Assumptions!$D$44*-1</f>
        <v>0</v>
      </c>
      <c r="Z236" s="5">
        <f t="shared" si="55"/>
        <v>2841.6330117986968</v>
      </c>
      <c r="AA236" s="5">
        <f t="shared" si="65"/>
        <v>264807.56721458881</v>
      </c>
      <c r="AB236" s="3">
        <f>Assumptions!$E$45</f>
        <v>6.9899151946608562E-3</v>
      </c>
      <c r="AC236" s="5">
        <f t="shared" si="66"/>
        <v>269500.18266412197</v>
      </c>
      <c r="AD236" s="4">
        <f>AC236*Assumptions!$E$43</f>
        <v>241.35776069301272</v>
      </c>
      <c r="AE236" s="2">
        <f>AD236*Assumptions!$D$44*-1</f>
        <v>-36.203664103951908</v>
      </c>
      <c r="AF236" s="2">
        <f>AC236*Assumptions!$E$46*-1</f>
        <v>-8.9816928973614427</v>
      </c>
      <c r="AG236" s="5">
        <f t="shared" si="67"/>
        <v>269454.99730712065</v>
      </c>
      <c r="AH236" s="20">
        <f>Model_30y[[#This Row],[Mortgage Payment]]+Model_30y[[#This Row],[Total Upkeep]]+Model_30y[[#This Row],[Monthly Investment]]</f>
        <v>-5388.5027043974032</v>
      </c>
      <c r="AI236" s="5">
        <f>Model_Renter!D236*-1</f>
        <v>5536.7873338867967</v>
      </c>
      <c r="AJ236" s="5">
        <f t="shared" si="60"/>
        <v>148.28462948939341</v>
      </c>
    </row>
    <row r="237" spans="1:36" x14ac:dyDescent="0.25">
      <c r="A237" s="17">
        <f t="shared" si="61"/>
        <v>235</v>
      </c>
      <c r="B237" s="17">
        <f t="shared" si="56"/>
        <v>20</v>
      </c>
      <c r="C237" s="23">
        <f>IFERROR(PPMT(Assumptions!$E$17, A237, 180, Assumptions!$D$8), 0)</f>
        <v>0</v>
      </c>
      <c r="D237" s="38">
        <f>IFERROR(IPMT(Assumptions!$E$17,A237,180,Assumptions!$D$8), 0)</f>
        <v>0</v>
      </c>
      <c r="E237" s="2">
        <f t="shared" si="62"/>
        <v>0</v>
      </c>
      <c r="F237" s="2">
        <f>IF(I236&gt;1, Assumptions!$E$19, 0)*-1</f>
        <v>0</v>
      </c>
      <c r="G237" s="24">
        <f t="shared" si="57"/>
        <v>1</v>
      </c>
      <c r="H237" s="20">
        <f t="shared" si="63"/>
        <v>339999.99999999988</v>
      </c>
      <c r="I237" s="2">
        <f>MAX(Assumptions!$D$8-SUM(Model_15y!H237), 0)</f>
        <v>1.1641532182693481E-10</v>
      </c>
      <c r="J237" s="2">
        <f>J236*(1+(Assumptions!$E$51))</f>
        <v>1104958.6774088026</v>
      </c>
      <c r="K237" s="22">
        <f t="shared" si="52"/>
        <v>1104958.6774088023</v>
      </c>
      <c r="L237" s="5">
        <f t="shared" si="64"/>
        <v>425000</v>
      </c>
      <c r="M237" s="63">
        <f>L237/Assumptions!$D$6</f>
        <v>1</v>
      </c>
      <c r="N237" s="24">
        <f t="shared" si="68"/>
        <v>0</v>
      </c>
      <c r="O237" s="22">
        <f>N237*Assumptions!$E$25*-1</f>
        <v>0</v>
      </c>
      <c r="P237" s="5">
        <f>Assumptions!$E$35*J237*-1</f>
        <v>-2276.0339604041164</v>
      </c>
      <c r="Q237" s="5">
        <f>J237*Assumptions!$E$36*-1</f>
        <v>-916.60533768812741</v>
      </c>
      <c r="R237" s="5">
        <f>R225+R225*Assumptions!$D$51</f>
        <v>-821.04823431413445</v>
      </c>
      <c r="S237" s="5">
        <f>S225+(S225*Assumptions!$D$51)</f>
        <v>0</v>
      </c>
      <c r="T237" s="5">
        <f t="shared" si="58"/>
        <v>0</v>
      </c>
      <c r="U237" s="22">
        <f t="shared" si="53"/>
        <v>-4013.6875324063781</v>
      </c>
      <c r="V237" s="5">
        <f>MAX(Assumptions!$E$18:$E$19)-U237</f>
        <v>6855.3205442050748</v>
      </c>
      <c r="W237" s="5">
        <f t="shared" si="54"/>
        <v>0</v>
      </c>
      <c r="X237" s="5">
        <f t="shared" si="59"/>
        <v>-4013.6875324063781</v>
      </c>
      <c r="Y237" s="5">
        <f>D237*Assumptions!$D$44*-1</f>
        <v>0</v>
      </c>
      <c r="Z237" s="5">
        <f t="shared" si="55"/>
        <v>2841.6330117986968</v>
      </c>
      <c r="AA237" s="5">
        <f t="shared" si="65"/>
        <v>269454.99730712065</v>
      </c>
      <c r="AB237" s="3">
        <f>Assumptions!$E$45</f>
        <v>6.9899151946608562E-3</v>
      </c>
      <c r="AC237" s="5">
        <f t="shared" si="66"/>
        <v>274180.09789887373</v>
      </c>
      <c r="AD237" s="4">
        <f>AC237*Assumptions!$E$43</f>
        <v>245.54897811678916</v>
      </c>
      <c r="AE237" s="2">
        <f>AD237*Assumptions!$D$44*-1</f>
        <v>-36.832346717518369</v>
      </c>
      <c r="AF237" s="2">
        <f>AC237*Assumptions!$E$46*-1</f>
        <v>-9.1376614796781759</v>
      </c>
      <c r="AG237" s="5">
        <f t="shared" si="67"/>
        <v>274134.12789067655</v>
      </c>
      <c r="AH237" s="20">
        <f>Model_30y[[#This Row],[Mortgage Payment]]+Model_30y[[#This Row],[Total Upkeep]]+Model_30y[[#This Row],[Monthly Investment]]</f>
        <v>-5402.365767702654</v>
      </c>
      <c r="AI237" s="5">
        <f>Model_Renter!D237*-1</f>
        <v>5536.7873338867967</v>
      </c>
      <c r="AJ237" s="5">
        <f t="shared" si="60"/>
        <v>134.42156618414265</v>
      </c>
    </row>
    <row r="238" spans="1:36" x14ac:dyDescent="0.25">
      <c r="A238" s="17">
        <f t="shared" si="61"/>
        <v>236</v>
      </c>
      <c r="B238" s="17">
        <f t="shared" si="56"/>
        <v>20</v>
      </c>
      <c r="C238" s="23">
        <f>IFERROR(PPMT(Assumptions!$E$17, A238, 180, Assumptions!$D$8), 0)</f>
        <v>0</v>
      </c>
      <c r="D238" s="38">
        <f>IFERROR(IPMT(Assumptions!$E$17,A238,180,Assumptions!$D$8), 0)</f>
        <v>0</v>
      </c>
      <c r="E238" s="2">
        <f t="shared" si="62"/>
        <v>0</v>
      </c>
      <c r="F238" s="2">
        <f>IF(I237&gt;1, Assumptions!$E$19, 0)*-1</f>
        <v>0</v>
      </c>
      <c r="G238" s="24">
        <f t="shared" si="57"/>
        <v>1</v>
      </c>
      <c r="H238" s="20">
        <f t="shared" si="63"/>
        <v>339999.99999999988</v>
      </c>
      <c r="I238" s="2">
        <f>MAX(Assumptions!$D$8-SUM(Model_15y!H238), 0)</f>
        <v>1.1641532182693481E-10</v>
      </c>
      <c r="J238" s="2">
        <f>J237*(1+(Assumptions!$E$51))</f>
        <v>1109460.4158363824</v>
      </c>
      <c r="K238" s="22">
        <f t="shared" si="52"/>
        <v>1109460.4158363822</v>
      </c>
      <c r="L238" s="5">
        <f t="shared" si="64"/>
        <v>425000</v>
      </c>
      <c r="M238" s="63">
        <f>L238/Assumptions!$D$6</f>
        <v>1</v>
      </c>
      <c r="N238" s="24">
        <f t="shared" si="68"/>
        <v>0</v>
      </c>
      <c r="O238" s="22">
        <f>N238*Assumptions!$E$25*-1</f>
        <v>0</v>
      </c>
      <c r="P238" s="5">
        <f>Assumptions!$E$35*J238*-1</f>
        <v>-2285.3068044945899</v>
      </c>
      <c r="Q238" s="5">
        <f>J238*Assumptions!$E$36*-1</f>
        <v>-920.3397012946217</v>
      </c>
      <c r="R238" s="5">
        <f>R226+R226*Assumptions!$D$51</f>
        <v>-821.04823431413445</v>
      </c>
      <c r="S238" s="5">
        <f>S226+(S226*Assumptions!$D$51)</f>
        <v>0</v>
      </c>
      <c r="T238" s="5">
        <f t="shared" si="58"/>
        <v>0</v>
      </c>
      <c r="U238" s="22">
        <f t="shared" si="53"/>
        <v>-4026.6947401033458</v>
      </c>
      <c r="V238" s="5">
        <f>MAX(Assumptions!$E$18:$E$19)-U238</f>
        <v>6868.327751902043</v>
      </c>
      <c r="W238" s="5">
        <f t="shared" si="54"/>
        <v>0</v>
      </c>
      <c r="X238" s="5">
        <f t="shared" si="59"/>
        <v>-4026.6947401033458</v>
      </c>
      <c r="Y238" s="5">
        <f>D238*Assumptions!$D$44*-1</f>
        <v>0</v>
      </c>
      <c r="Z238" s="5">
        <f t="shared" si="55"/>
        <v>2841.6330117986972</v>
      </c>
      <c r="AA238" s="5">
        <f t="shared" si="65"/>
        <v>274134.12789067655</v>
      </c>
      <c r="AB238" s="3">
        <f>Assumptions!$E$45</f>
        <v>6.9899151946608562E-3</v>
      </c>
      <c r="AC238" s="5">
        <f t="shared" si="66"/>
        <v>278891.93520839344</v>
      </c>
      <c r="AD238" s="4">
        <f>AC238*Assumptions!$E$43</f>
        <v>249.76878416861959</v>
      </c>
      <c r="AE238" s="2">
        <f>AD238*Assumptions!$D$44*-1</f>
        <v>-37.46531762529294</v>
      </c>
      <c r="AF238" s="2">
        <f>AC238*Assumptions!$E$46*-1</f>
        <v>-9.2946939361243341</v>
      </c>
      <c r="AG238" s="5">
        <f t="shared" si="67"/>
        <v>278845.17519683205</v>
      </c>
      <c r="AH238" s="20">
        <f>Model_30y[[#This Row],[Mortgage Payment]]+Model_30y[[#This Row],[Total Upkeep]]+Model_30y[[#This Row],[Monthly Investment]]</f>
        <v>-5416.2866973061682</v>
      </c>
      <c r="AI238" s="5">
        <f>Model_Renter!D238*-1</f>
        <v>5536.7873338867967</v>
      </c>
      <c r="AJ238" s="5">
        <f t="shared" si="60"/>
        <v>120.50063658062845</v>
      </c>
    </row>
    <row r="239" spans="1:36" x14ac:dyDescent="0.25">
      <c r="A239" s="17">
        <f t="shared" si="61"/>
        <v>237</v>
      </c>
      <c r="B239" s="17">
        <f t="shared" si="56"/>
        <v>20</v>
      </c>
      <c r="C239" s="23">
        <f>IFERROR(PPMT(Assumptions!$E$17, A239, 180, Assumptions!$D$8), 0)</f>
        <v>0</v>
      </c>
      <c r="D239" s="38">
        <f>IFERROR(IPMT(Assumptions!$E$17,A239,180,Assumptions!$D$8), 0)</f>
        <v>0</v>
      </c>
      <c r="E239" s="2">
        <f t="shared" si="62"/>
        <v>0</v>
      </c>
      <c r="F239" s="2">
        <f>IF(I238&gt;1, Assumptions!$E$19, 0)*-1</f>
        <v>0</v>
      </c>
      <c r="G239" s="24">
        <f t="shared" si="57"/>
        <v>1</v>
      </c>
      <c r="H239" s="20">
        <f t="shared" si="63"/>
        <v>339999.99999999988</v>
      </c>
      <c r="I239" s="2">
        <f>MAX(Assumptions!$D$8-SUM(Model_15y!H239), 0)</f>
        <v>1.1641532182693481E-10</v>
      </c>
      <c r="J239" s="2">
        <f>J238*(1+(Assumptions!$E$51))</f>
        <v>1113980.4949035579</v>
      </c>
      <c r="K239" s="22">
        <f t="shared" si="52"/>
        <v>1113980.4949035579</v>
      </c>
      <c r="L239" s="5">
        <f t="shared" si="64"/>
        <v>425000</v>
      </c>
      <c r="M239" s="63">
        <f>L239/Assumptions!$D$6</f>
        <v>1</v>
      </c>
      <c r="N239" s="24">
        <f t="shared" si="68"/>
        <v>0</v>
      </c>
      <c r="O239" s="22">
        <f>N239*Assumptions!$E$25*-1</f>
        <v>0</v>
      </c>
      <c r="P239" s="5">
        <f>Assumptions!$E$35*J239*-1</f>
        <v>-2294.617427299715</v>
      </c>
      <c r="Q239" s="5">
        <f>J239*Assumptions!$E$36*-1</f>
        <v>-924.08927916070195</v>
      </c>
      <c r="R239" s="5">
        <f>R227+R227*Assumptions!$D$51</f>
        <v>-821.04823431413445</v>
      </c>
      <c r="S239" s="5">
        <f>S227+(S227*Assumptions!$D$51)</f>
        <v>0</v>
      </c>
      <c r="T239" s="5">
        <f t="shared" si="58"/>
        <v>0</v>
      </c>
      <c r="U239" s="22">
        <f t="shared" si="53"/>
        <v>-4039.7549407745514</v>
      </c>
      <c r="V239" s="5">
        <f>MAX(Assumptions!$E$18:$E$19)-U239</f>
        <v>6881.3879525732482</v>
      </c>
      <c r="W239" s="5">
        <f t="shared" si="54"/>
        <v>0</v>
      </c>
      <c r="X239" s="5">
        <f t="shared" si="59"/>
        <v>-4039.7549407745514</v>
      </c>
      <c r="Y239" s="5">
        <f>D239*Assumptions!$D$44*-1</f>
        <v>0</v>
      </c>
      <c r="Z239" s="5">
        <f t="shared" si="55"/>
        <v>2841.6330117986968</v>
      </c>
      <c r="AA239" s="5">
        <f t="shared" si="65"/>
        <v>278845.17519683205</v>
      </c>
      <c r="AB239" s="3">
        <f>Assumptions!$E$45</f>
        <v>6.9899151946608562E-3</v>
      </c>
      <c r="AC239" s="5">
        <f t="shared" si="66"/>
        <v>283635.91233569698</v>
      </c>
      <c r="AD239" s="4">
        <f>AC239*Assumptions!$E$43</f>
        <v>254.01737385381421</v>
      </c>
      <c r="AE239" s="2">
        <f>AD239*Assumptions!$D$44*-1</f>
        <v>-38.102606078072128</v>
      </c>
      <c r="AF239" s="2">
        <f>AC239*Assumptions!$E$46*-1</f>
        <v>-9.4527975234701387</v>
      </c>
      <c r="AG239" s="5">
        <f t="shared" si="67"/>
        <v>283588.35693209543</v>
      </c>
      <c r="AH239" s="20">
        <f>Model_30y[[#This Row],[Mortgage Payment]]+Model_30y[[#This Row],[Total Upkeep]]+Model_30y[[#This Row],[Monthly Investment]]</f>
        <v>-5430.2657367265974</v>
      </c>
      <c r="AI239" s="5">
        <f>Model_Renter!D239*-1</f>
        <v>5536.7873338867967</v>
      </c>
      <c r="AJ239" s="5">
        <f t="shared" si="60"/>
        <v>106.52159716019924</v>
      </c>
    </row>
    <row r="240" spans="1:36" x14ac:dyDescent="0.25">
      <c r="A240" s="17">
        <f t="shared" si="61"/>
        <v>238</v>
      </c>
      <c r="B240" s="17">
        <f t="shared" si="56"/>
        <v>20</v>
      </c>
      <c r="C240" s="23">
        <f>IFERROR(PPMT(Assumptions!$E$17, A240, 180, Assumptions!$D$8), 0)</f>
        <v>0</v>
      </c>
      <c r="D240" s="38">
        <f>IFERROR(IPMT(Assumptions!$E$17,A240,180,Assumptions!$D$8), 0)</f>
        <v>0</v>
      </c>
      <c r="E240" s="2">
        <f t="shared" si="62"/>
        <v>0</v>
      </c>
      <c r="F240" s="2">
        <f>IF(I239&gt;1, Assumptions!$E$19, 0)*-1</f>
        <v>0</v>
      </c>
      <c r="G240" s="24">
        <f t="shared" si="57"/>
        <v>1</v>
      </c>
      <c r="H240" s="20">
        <f t="shared" si="63"/>
        <v>339999.99999999988</v>
      </c>
      <c r="I240" s="2">
        <f>MAX(Assumptions!$D$8-SUM(Model_15y!H240), 0)</f>
        <v>1.1641532182693481E-10</v>
      </c>
      <c r="J240" s="2">
        <f>J239*(1+(Assumptions!$E$51))</f>
        <v>1118518.9893323649</v>
      </c>
      <c r="K240" s="22">
        <f t="shared" si="52"/>
        <v>1118518.9893323649</v>
      </c>
      <c r="L240" s="5">
        <f t="shared" si="64"/>
        <v>425000</v>
      </c>
      <c r="M240" s="63">
        <f>L240/Assumptions!$D$6</f>
        <v>1</v>
      </c>
      <c r="N240" s="24">
        <f t="shared" si="68"/>
        <v>0</v>
      </c>
      <c r="O240" s="22">
        <f>N240*Assumptions!$E$25*-1</f>
        <v>0</v>
      </c>
      <c r="P240" s="5">
        <f>Assumptions!$E$35*J240*-1</f>
        <v>-2303.9659827346509</v>
      </c>
      <c r="Q240" s="5">
        <f>J240*Assumptions!$E$36*-1</f>
        <v>-927.85413327114509</v>
      </c>
      <c r="R240" s="5">
        <f>R228+R228*Assumptions!$D$51</f>
        <v>-821.04823431413445</v>
      </c>
      <c r="S240" s="5">
        <f>S228+(S228*Assumptions!$D$51)</f>
        <v>0</v>
      </c>
      <c r="T240" s="5">
        <f t="shared" si="58"/>
        <v>0</v>
      </c>
      <c r="U240" s="22">
        <f t="shared" si="53"/>
        <v>-4052.8683503199304</v>
      </c>
      <c r="V240" s="5">
        <f>MAX(Assumptions!$E$18:$E$19)-U240</f>
        <v>6894.5013621186272</v>
      </c>
      <c r="W240" s="5">
        <f t="shared" si="54"/>
        <v>0</v>
      </c>
      <c r="X240" s="5">
        <f t="shared" si="59"/>
        <v>-4052.8683503199304</v>
      </c>
      <c r="Y240" s="5">
        <f>D240*Assumptions!$D$44*-1</f>
        <v>0</v>
      </c>
      <c r="Z240" s="5">
        <f t="shared" si="55"/>
        <v>2841.6330117986968</v>
      </c>
      <c r="AA240" s="5">
        <f t="shared" si="65"/>
        <v>283588.35693209543</v>
      </c>
      <c r="AB240" s="3">
        <f>Assumptions!$E$45</f>
        <v>6.9899151946608562E-3</v>
      </c>
      <c r="AC240" s="5">
        <f t="shared" si="66"/>
        <v>288412.24850904272</v>
      </c>
      <c r="AD240" s="4">
        <f>AC240*Assumptions!$E$43</f>
        <v>258.29494350783</v>
      </c>
      <c r="AE240" s="2">
        <f>AD240*Assumptions!$D$44*-1</f>
        <v>-38.744241526174498</v>
      </c>
      <c r="AF240" s="2">
        <f>AC240*Assumptions!$E$46*-1</f>
        <v>-9.6119795479848165</v>
      </c>
      <c r="AG240" s="5">
        <f t="shared" si="67"/>
        <v>288363.89228796854</v>
      </c>
      <c r="AH240" s="20">
        <f>Model_30y[[#This Row],[Mortgage Payment]]+Model_30y[[#This Row],[Total Upkeep]]+Model_30y[[#This Row],[Monthly Investment]]</f>
        <v>-5444.3031305181958</v>
      </c>
      <c r="AI240" s="5">
        <f>Model_Renter!D240*-1</f>
        <v>5536.7873338867967</v>
      </c>
      <c r="AJ240" s="5">
        <f t="shared" si="60"/>
        <v>92.484203368600902</v>
      </c>
    </row>
    <row r="241" spans="1:36" x14ac:dyDescent="0.25">
      <c r="A241" s="17">
        <f t="shared" si="61"/>
        <v>239</v>
      </c>
      <c r="B241" s="17">
        <f t="shared" si="56"/>
        <v>20</v>
      </c>
      <c r="C241" s="23">
        <f>IFERROR(PPMT(Assumptions!$E$17, A241, 180, Assumptions!$D$8), 0)</f>
        <v>0</v>
      </c>
      <c r="D241" s="38">
        <f>IFERROR(IPMT(Assumptions!$E$17,A241,180,Assumptions!$D$8), 0)</f>
        <v>0</v>
      </c>
      <c r="E241" s="2">
        <f t="shared" si="62"/>
        <v>0</v>
      </c>
      <c r="F241" s="2">
        <f>IF(I240&gt;1, Assumptions!$E$19, 0)*-1</f>
        <v>0</v>
      </c>
      <c r="G241" s="24">
        <f t="shared" si="57"/>
        <v>1</v>
      </c>
      <c r="H241" s="20">
        <f t="shared" si="63"/>
        <v>339999.99999999988</v>
      </c>
      <c r="I241" s="2">
        <f>MAX(Assumptions!$D$8-SUM(Model_15y!H241), 0)</f>
        <v>1.1641532182693481E-10</v>
      </c>
      <c r="J241" s="2">
        <f>J240*(1+(Assumptions!$E$51))</f>
        <v>1123075.9741492663</v>
      </c>
      <c r="K241" s="22">
        <f t="shared" si="52"/>
        <v>1123075.9741492663</v>
      </c>
      <c r="L241" s="5">
        <f t="shared" si="64"/>
        <v>425000</v>
      </c>
      <c r="M241" s="63">
        <f>L241/Assumptions!$D$6</f>
        <v>1</v>
      </c>
      <c r="N241" s="24">
        <f t="shared" si="68"/>
        <v>0</v>
      </c>
      <c r="O241" s="22">
        <f>N241*Assumptions!$E$25*-1</f>
        <v>0</v>
      </c>
      <c r="P241" s="5">
        <f>Assumptions!$E$35*J241*-1</f>
        <v>-2313.3526253416271</v>
      </c>
      <c r="Q241" s="5">
        <f>J241*Assumptions!$E$36*-1</f>
        <v>-931.63432586326155</v>
      </c>
      <c r="R241" s="5">
        <f>R229+R229*Assumptions!$D$51</f>
        <v>-821.04823431413445</v>
      </c>
      <c r="S241" s="5">
        <f>S229+(S229*Assumptions!$D$51)</f>
        <v>0</v>
      </c>
      <c r="T241" s="5">
        <f t="shared" si="58"/>
        <v>0</v>
      </c>
      <c r="U241" s="22">
        <f t="shared" si="53"/>
        <v>-4066.0351855190229</v>
      </c>
      <c r="V241" s="5">
        <f>MAX(Assumptions!$E$18:$E$19)-U241</f>
        <v>6907.6681973177201</v>
      </c>
      <c r="W241" s="5">
        <f t="shared" si="54"/>
        <v>0</v>
      </c>
      <c r="X241" s="5">
        <f t="shared" si="59"/>
        <v>-4066.0351855190229</v>
      </c>
      <c r="Y241" s="5">
        <f>D241*Assumptions!$D$44*-1</f>
        <v>0</v>
      </c>
      <c r="Z241" s="5">
        <f t="shared" si="55"/>
        <v>2841.6330117986972</v>
      </c>
      <c r="AA241" s="5">
        <f t="shared" si="65"/>
        <v>288363.89228796854</v>
      </c>
      <c r="AB241" s="3">
        <f>Assumptions!$E$45</f>
        <v>6.9899151946608562E-3</v>
      </c>
      <c r="AC241" s="5">
        <f t="shared" si="66"/>
        <v>293221.16445206245</v>
      </c>
      <c r="AD241" s="4">
        <f>AC241*Assumptions!$E$43</f>
        <v>262.60169080534376</v>
      </c>
      <c r="AE241" s="2">
        <f>AD241*Assumptions!$D$44*-1</f>
        <v>-39.390253620801566</v>
      </c>
      <c r="AF241" s="2">
        <f>AC241*Assumptions!$E$46*-1</f>
        <v>-9.7722473657742341</v>
      </c>
      <c r="AG241" s="5">
        <f t="shared" si="67"/>
        <v>293172.00195107586</v>
      </c>
      <c r="AH241" s="20">
        <f>Model_30y[[#This Row],[Mortgage Payment]]+Model_30y[[#This Row],[Total Upkeep]]+Model_30y[[#This Row],[Monthly Investment]]</f>
        <v>-5458.3991242752854</v>
      </c>
      <c r="AI241" s="5">
        <f>Model_Renter!D241*-1</f>
        <v>5536.7873338867967</v>
      </c>
      <c r="AJ241" s="5">
        <f t="shared" si="60"/>
        <v>78.388209611511229</v>
      </c>
    </row>
    <row r="242" spans="1:36" x14ac:dyDescent="0.25">
      <c r="A242" s="17">
        <f t="shared" si="61"/>
        <v>240</v>
      </c>
      <c r="B242" s="17">
        <f t="shared" si="56"/>
        <v>20</v>
      </c>
      <c r="C242" s="23">
        <f>IFERROR(PPMT(Assumptions!$E$17, A242, 180, Assumptions!$D$8), 0)</f>
        <v>0</v>
      </c>
      <c r="D242" s="38">
        <f>IFERROR(IPMT(Assumptions!$E$17,A242,180,Assumptions!$D$8), 0)</f>
        <v>0</v>
      </c>
      <c r="E242" s="2">
        <f t="shared" si="62"/>
        <v>0</v>
      </c>
      <c r="F242" s="2">
        <f>IF(I241&gt;1, Assumptions!$E$19, 0)*-1</f>
        <v>0</v>
      </c>
      <c r="G242" s="24">
        <f t="shared" si="57"/>
        <v>1</v>
      </c>
      <c r="H242" s="20">
        <f t="shared" si="63"/>
        <v>339999.99999999988</v>
      </c>
      <c r="I242" s="2">
        <f>MAX(Assumptions!$D$8-SUM(Model_15y!H242), 0)</f>
        <v>1.1641532182693481E-10</v>
      </c>
      <c r="J242" s="2">
        <f>J241*(1+(Assumptions!$E$51))</f>
        <v>1127651.5246863919</v>
      </c>
      <c r="K242" s="22">
        <f t="shared" si="52"/>
        <v>1127651.5246863919</v>
      </c>
      <c r="L242" s="5">
        <f t="shared" si="64"/>
        <v>425000</v>
      </c>
      <c r="M242" s="63">
        <f>L242/Assumptions!$D$6</f>
        <v>1</v>
      </c>
      <c r="N242" s="24">
        <f t="shared" si="68"/>
        <v>0</v>
      </c>
      <c r="O242" s="22">
        <f>N242*Assumptions!$E$25*-1</f>
        <v>0</v>
      </c>
      <c r="P242" s="5">
        <f>Assumptions!$E$35*J242*-1</f>
        <v>-2322.777510292497</v>
      </c>
      <c r="Q242" s="5">
        <f>J242*Assumptions!$E$36*-1</f>
        <v>-935.42991942792435</v>
      </c>
      <c r="R242" s="5">
        <f>R230+R230*Assumptions!$D$51</f>
        <v>-821.04823431413445</v>
      </c>
      <c r="S242" s="5">
        <f>S230+(S230*Assumptions!$D$51)</f>
        <v>0</v>
      </c>
      <c r="T242" s="5">
        <f t="shared" si="58"/>
        <v>0</v>
      </c>
      <c r="U242" s="22">
        <f t="shared" si="53"/>
        <v>-4079.2556640345556</v>
      </c>
      <c r="V242" s="5">
        <f>MAX(Assumptions!$E$18:$E$19)-U242</f>
        <v>6920.8886758332519</v>
      </c>
      <c r="W242" s="5">
        <f t="shared" si="54"/>
        <v>0</v>
      </c>
      <c r="X242" s="5">
        <f t="shared" si="59"/>
        <v>-4079.2556640345556</v>
      </c>
      <c r="Y242" s="5">
        <f>D242*Assumptions!$D$44*-1</f>
        <v>0</v>
      </c>
      <c r="Z242" s="5">
        <f t="shared" si="55"/>
        <v>2841.6330117986963</v>
      </c>
      <c r="AA242" s="5">
        <f t="shared" si="65"/>
        <v>293172.00195107586</v>
      </c>
      <c r="AB242" s="3">
        <f>Assumptions!$E$45</f>
        <v>6.9899151946608562E-3</v>
      </c>
      <c r="AC242" s="5">
        <f t="shared" si="66"/>
        <v>298062.88239396154</v>
      </c>
      <c r="AD242" s="4">
        <f>AC242*Assumptions!$E$43</f>
        <v>266.93781476938705</v>
      </c>
      <c r="AE242" s="2">
        <f>AD242*Assumptions!$D$44*-1</f>
        <v>-40.040672215408058</v>
      </c>
      <c r="AF242" s="2">
        <f>AC242*Assumptions!$E$46*-1</f>
        <v>-9.9336083831208537</v>
      </c>
      <c r="AG242" s="5">
        <f t="shared" si="67"/>
        <v>298012.90811336302</v>
      </c>
      <c r="AH242" s="20">
        <f>Model_30y[[#This Row],[Mortgage Payment]]+Model_30y[[#This Row],[Total Upkeep]]+Model_30y[[#This Row],[Monthly Investment]]</f>
        <v>-5472.5539646367406</v>
      </c>
      <c r="AI242" s="5">
        <f>Model_Renter!D242*-1</f>
        <v>5536.7873338867967</v>
      </c>
      <c r="AJ242" s="5">
        <f t="shared" si="60"/>
        <v>64.233369250056057</v>
      </c>
    </row>
    <row r="243" spans="1:36" x14ac:dyDescent="0.25">
      <c r="A243" s="17">
        <f t="shared" si="61"/>
        <v>241</v>
      </c>
      <c r="B243" s="17">
        <f t="shared" si="56"/>
        <v>21</v>
      </c>
      <c r="C243" s="23">
        <f>IFERROR(PPMT(Assumptions!$E$17, A243, 180, Assumptions!$D$8), 0)</f>
        <v>0</v>
      </c>
      <c r="D243" s="38">
        <f>IFERROR(IPMT(Assumptions!$E$17,A243,180,Assumptions!$D$8), 0)</f>
        <v>0</v>
      </c>
      <c r="E243" s="2">
        <f t="shared" si="62"/>
        <v>0</v>
      </c>
      <c r="F243" s="2">
        <f>IF(I242&gt;1, Assumptions!$E$19, 0)*-1</f>
        <v>0</v>
      </c>
      <c r="G243" s="24">
        <f t="shared" si="57"/>
        <v>1</v>
      </c>
      <c r="H243" s="20">
        <f t="shared" si="63"/>
        <v>339999.99999999988</v>
      </c>
      <c r="I243" s="2">
        <f>MAX(Assumptions!$D$8-SUM(Model_15y!H243), 0)</f>
        <v>1.1641532182693481E-10</v>
      </c>
      <c r="J243" s="2">
        <f>J242*(1+(Assumptions!$E$51))</f>
        <v>1132245.7165827842</v>
      </c>
      <c r="K243" s="22">
        <f t="shared" si="52"/>
        <v>1132245.716582784</v>
      </c>
      <c r="L243" s="5">
        <f t="shared" si="64"/>
        <v>425000</v>
      </c>
      <c r="M243" s="63">
        <f>L243/Assumptions!$D$6</f>
        <v>1</v>
      </c>
      <c r="N243" s="24">
        <f t="shared" si="68"/>
        <v>0</v>
      </c>
      <c r="O243" s="22">
        <f>N243*Assumptions!$E$25*-1</f>
        <v>0</v>
      </c>
      <c r="P243" s="5">
        <f>Assumptions!$E$35*J243*-1</f>
        <v>-2332.2407933913032</v>
      </c>
      <c r="Q243" s="5">
        <f>J243*Assumptions!$E$36*-1</f>
        <v>-939.24097671060201</v>
      </c>
      <c r="R243" s="5">
        <f>R231+R231*Assumptions!$D$51</f>
        <v>-862.10064602984119</v>
      </c>
      <c r="S243" s="5">
        <f>S231+(S231*Assumptions!$D$51)</f>
        <v>0</v>
      </c>
      <c r="T243" s="5">
        <f t="shared" si="58"/>
        <v>0</v>
      </c>
      <c r="U243" s="22">
        <f t="shared" si="53"/>
        <v>-4133.582416131746</v>
      </c>
      <c r="V243" s="5">
        <f>MAX(Assumptions!$E$18:$E$19)-U243</f>
        <v>6975.2154279304432</v>
      </c>
      <c r="W243" s="5">
        <f t="shared" si="54"/>
        <v>0</v>
      </c>
      <c r="X243" s="5">
        <f t="shared" si="59"/>
        <v>-4133.582416131746</v>
      </c>
      <c r="Y243" s="5">
        <f>D243*Assumptions!$D$44*-1</f>
        <v>0</v>
      </c>
      <c r="Z243" s="5">
        <f t="shared" si="55"/>
        <v>2841.6330117986972</v>
      </c>
      <c r="AA243" s="5">
        <f t="shared" si="65"/>
        <v>298012.90811336302</v>
      </c>
      <c r="AB243" s="3">
        <f>Assumptions!$E$45</f>
        <v>6.9899151946608562E-3</v>
      </c>
      <c r="AC243" s="5">
        <f t="shared" si="66"/>
        <v>302937.62607978843</v>
      </c>
      <c r="AD243" s="4">
        <f>AC243*Assumptions!$E$43</f>
        <v>271.30351578054342</v>
      </c>
      <c r="AE243" s="2">
        <f>AD243*Assumptions!$D$44*-1</f>
        <v>-40.69552736708151</v>
      </c>
      <c r="AF243" s="2">
        <f>AC243*Assumptions!$E$46*-1</f>
        <v>-10.096070056825974</v>
      </c>
      <c r="AG243" s="5">
        <f t="shared" si="67"/>
        <v>302886.83448236453</v>
      </c>
      <c r="AH243" s="20">
        <f>Model_30y[[#This Row],[Mortgage Payment]]+Model_30y[[#This Row],[Total Upkeep]]+Model_30y[[#This Row],[Monthly Investment]]</f>
        <v>-5527.8203110061913</v>
      </c>
      <c r="AI243" s="5">
        <f>Model_Renter!D243*-1</f>
        <v>5743.8631801741631</v>
      </c>
      <c r="AJ243" s="5">
        <f t="shared" si="60"/>
        <v>216.04286916797173</v>
      </c>
    </row>
    <row r="244" spans="1:36" x14ac:dyDescent="0.25">
      <c r="A244" s="17">
        <f t="shared" si="61"/>
        <v>242</v>
      </c>
      <c r="B244" s="17">
        <f t="shared" si="56"/>
        <v>21</v>
      </c>
      <c r="C244" s="23">
        <f>IFERROR(PPMT(Assumptions!$E$17, A244, 180, Assumptions!$D$8), 0)</f>
        <v>0</v>
      </c>
      <c r="D244" s="38">
        <f>IFERROR(IPMT(Assumptions!$E$17,A244,180,Assumptions!$D$8), 0)</f>
        <v>0</v>
      </c>
      <c r="E244" s="2">
        <f t="shared" si="62"/>
        <v>0</v>
      </c>
      <c r="F244" s="2">
        <f>IF(I243&gt;1, Assumptions!$E$19, 0)*-1</f>
        <v>0</v>
      </c>
      <c r="G244" s="24">
        <f t="shared" si="57"/>
        <v>1</v>
      </c>
      <c r="H244" s="20">
        <f t="shared" si="63"/>
        <v>339999.99999999988</v>
      </c>
      <c r="I244" s="2">
        <f>MAX(Assumptions!$D$8-SUM(Model_15y!H244), 0)</f>
        <v>1.1641532182693481E-10</v>
      </c>
      <c r="J244" s="2">
        <f>J243*(1+(Assumptions!$E$51))</f>
        <v>1136858.6257856481</v>
      </c>
      <c r="K244" s="22">
        <f t="shared" si="52"/>
        <v>1136858.6257856479</v>
      </c>
      <c r="L244" s="5">
        <f t="shared" si="64"/>
        <v>425000</v>
      </c>
      <c r="M244" s="63">
        <f>L244/Assumptions!$D$6</f>
        <v>1</v>
      </c>
      <c r="N244" s="24">
        <f t="shared" si="68"/>
        <v>0</v>
      </c>
      <c r="O244" s="22">
        <f>N244*Assumptions!$E$25*-1</f>
        <v>0</v>
      </c>
      <c r="P244" s="5">
        <f>Assumptions!$E$35*J244*-1</f>
        <v>-2341.7426310768537</v>
      </c>
      <c r="Q244" s="5">
        <f>J244*Assumptions!$E$36*-1</f>
        <v>-943.06756071239579</v>
      </c>
      <c r="R244" s="5">
        <f>R232+R232*Assumptions!$D$51</f>
        <v>-862.10064602984119</v>
      </c>
      <c r="S244" s="5">
        <f>S232+(S232*Assumptions!$D$51)</f>
        <v>0</v>
      </c>
      <c r="T244" s="5">
        <f t="shared" si="58"/>
        <v>0</v>
      </c>
      <c r="U244" s="22">
        <f t="shared" si="53"/>
        <v>-4146.9108378190904</v>
      </c>
      <c r="V244" s="5">
        <f>MAX(Assumptions!$E$18:$E$19)-U244</f>
        <v>6988.5438496177867</v>
      </c>
      <c r="W244" s="5">
        <f t="shared" si="54"/>
        <v>0</v>
      </c>
      <c r="X244" s="5">
        <f t="shared" si="59"/>
        <v>-4146.9108378190904</v>
      </c>
      <c r="Y244" s="5">
        <f>D244*Assumptions!$D$44*-1</f>
        <v>0</v>
      </c>
      <c r="Z244" s="5">
        <f t="shared" si="55"/>
        <v>2841.6330117986963</v>
      </c>
      <c r="AA244" s="5">
        <f t="shared" si="65"/>
        <v>302886.83448236453</v>
      </c>
      <c r="AB244" s="3">
        <f>Assumptions!$E$45</f>
        <v>6.9899151946608562E-3</v>
      </c>
      <c r="AC244" s="5">
        <f t="shared" si="66"/>
        <v>307845.62078077428</v>
      </c>
      <c r="AD244" s="4">
        <f>AC244*Assumptions!$E$43</f>
        <v>275.69899558620818</v>
      </c>
      <c r="AE244" s="2">
        <f>AD244*Assumptions!$D$44*-1</f>
        <v>-41.354849337931228</v>
      </c>
      <c r="AF244" s="2">
        <f>AC244*Assumptions!$E$46*-1</f>
        <v>-10.259639894554327</v>
      </c>
      <c r="AG244" s="5">
        <f t="shared" si="67"/>
        <v>307794.00629154179</v>
      </c>
      <c r="AH244" s="20">
        <f>Model_30y[[#This Row],[Mortgage Payment]]+Model_30y[[#This Row],[Total Upkeep]]+Model_30y[[#This Row],[Monthly Investment]]</f>
        <v>-5542.0935886937195</v>
      </c>
      <c r="AI244" s="5">
        <f>Model_Renter!D244*-1</f>
        <v>5743.8631801741631</v>
      </c>
      <c r="AJ244" s="5">
        <f t="shared" si="60"/>
        <v>201.76959148044352</v>
      </c>
    </row>
    <row r="245" spans="1:36" x14ac:dyDescent="0.25">
      <c r="A245" s="17">
        <f t="shared" si="61"/>
        <v>243</v>
      </c>
      <c r="B245" s="17">
        <f t="shared" si="56"/>
        <v>21</v>
      </c>
      <c r="C245" s="23">
        <f>IFERROR(PPMT(Assumptions!$E$17, A245, 180, Assumptions!$D$8), 0)</f>
        <v>0</v>
      </c>
      <c r="D245" s="38">
        <f>IFERROR(IPMT(Assumptions!$E$17,A245,180,Assumptions!$D$8), 0)</f>
        <v>0</v>
      </c>
      <c r="E245" s="2">
        <f t="shared" si="62"/>
        <v>0</v>
      </c>
      <c r="F245" s="2">
        <f>IF(I244&gt;1, Assumptions!$E$19, 0)*-1</f>
        <v>0</v>
      </c>
      <c r="G245" s="24">
        <f t="shared" si="57"/>
        <v>1</v>
      </c>
      <c r="H245" s="20">
        <f t="shared" si="63"/>
        <v>339999.99999999988</v>
      </c>
      <c r="I245" s="2">
        <f>MAX(Assumptions!$D$8-SUM(Model_15y!H245), 0)</f>
        <v>1.1641532182693481E-10</v>
      </c>
      <c r="J245" s="2">
        <f>J244*(1+(Assumptions!$E$51))</f>
        <v>1141490.3285516072</v>
      </c>
      <c r="K245" s="22">
        <f t="shared" si="52"/>
        <v>1141490.3285516072</v>
      </c>
      <c r="L245" s="5">
        <f t="shared" si="64"/>
        <v>425000</v>
      </c>
      <c r="M245" s="63">
        <f>L245/Assumptions!$D$6</f>
        <v>1</v>
      </c>
      <c r="N245" s="24">
        <f t="shared" si="68"/>
        <v>0</v>
      </c>
      <c r="O245" s="22">
        <f>N245*Assumptions!$E$25*-1</f>
        <v>0</v>
      </c>
      <c r="P245" s="5">
        <f>Assumptions!$E$35*J245*-1</f>
        <v>-2351.2831804253074</v>
      </c>
      <c r="Q245" s="5">
        <f>J245*Assumptions!$E$36*-1</f>
        <v>-946.90973469108144</v>
      </c>
      <c r="R245" s="5">
        <f>R233+R233*Assumptions!$D$51</f>
        <v>-862.10064602984119</v>
      </c>
      <c r="S245" s="5">
        <f>S233+(S233*Assumptions!$D$51)</f>
        <v>0</v>
      </c>
      <c r="T245" s="5">
        <f t="shared" si="58"/>
        <v>0</v>
      </c>
      <c r="U245" s="22">
        <f t="shared" si="53"/>
        <v>-4160.2935611462299</v>
      </c>
      <c r="V245" s="5">
        <f>MAX(Assumptions!$E$18:$E$19)-U245</f>
        <v>7001.9265729449271</v>
      </c>
      <c r="W245" s="5">
        <f t="shared" si="54"/>
        <v>0</v>
      </c>
      <c r="X245" s="5">
        <f t="shared" si="59"/>
        <v>-4160.2935611462299</v>
      </c>
      <c r="Y245" s="5">
        <f>D245*Assumptions!$D$44*-1</f>
        <v>0</v>
      </c>
      <c r="Z245" s="5">
        <f t="shared" si="55"/>
        <v>2841.6330117986972</v>
      </c>
      <c r="AA245" s="5">
        <f t="shared" si="65"/>
        <v>307794.00629154179</v>
      </c>
      <c r="AB245" s="3">
        <f>Assumptions!$E$45</f>
        <v>6.9899151946608562E-3</v>
      </c>
      <c r="AC245" s="5">
        <f t="shared" si="66"/>
        <v>312787.09330474329</v>
      </c>
      <c r="AD245" s="4">
        <f>AC245*Assumptions!$E$43</f>
        <v>280.12445730991186</v>
      </c>
      <c r="AE245" s="2">
        <f>AD245*Assumptions!$D$44*-1</f>
        <v>-42.018668596486776</v>
      </c>
      <c r="AF245" s="2">
        <f>AC245*Assumptions!$E$46*-1</f>
        <v>-10.424325455181028</v>
      </c>
      <c r="AG245" s="5">
        <f t="shared" si="67"/>
        <v>312734.65031069162</v>
      </c>
      <c r="AH245" s="20">
        <f>Model_30y[[#This Row],[Mortgage Payment]]+Model_30y[[#This Row],[Total Upkeep]]+Model_30y[[#This Row],[Monthly Investment]]</f>
        <v>-5556.4264592146446</v>
      </c>
      <c r="AI245" s="5">
        <f>Model_Renter!D245*-1</f>
        <v>5743.8631801741631</v>
      </c>
      <c r="AJ245" s="5">
        <f t="shared" si="60"/>
        <v>187.43672095951842</v>
      </c>
    </row>
    <row r="246" spans="1:36" x14ac:dyDescent="0.25">
      <c r="A246" s="17">
        <f t="shared" si="61"/>
        <v>244</v>
      </c>
      <c r="B246" s="17">
        <f t="shared" si="56"/>
        <v>21</v>
      </c>
      <c r="C246" s="23">
        <f>IFERROR(PPMT(Assumptions!$E$17, A246, 180, Assumptions!$D$8), 0)</f>
        <v>0</v>
      </c>
      <c r="D246" s="38">
        <f>IFERROR(IPMT(Assumptions!$E$17,A246,180,Assumptions!$D$8), 0)</f>
        <v>0</v>
      </c>
      <c r="E246" s="2">
        <f t="shared" si="62"/>
        <v>0</v>
      </c>
      <c r="F246" s="2">
        <f>IF(I245&gt;1, Assumptions!$E$19, 0)*-1</f>
        <v>0</v>
      </c>
      <c r="G246" s="24">
        <f t="shared" si="57"/>
        <v>1</v>
      </c>
      <c r="H246" s="20">
        <f t="shared" si="63"/>
        <v>339999.99999999988</v>
      </c>
      <c r="I246" s="2">
        <f>MAX(Assumptions!$D$8-SUM(Model_15y!H246), 0)</f>
        <v>1.1641532182693481E-10</v>
      </c>
      <c r="J246" s="2">
        <f>J245*(1+(Assumptions!$E$51))</f>
        <v>1146140.9014479639</v>
      </c>
      <c r="K246" s="22">
        <f t="shared" si="52"/>
        <v>1146140.9014479639</v>
      </c>
      <c r="L246" s="5">
        <f t="shared" si="64"/>
        <v>425000</v>
      </c>
      <c r="M246" s="63">
        <f>L246/Assumptions!$D$6</f>
        <v>1</v>
      </c>
      <c r="N246" s="24">
        <f t="shared" si="68"/>
        <v>0</v>
      </c>
      <c r="O246" s="22">
        <f>N246*Assumptions!$E$25*-1</f>
        <v>0</v>
      </c>
      <c r="P246" s="5">
        <f>Assumptions!$E$35*J246*-1</f>
        <v>-2360.8625991527706</v>
      </c>
      <c r="Q246" s="5">
        <f>J246*Assumptions!$E$36*-1</f>
        <v>-950.76756216215449</v>
      </c>
      <c r="R246" s="5">
        <f>R234+R234*Assumptions!$D$51</f>
        <v>-862.10064602984119</v>
      </c>
      <c r="S246" s="5">
        <f>S234+(S234*Assumptions!$D$51)</f>
        <v>0</v>
      </c>
      <c r="T246" s="5">
        <f t="shared" si="58"/>
        <v>0</v>
      </c>
      <c r="U246" s="22">
        <f t="shared" si="53"/>
        <v>-4173.7308073447666</v>
      </c>
      <c r="V246" s="5">
        <f>MAX(Assumptions!$E$18:$E$19)-U246</f>
        <v>7015.3638191434638</v>
      </c>
      <c r="W246" s="5">
        <f t="shared" si="54"/>
        <v>0</v>
      </c>
      <c r="X246" s="5">
        <f t="shared" si="59"/>
        <v>-4173.7308073447666</v>
      </c>
      <c r="Y246" s="5">
        <f>D246*Assumptions!$D$44*-1</f>
        <v>0</v>
      </c>
      <c r="Z246" s="5">
        <f t="shared" si="55"/>
        <v>2841.6330117986972</v>
      </c>
      <c r="AA246" s="5">
        <f t="shared" si="65"/>
        <v>312734.65031069162</v>
      </c>
      <c r="AB246" s="3">
        <f>Assumptions!$E$45</f>
        <v>6.9899151946608562E-3</v>
      </c>
      <c r="AC246" s="5">
        <f t="shared" si="66"/>
        <v>317762.27200659399</v>
      </c>
      <c r="AD246" s="4">
        <f>AC246*Assumptions!$E$43</f>
        <v>284.58010546070665</v>
      </c>
      <c r="AE246" s="2">
        <f>AD246*Assumptions!$D$44*-1</f>
        <v>-42.687015819105994</v>
      </c>
      <c r="AF246" s="2">
        <f>AC246*Assumptions!$E$46*-1</f>
        <v>-10.590134349140882</v>
      </c>
      <c r="AG246" s="5">
        <f t="shared" si="67"/>
        <v>317708.99485642574</v>
      </c>
      <c r="AH246" s="20">
        <f>Model_30y[[#This Row],[Mortgage Payment]]+Model_30y[[#This Row],[Total Upkeep]]+Model_30y[[#This Row],[Monthly Investment]]</f>
        <v>-5570.8191734312522</v>
      </c>
      <c r="AI246" s="5">
        <f>Model_Renter!D246*-1</f>
        <v>5743.8631801741631</v>
      </c>
      <c r="AJ246" s="5">
        <f t="shared" si="60"/>
        <v>173.04400674291082</v>
      </c>
    </row>
    <row r="247" spans="1:36" x14ac:dyDescent="0.25">
      <c r="A247" s="17">
        <f t="shared" si="61"/>
        <v>245</v>
      </c>
      <c r="B247" s="17">
        <f t="shared" si="56"/>
        <v>21</v>
      </c>
      <c r="C247" s="23">
        <f>IFERROR(PPMT(Assumptions!$E$17, A247, 180, Assumptions!$D$8), 0)</f>
        <v>0</v>
      </c>
      <c r="D247" s="38">
        <f>IFERROR(IPMT(Assumptions!$E$17,A247,180,Assumptions!$D$8), 0)</f>
        <v>0</v>
      </c>
      <c r="E247" s="2">
        <f t="shared" si="62"/>
        <v>0</v>
      </c>
      <c r="F247" s="2">
        <f>IF(I246&gt;1, Assumptions!$E$19, 0)*-1</f>
        <v>0</v>
      </c>
      <c r="G247" s="24">
        <f t="shared" si="57"/>
        <v>1</v>
      </c>
      <c r="H247" s="20">
        <f t="shared" si="63"/>
        <v>339999.99999999988</v>
      </c>
      <c r="I247" s="2">
        <f>MAX(Assumptions!$D$8-SUM(Model_15y!H247), 0)</f>
        <v>1.1641532182693481E-10</v>
      </c>
      <c r="J247" s="2">
        <f>J246*(1+(Assumptions!$E$51))</f>
        <v>1150810.4213539653</v>
      </c>
      <c r="K247" s="22">
        <f t="shared" si="52"/>
        <v>1150810.4213539651</v>
      </c>
      <c r="L247" s="5">
        <f t="shared" si="64"/>
        <v>425000</v>
      </c>
      <c r="M247" s="63">
        <f>L247/Assumptions!$D$6</f>
        <v>1</v>
      </c>
      <c r="N247" s="24">
        <f t="shared" si="68"/>
        <v>0</v>
      </c>
      <c r="O247" s="22">
        <f>N247*Assumptions!$E$25*-1</f>
        <v>0</v>
      </c>
      <c r="P247" s="5">
        <f>Assumptions!$E$35*J247*-1</f>
        <v>-2370.4810456179048</v>
      </c>
      <c r="Q247" s="5">
        <f>J247*Assumptions!$E$36*-1</f>
        <v>-954.64110689988081</v>
      </c>
      <c r="R247" s="5">
        <f>R235+R235*Assumptions!$D$51</f>
        <v>-862.10064602984119</v>
      </c>
      <c r="S247" s="5">
        <f>S235+(S235*Assumptions!$D$51)</f>
        <v>0</v>
      </c>
      <c r="T247" s="5">
        <f t="shared" si="58"/>
        <v>0</v>
      </c>
      <c r="U247" s="22">
        <f t="shared" si="53"/>
        <v>-4187.2227985476266</v>
      </c>
      <c r="V247" s="5">
        <f>MAX(Assumptions!$E$18:$E$19)-U247</f>
        <v>7028.8558103463238</v>
      </c>
      <c r="W247" s="5">
        <f t="shared" si="54"/>
        <v>0</v>
      </c>
      <c r="X247" s="5">
        <f t="shared" si="59"/>
        <v>-4187.2227985476266</v>
      </c>
      <c r="Y247" s="5">
        <f>D247*Assumptions!$D$44*-1</f>
        <v>0</v>
      </c>
      <c r="Z247" s="5">
        <f t="shared" si="55"/>
        <v>2841.6330117986972</v>
      </c>
      <c r="AA247" s="5">
        <f t="shared" si="65"/>
        <v>317708.99485642574</v>
      </c>
      <c r="AB247" s="3">
        <f>Assumptions!$E$45</f>
        <v>6.9899151946608562E-3</v>
      </c>
      <c r="AC247" s="5">
        <f t="shared" si="66"/>
        <v>322771.38679885183</v>
      </c>
      <c r="AD247" s="4">
        <f>AC247*Assumptions!$E$43</f>
        <v>289.06614594261742</v>
      </c>
      <c r="AE247" s="2">
        <f>AD247*Assumptions!$D$44*-1</f>
        <v>-43.359921891392609</v>
      </c>
      <c r="AF247" s="2">
        <f>AC247*Assumptions!$E$46*-1</f>
        <v>-10.757074238780072</v>
      </c>
      <c r="AG247" s="5">
        <f t="shared" si="67"/>
        <v>322717.26980272168</v>
      </c>
      <c r="AH247" s="20">
        <f>Model_30y[[#This Row],[Mortgage Payment]]+Model_30y[[#This Row],[Total Upkeep]]+Model_30y[[#This Row],[Monthly Investment]]</f>
        <v>-5585.2719832730836</v>
      </c>
      <c r="AI247" s="5">
        <f>Model_Renter!D247*-1</f>
        <v>5743.8631801741631</v>
      </c>
      <c r="AJ247" s="5">
        <f t="shared" si="60"/>
        <v>158.59119690107946</v>
      </c>
    </row>
    <row r="248" spans="1:36" x14ac:dyDescent="0.25">
      <c r="A248" s="17">
        <f t="shared" si="61"/>
        <v>246</v>
      </c>
      <c r="B248" s="17">
        <f t="shared" si="56"/>
        <v>21</v>
      </c>
      <c r="C248" s="23">
        <f>IFERROR(PPMT(Assumptions!$E$17, A248, 180, Assumptions!$D$8), 0)</f>
        <v>0</v>
      </c>
      <c r="D248" s="38">
        <f>IFERROR(IPMT(Assumptions!$E$17,A248,180,Assumptions!$D$8), 0)</f>
        <v>0</v>
      </c>
      <c r="E248" s="2">
        <f t="shared" si="62"/>
        <v>0</v>
      </c>
      <c r="F248" s="2">
        <f>IF(I247&gt;1, Assumptions!$E$19, 0)*-1</f>
        <v>0</v>
      </c>
      <c r="G248" s="24">
        <f t="shared" si="57"/>
        <v>1</v>
      </c>
      <c r="H248" s="20">
        <f t="shared" si="63"/>
        <v>339999.99999999988</v>
      </c>
      <c r="I248" s="2">
        <f>MAX(Assumptions!$D$8-SUM(Model_15y!H248), 0)</f>
        <v>1.1641532182693481E-10</v>
      </c>
      <c r="J248" s="2">
        <f>J247*(1+(Assumptions!$E$51))</f>
        <v>1155498.9654620739</v>
      </c>
      <c r="K248" s="22">
        <f t="shared" si="52"/>
        <v>1155498.9654620737</v>
      </c>
      <c r="L248" s="5">
        <f t="shared" si="64"/>
        <v>425000</v>
      </c>
      <c r="M248" s="63">
        <f>L248/Assumptions!$D$6</f>
        <v>1</v>
      </c>
      <c r="N248" s="24">
        <f t="shared" si="68"/>
        <v>0</v>
      </c>
      <c r="O248" s="22">
        <f>N248*Assumptions!$E$25*-1</f>
        <v>0</v>
      </c>
      <c r="P248" s="5">
        <f>Assumptions!$E$35*J248*-1</f>
        <v>-2380.1386788245445</v>
      </c>
      <c r="Q248" s="5">
        <f>J248*Assumptions!$E$36*-1</f>
        <v>-958.53043293835003</v>
      </c>
      <c r="R248" s="5">
        <f>R236+R236*Assumptions!$D$51</f>
        <v>-862.10064602984119</v>
      </c>
      <c r="S248" s="5">
        <f>S236+(S236*Assumptions!$D$51)</f>
        <v>0</v>
      </c>
      <c r="T248" s="5">
        <f t="shared" si="58"/>
        <v>0</v>
      </c>
      <c r="U248" s="22">
        <f t="shared" si="53"/>
        <v>-4200.7697577927356</v>
      </c>
      <c r="V248" s="5">
        <f>MAX(Assumptions!$E$18:$E$19)-U248</f>
        <v>7042.4027695914319</v>
      </c>
      <c r="W248" s="5">
        <f t="shared" si="54"/>
        <v>0</v>
      </c>
      <c r="X248" s="5">
        <f t="shared" si="59"/>
        <v>-4200.7697577927356</v>
      </c>
      <c r="Y248" s="5">
        <f>D248*Assumptions!$D$44*-1</f>
        <v>0</v>
      </c>
      <c r="Z248" s="5">
        <f t="shared" si="55"/>
        <v>2841.6330117986963</v>
      </c>
      <c r="AA248" s="5">
        <f t="shared" si="65"/>
        <v>322717.26980272168</v>
      </c>
      <c r="AB248" s="3">
        <f>Assumptions!$E$45</f>
        <v>6.9899151946608562E-3</v>
      </c>
      <c r="AC248" s="5">
        <f t="shared" si="66"/>
        <v>327814.6691622939</v>
      </c>
      <c r="AD248" s="4">
        <f>AC248*Assumptions!$E$43</f>
        <v>293.58278606415666</v>
      </c>
      <c r="AE248" s="2">
        <f>AD248*Assumptions!$D$44*-1</f>
        <v>-44.0374179096235</v>
      </c>
      <c r="AF248" s="2">
        <f>AC248*Assumptions!$E$46*-1</f>
        <v>-10.925152838710263</v>
      </c>
      <c r="AG248" s="5">
        <f t="shared" si="67"/>
        <v>327759.70659154555</v>
      </c>
      <c r="AH248" s="20">
        <f>Model_30y[[#This Row],[Mortgage Payment]]+Model_30y[[#This Row],[Total Upkeep]]+Model_30y[[#This Row],[Monthly Investment]]</f>
        <v>-5599.7851417415422</v>
      </c>
      <c r="AI248" s="5">
        <f>Model_Renter!D248*-1</f>
        <v>5743.8631801741631</v>
      </c>
      <c r="AJ248" s="5">
        <f t="shared" si="60"/>
        <v>144.07803843262082</v>
      </c>
    </row>
    <row r="249" spans="1:36" x14ac:dyDescent="0.25">
      <c r="A249" s="17">
        <f t="shared" si="61"/>
        <v>247</v>
      </c>
      <c r="B249" s="17">
        <f t="shared" si="56"/>
        <v>21</v>
      </c>
      <c r="C249" s="23">
        <f>IFERROR(PPMT(Assumptions!$E$17, A249, 180, Assumptions!$D$8), 0)</f>
        <v>0</v>
      </c>
      <c r="D249" s="38">
        <f>IFERROR(IPMT(Assumptions!$E$17,A249,180,Assumptions!$D$8), 0)</f>
        <v>0</v>
      </c>
      <c r="E249" s="2">
        <f t="shared" si="62"/>
        <v>0</v>
      </c>
      <c r="F249" s="2">
        <f>IF(I248&gt;1, Assumptions!$E$19, 0)*-1</f>
        <v>0</v>
      </c>
      <c r="G249" s="24">
        <f t="shared" si="57"/>
        <v>1</v>
      </c>
      <c r="H249" s="20">
        <f t="shared" si="63"/>
        <v>339999.99999999988</v>
      </c>
      <c r="I249" s="2">
        <f>MAX(Assumptions!$D$8-SUM(Model_15y!H249), 0)</f>
        <v>1.1641532182693481E-10</v>
      </c>
      <c r="J249" s="2">
        <f>J248*(1+(Assumptions!$E$51))</f>
        <v>1160206.6112792441</v>
      </c>
      <c r="K249" s="22">
        <f t="shared" si="52"/>
        <v>1160206.6112792441</v>
      </c>
      <c r="L249" s="5">
        <f t="shared" si="64"/>
        <v>425000</v>
      </c>
      <c r="M249" s="63">
        <f>L249/Assumptions!$D$6</f>
        <v>1</v>
      </c>
      <c r="N249" s="24">
        <f t="shared" si="68"/>
        <v>0</v>
      </c>
      <c r="O249" s="22">
        <f>N249*Assumptions!$E$25*-1</f>
        <v>0</v>
      </c>
      <c r="P249" s="5">
        <f>Assumptions!$E$35*J249*-1</f>
        <v>-2389.8356584243247</v>
      </c>
      <c r="Q249" s="5">
        <f>J249*Assumptions!$E$36*-1</f>
        <v>-962.43560457253488</v>
      </c>
      <c r="R249" s="5">
        <f>R237+R237*Assumptions!$D$51</f>
        <v>-862.10064602984119</v>
      </c>
      <c r="S249" s="5">
        <f>S237+(S237*Assumptions!$D$51)</f>
        <v>0</v>
      </c>
      <c r="T249" s="5">
        <f t="shared" si="58"/>
        <v>0</v>
      </c>
      <c r="U249" s="22">
        <f t="shared" si="53"/>
        <v>-4214.3719090267005</v>
      </c>
      <c r="V249" s="5">
        <f>MAX(Assumptions!$E$18:$E$19)-U249</f>
        <v>7056.0049208253968</v>
      </c>
      <c r="W249" s="5">
        <f t="shared" si="54"/>
        <v>0</v>
      </c>
      <c r="X249" s="5">
        <f t="shared" si="59"/>
        <v>-4214.3719090267005</v>
      </c>
      <c r="Y249" s="5">
        <f>D249*Assumptions!$D$44*-1</f>
        <v>0</v>
      </c>
      <c r="Z249" s="5">
        <f t="shared" si="55"/>
        <v>2841.6330117986963</v>
      </c>
      <c r="AA249" s="5">
        <f t="shared" si="65"/>
        <v>327759.70659154555</v>
      </c>
      <c r="AB249" s="3">
        <f>Assumptions!$E$45</f>
        <v>6.9899151946608562E-3</v>
      </c>
      <c r="AC249" s="5">
        <f t="shared" si="66"/>
        <v>332892.35215664608</v>
      </c>
      <c r="AD249" s="4">
        <f>AC249*Assumptions!$E$43</f>
        <v>298.13023454790493</v>
      </c>
      <c r="AE249" s="2">
        <f>AD249*Assumptions!$D$44*-1</f>
        <v>-44.719535182185737</v>
      </c>
      <c r="AF249" s="2">
        <f>AC249*Assumptions!$E$46*-1</f>
        <v>-11.094377916165088</v>
      </c>
      <c r="AG249" s="5">
        <f t="shared" si="67"/>
        <v>332836.53824354772</v>
      </c>
      <c r="AH249" s="20">
        <f>Model_30y[[#This Row],[Mortgage Payment]]+Model_30y[[#This Row],[Total Upkeep]]+Model_30y[[#This Row],[Monthly Investment]]</f>
        <v>-5614.3589029145087</v>
      </c>
      <c r="AI249" s="5">
        <f>Model_Renter!D249*-1</f>
        <v>5743.8631801741631</v>
      </c>
      <c r="AJ249" s="5">
        <f t="shared" si="60"/>
        <v>129.50427725965437</v>
      </c>
    </row>
    <row r="250" spans="1:36" x14ac:dyDescent="0.25">
      <c r="A250" s="17">
        <f t="shared" si="61"/>
        <v>248</v>
      </c>
      <c r="B250" s="17">
        <f t="shared" si="56"/>
        <v>21</v>
      </c>
      <c r="C250" s="23">
        <f>IFERROR(PPMT(Assumptions!$E$17, A250, 180, Assumptions!$D$8), 0)</f>
        <v>0</v>
      </c>
      <c r="D250" s="38">
        <f>IFERROR(IPMT(Assumptions!$E$17,A250,180,Assumptions!$D$8), 0)</f>
        <v>0</v>
      </c>
      <c r="E250" s="2">
        <f t="shared" si="62"/>
        <v>0</v>
      </c>
      <c r="F250" s="2">
        <f>IF(I249&gt;1, Assumptions!$E$19, 0)*-1</f>
        <v>0</v>
      </c>
      <c r="G250" s="24">
        <f t="shared" si="57"/>
        <v>1</v>
      </c>
      <c r="H250" s="20">
        <f t="shared" si="63"/>
        <v>339999.99999999988</v>
      </c>
      <c r="I250" s="2">
        <f>MAX(Assumptions!$D$8-SUM(Model_15y!H250), 0)</f>
        <v>1.1641532182693481E-10</v>
      </c>
      <c r="J250" s="2">
        <f>J249*(1+(Assumptions!$E$51))</f>
        <v>1164933.4366282029</v>
      </c>
      <c r="K250" s="22">
        <f t="shared" si="52"/>
        <v>1164933.4366282029</v>
      </c>
      <c r="L250" s="5">
        <f t="shared" si="64"/>
        <v>425000</v>
      </c>
      <c r="M250" s="63">
        <f>L250/Assumptions!$D$6</f>
        <v>1</v>
      </c>
      <c r="N250" s="24">
        <f t="shared" si="68"/>
        <v>0</v>
      </c>
      <c r="O250" s="22">
        <f>N250*Assumptions!$E$25*-1</f>
        <v>0</v>
      </c>
      <c r="P250" s="5">
        <f>Assumptions!$E$35*J250*-1</f>
        <v>-2399.5721447193223</v>
      </c>
      <c r="Q250" s="5">
        <f>J250*Assumptions!$E$36*-1</f>
        <v>-966.35668635935383</v>
      </c>
      <c r="R250" s="5">
        <f>R238+R238*Assumptions!$D$51</f>
        <v>-862.10064602984119</v>
      </c>
      <c r="S250" s="5">
        <f>S238+(S238*Assumptions!$D$51)</f>
        <v>0</v>
      </c>
      <c r="T250" s="5">
        <f t="shared" si="58"/>
        <v>0</v>
      </c>
      <c r="U250" s="22">
        <f t="shared" si="53"/>
        <v>-4228.0294771085173</v>
      </c>
      <c r="V250" s="5">
        <f>MAX(Assumptions!$E$18:$E$19)-U250</f>
        <v>7069.6624889072136</v>
      </c>
      <c r="W250" s="5">
        <f t="shared" si="54"/>
        <v>0</v>
      </c>
      <c r="X250" s="5">
        <f t="shared" si="59"/>
        <v>-4228.0294771085173</v>
      </c>
      <c r="Y250" s="5">
        <f>D250*Assumptions!$D$44*-1</f>
        <v>0</v>
      </c>
      <c r="Z250" s="5">
        <f t="shared" si="55"/>
        <v>2841.6330117986963</v>
      </c>
      <c r="AA250" s="5">
        <f t="shared" si="65"/>
        <v>332836.53824354772</v>
      </c>
      <c r="AB250" s="3">
        <f>Assumptions!$E$45</f>
        <v>6.9899151946608562E-3</v>
      </c>
      <c r="AC250" s="5">
        <f t="shared" si="66"/>
        <v>338004.67043135333</v>
      </c>
      <c r="AD250" s="4">
        <f>AC250*Assumptions!$E$43</f>
        <v>302.70870154015597</v>
      </c>
      <c r="AE250" s="2">
        <f>AD250*Assumptions!$D$44*-1</f>
        <v>-45.406305231023396</v>
      </c>
      <c r="AF250" s="2">
        <f>AC250*Assumptions!$E$46*-1</f>
        <v>-11.264757291359116</v>
      </c>
      <c r="AG250" s="5">
        <f t="shared" si="67"/>
        <v>337947.99936883093</v>
      </c>
      <c r="AH250" s="20">
        <f>Model_30y[[#This Row],[Mortgage Payment]]+Model_30y[[#This Row],[Total Upkeep]]+Model_30y[[#This Row],[Monthly Investment]]</f>
        <v>-5628.9935219509844</v>
      </c>
      <c r="AI250" s="5">
        <f>Model_Renter!D250*-1</f>
        <v>5743.8631801741631</v>
      </c>
      <c r="AJ250" s="5">
        <f t="shared" si="60"/>
        <v>114.8696582231787</v>
      </c>
    </row>
    <row r="251" spans="1:36" x14ac:dyDescent="0.25">
      <c r="A251" s="17">
        <f t="shared" si="61"/>
        <v>249</v>
      </c>
      <c r="B251" s="17">
        <f t="shared" si="56"/>
        <v>21</v>
      </c>
      <c r="C251" s="23">
        <f>IFERROR(PPMT(Assumptions!$E$17, A251, 180, Assumptions!$D$8), 0)</f>
        <v>0</v>
      </c>
      <c r="D251" s="38">
        <f>IFERROR(IPMT(Assumptions!$E$17,A251,180,Assumptions!$D$8), 0)</f>
        <v>0</v>
      </c>
      <c r="E251" s="2">
        <f t="shared" si="62"/>
        <v>0</v>
      </c>
      <c r="F251" s="2">
        <f>IF(I250&gt;1, Assumptions!$E$19, 0)*-1</f>
        <v>0</v>
      </c>
      <c r="G251" s="24">
        <f t="shared" si="57"/>
        <v>1</v>
      </c>
      <c r="H251" s="20">
        <f t="shared" si="63"/>
        <v>339999.99999999988</v>
      </c>
      <c r="I251" s="2">
        <f>MAX(Assumptions!$D$8-SUM(Model_15y!H251), 0)</f>
        <v>1.1641532182693481E-10</v>
      </c>
      <c r="J251" s="2">
        <f>J250*(1+(Assumptions!$E$51))</f>
        <v>1169679.519648737</v>
      </c>
      <c r="K251" s="22">
        <f t="shared" si="52"/>
        <v>1169679.5196487368</v>
      </c>
      <c r="L251" s="5">
        <f t="shared" si="64"/>
        <v>425000</v>
      </c>
      <c r="M251" s="63">
        <f>L251/Assumptions!$D$6</f>
        <v>1</v>
      </c>
      <c r="N251" s="24">
        <f t="shared" si="68"/>
        <v>0</v>
      </c>
      <c r="O251" s="22">
        <f>N251*Assumptions!$E$25*-1</f>
        <v>0</v>
      </c>
      <c r="P251" s="5">
        <f>Assumptions!$E$35*J251*-1</f>
        <v>-2409.3482986647032</v>
      </c>
      <c r="Q251" s="5">
        <f>J251*Assumptions!$E$36*-1</f>
        <v>-970.29374311873812</v>
      </c>
      <c r="R251" s="5">
        <f>R239+R239*Assumptions!$D$51</f>
        <v>-862.10064602984119</v>
      </c>
      <c r="S251" s="5">
        <f>S239+(S239*Assumptions!$D$51)</f>
        <v>0</v>
      </c>
      <c r="T251" s="5">
        <f t="shared" si="58"/>
        <v>0</v>
      </c>
      <c r="U251" s="22">
        <f t="shared" si="53"/>
        <v>-4241.7426878132828</v>
      </c>
      <c r="V251" s="5">
        <f>MAX(Assumptions!$E$18:$E$19)-U251</f>
        <v>7083.3756996119791</v>
      </c>
      <c r="W251" s="5">
        <f t="shared" si="54"/>
        <v>0</v>
      </c>
      <c r="X251" s="5">
        <f t="shared" si="59"/>
        <v>-4241.7426878132828</v>
      </c>
      <c r="Y251" s="5">
        <f>D251*Assumptions!$D$44*-1</f>
        <v>0</v>
      </c>
      <c r="Z251" s="5">
        <f t="shared" si="55"/>
        <v>2841.6330117986963</v>
      </c>
      <c r="AA251" s="5">
        <f t="shared" si="65"/>
        <v>337947.99936883093</v>
      </c>
      <c r="AB251" s="3">
        <f>Assumptions!$E$45</f>
        <v>6.9899151946608562E-3</v>
      </c>
      <c r="AC251" s="5">
        <f t="shared" si="66"/>
        <v>343151.86023642309</v>
      </c>
      <c r="AD251" s="4">
        <f>AC251*Assumptions!$E$43</f>
        <v>307.31839862062822</v>
      </c>
      <c r="AE251" s="2">
        <f>AD251*Assumptions!$D$44*-1</f>
        <v>-46.097759793094234</v>
      </c>
      <c r="AF251" s="2">
        <f>AC251*Assumptions!$E$46*-1</f>
        <v>-11.436298837849209</v>
      </c>
      <c r="AG251" s="5">
        <f t="shared" si="67"/>
        <v>343094.32617779216</v>
      </c>
      <c r="AH251" s="20">
        <f>Model_30y[[#This Row],[Mortgage Payment]]+Model_30y[[#This Row],[Total Upkeep]]+Model_30y[[#This Row],[Monthly Investment]]</f>
        <v>-5643.6892550957555</v>
      </c>
      <c r="AI251" s="5">
        <f>Model_Renter!D251*-1</f>
        <v>5743.8631801741631</v>
      </c>
      <c r="AJ251" s="5">
        <f t="shared" si="60"/>
        <v>100.17392507840759</v>
      </c>
    </row>
    <row r="252" spans="1:36" x14ac:dyDescent="0.25">
      <c r="A252" s="17">
        <f t="shared" si="61"/>
        <v>250</v>
      </c>
      <c r="B252" s="17">
        <f t="shared" si="56"/>
        <v>21</v>
      </c>
      <c r="C252" s="23">
        <f>IFERROR(PPMT(Assumptions!$E$17, A252, 180, Assumptions!$D$8), 0)</f>
        <v>0</v>
      </c>
      <c r="D252" s="38">
        <f>IFERROR(IPMT(Assumptions!$E$17,A252,180,Assumptions!$D$8), 0)</f>
        <v>0</v>
      </c>
      <c r="E252" s="2">
        <f t="shared" si="62"/>
        <v>0</v>
      </c>
      <c r="F252" s="2">
        <f>IF(I251&gt;1, Assumptions!$E$19, 0)*-1</f>
        <v>0</v>
      </c>
      <c r="G252" s="24">
        <f t="shared" si="57"/>
        <v>1</v>
      </c>
      <c r="H252" s="20">
        <f t="shared" si="63"/>
        <v>339999.99999999988</v>
      </c>
      <c r="I252" s="2">
        <f>MAX(Assumptions!$D$8-SUM(Model_15y!H252), 0)</f>
        <v>1.1641532182693481E-10</v>
      </c>
      <c r="J252" s="2">
        <f>J251*(1+(Assumptions!$E$51))</f>
        <v>1174444.9387989843</v>
      </c>
      <c r="K252" s="22">
        <f t="shared" si="52"/>
        <v>1174444.938798984</v>
      </c>
      <c r="L252" s="5">
        <f t="shared" si="64"/>
        <v>425000</v>
      </c>
      <c r="M252" s="63">
        <f>L252/Assumptions!$D$6</f>
        <v>1</v>
      </c>
      <c r="N252" s="24">
        <f t="shared" si="68"/>
        <v>0</v>
      </c>
      <c r="O252" s="22">
        <f>N252*Assumptions!$E$25*-1</f>
        <v>0</v>
      </c>
      <c r="P252" s="5">
        <f>Assumptions!$E$35*J252*-1</f>
        <v>-2419.1642818713858</v>
      </c>
      <c r="Q252" s="5">
        <f>J252*Assumptions!$E$36*-1</f>
        <v>-974.2468399347033</v>
      </c>
      <c r="R252" s="5">
        <f>R240+R240*Assumptions!$D$51</f>
        <v>-862.10064602984119</v>
      </c>
      <c r="S252" s="5">
        <f>S240+(S240*Assumptions!$D$51)</f>
        <v>0</v>
      </c>
      <c r="T252" s="5">
        <f t="shared" si="58"/>
        <v>0</v>
      </c>
      <c r="U252" s="22">
        <f t="shared" si="53"/>
        <v>-4255.5117678359302</v>
      </c>
      <c r="V252" s="5">
        <f>MAX(Assumptions!$E$18:$E$19)-U252</f>
        <v>7097.1447796346274</v>
      </c>
      <c r="W252" s="5">
        <f t="shared" si="54"/>
        <v>0</v>
      </c>
      <c r="X252" s="5">
        <f t="shared" si="59"/>
        <v>-4255.5117678359302</v>
      </c>
      <c r="Y252" s="5">
        <f>D252*Assumptions!$D$44*-1</f>
        <v>0</v>
      </c>
      <c r="Z252" s="5">
        <f t="shared" si="55"/>
        <v>2841.6330117986972</v>
      </c>
      <c r="AA252" s="5">
        <f t="shared" si="65"/>
        <v>343094.32617779216</v>
      </c>
      <c r="AB252" s="3">
        <f>Assumptions!$E$45</f>
        <v>6.9899151946608562E-3</v>
      </c>
      <c r="AC252" s="5">
        <f t="shared" si="66"/>
        <v>348334.15943334298</v>
      </c>
      <c r="AD252" s="4">
        <f>AC252*Assumptions!$E$43</f>
        <v>311.95953881224227</v>
      </c>
      <c r="AE252" s="2">
        <f>AD252*Assumptions!$D$44*-1</f>
        <v>-46.793930821836341</v>
      </c>
      <c r="AF252" s="2">
        <f>AC252*Assumptions!$E$46*-1</f>
        <v>-11.609010482898398</v>
      </c>
      <c r="AG252" s="5">
        <f t="shared" si="67"/>
        <v>348275.75649203826</v>
      </c>
      <c r="AH252" s="20">
        <f>Model_30y[[#This Row],[Mortgage Payment]]+Model_30y[[#This Row],[Total Upkeep]]+Model_30y[[#This Row],[Monthly Investment]]</f>
        <v>-5658.4463596840724</v>
      </c>
      <c r="AI252" s="5">
        <f>Model_Renter!D252*-1</f>
        <v>5743.8631801741631</v>
      </c>
      <c r="AJ252" s="5">
        <f t="shared" si="60"/>
        <v>85.416820490090686</v>
      </c>
    </row>
    <row r="253" spans="1:36" x14ac:dyDescent="0.25">
      <c r="A253" s="17">
        <f t="shared" si="61"/>
        <v>251</v>
      </c>
      <c r="B253" s="17">
        <f t="shared" si="56"/>
        <v>21</v>
      </c>
      <c r="C253" s="23">
        <f>IFERROR(PPMT(Assumptions!$E$17, A253, 180, Assumptions!$D$8), 0)</f>
        <v>0</v>
      </c>
      <c r="D253" s="38">
        <f>IFERROR(IPMT(Assumptions!$E$17,A253,180,Assumptions!$D$8), 0)</f>
        <v>0</v>
      </c>
      <c r="E253" s="2">
        <f t="shared" si="62"/>
        <v>0</v>
      </c>
      <c r="F253" s="2">
        <f>IF(I252&gt;1, Assumptions!$E$19, 0)*-1</f>
        <v>0</v>
      </c>
      <c r="G253" s="24">
        <f t="shared" si="57"/>
        <v>1</v>
      </c>
      <c r="H253" s="20">
        <f t="shared" si="63"/>
        <v>339999.99999999988</v>
      </c>
      <c r="I253" s="2">
        <f>MAX(Assumptions!$D$8-SUM(Model_15y!H253), 0)</f>
        <v>1.1641532182693481E-10</v>
      </c>
      <c r="J253" s="2">
        <f>J252*(1+(Assumptions!$E$51))</f>
        <v>1179229.7728567307</v>
      </c>
      <c r="K253" s="22">
        <f t="shared" si="52"/>
        <v>1179229.7728567305</v>
      </c>
      <c r="L253" s="5">
        <f t="shared" si="64"/>
        <v>425000</v>
      </c>
      <c r="M253" s="63">
        <f>L253/Assumptions!$D$6</f>
        <v>1</v>
      </c>
      <c r="N253" s="24">
        <f t="shared" si="68"/>
        <v>0</v>
      </c>
      <c r="O253" s="22">
        <f>N253*Assumptions!$E$25*-1</f>
        <v>0</v>
      </c>
      <c r="P253" s="5">
        <f>Assumptions!$E$35*J253*-1</f>
        <v>-2429.020256608711</v>
      </c>
      <c r="Q253" s="5">
        <f>J253*Assumptions!$E$36*-1</f>
        <v>-978.2160421564256</v>
      </c>
      <c r="R253" s="5">
        <f>R241+R241*Assumptions!$D$51</f>
        <v>-862.10064602984119</v>
      </c>
      <c r="S253" s="5">
        <f>S241+(S241*Assumptions!$D$51)</f>
        <v>0</v>
      </c>
      <c r="T253" s="5">
        <f t="shared" si="58"/>
        <v>0</v>
      </c>
      <c r="U253" s="22">
        <f t="shared" si="53"/>
        <v>-4269.3369447949781</v>
      </c>
      <c r="V253" s="5">
        <f>MAX(Assumptions!$E$18:$E$19)-U253</f>
        <v>7110.9699565936753</v>
      </c>
      <c r="W253" s="5">
        <f t="shared" si="54"/>
        <v>0</v>
      </c>
      <c r="X253" s="5">
        <f t="shared" si="59"/>
        <v>-4269.3369447949781</v>
      </c>
      <c r="Y253" s="5">
        <f>D253*Assumptions!$D$44*-1</f>
        <v>0</v>
      </c>
      <c r="Z253" s="5">
        <f t="shared" si="55"/>
        <v>2841.6330117986972</v>
      </c>
      <c r="AA253" s="5">
        <f t="shared" si="65"/>
        <v>348275.75649203826</v>
      </c>
      <c r="AB253" s="3">
        <f>Assumptions!$E$45</f>
        <v>6.9899151946608562E-3</v>
      </c>
      <c r="AC253" s="5">
        <f t="shared" si="66"/>
        <v>353551.80750607268</v>
      </c>
      <c r="AD253" s="4">
        <f>AC253*Assumptions!$E$43</f>
        <v>316.63233659096488</v>
      </c>
      <c r="AE253" s="2">
        <f>AD253*Assumptions!$D$44*-1</f>
        <v>-47.49485048864473</v>
      </c>
      <c r="AF253" s="2">
        <f>AC253*Assumptions!$E$46*-1</f>
        <v>-11.782900207842198</v>
      </c>
      <c r="AG253" s="5">
        <f t="shared" si="67"/>
        <v>353492.52975537622</v>
      </c>
      <c r="AH253" s="20">
        <f>Model_30y[[#This Row],[Mortgage Payment]]+Model_30y[[#This Row],[Total Upkeep]]+Model_30y[[#This Row],[Monthly Investment]]</f>
        <v>-5673.2650941463571</v>
      </c>
      <c r="AI253" s="5">
        <f>Model_Renter!D253*-1</f>
        <v>5743.8631801741631</v>
      </c>
      <c r="AJ253" s="5">
        <f t="shared" si="60"/>
        <v>70.598086027805948</v>
      </c>
    </row>
    <row r="254" spans="1:36" x14ac:dyDescent="0.25">
      <c r="A254" s="17">
        <f t="shared" si="61"/>
        <v>252</v>
      </c>
      <c r="B254" s="17">
        <f t="shared" si="56"/>
        <v>21</v>
      </c>
      <c r="C254" s="23">
        <f>IFERROR(PPMT(Assumptions!$E$17, A254, 180, Assumptions!$D$8), 0)</f>
        <v>0</v>
      </c>
      <c r="D254" s="38">
        <f>IFERROR(IPMT(Assumptions!$E$17,A254,180,Assumptions!$D$8), 0)</f>
        <v>0</v>
      </c>
      <c r="E254" s="2">
        <f t="shared" si="62"/>
        <v>0</v>
      </c>
      <c r="F254" s="2">
        <f>IF(I253&gt;1, Assumptions!$E$19, 0)*-1</f>
        <v>0</v>
      </c>
      <c r="G254" s="24">
        <f t="shared" si="57"/>
        <v>1</v>
      </c>
      <c r="H254" s="20">
        <f t="shared" si="63"/>
        <v>339999.99999999988</v>
      </c>
      <c r="I254" s="2">
        <f>MAX(Assumptions!$D$8-SUM(Model_15y!H254), 0)</f>
        <v>1.1641532182693481E-10</v>
      </c>
      <c r="J254" s="2">
        <f>J253*(1+(Assumptions!$E$51))</f>
        <v>1184034.1009207126</v>
      </c>
      <c r="K254" s="22">
        <f t="shared" si="52"/>
        <v>1184034.1009207126</v>
      </c>
      <c r="L254" s="5">
        <f t="shared" si="64"/>
        <v>425000</v>
      </c>
      <c r="M254" s="63">
        <f>L254/Assumptions!$D$6</f>
        <v>1</v>
      </c>
      <c r="N254" s="24">
        <f t="shared" si="68"/>
        <v>0</v>
      </c>
      <c r="O254" s="22">
        <f>N254*Assumptions!$E$25*-1</f>
        <v>0</v>
      </c>
      <c r="P254" s="5">
        <f>Assumptions!$E$35*J254*-1</f>
        <v>-2438.9163858071238</v>
      </c>
      <c r="Q254" s="5">
        <f>J254*Assumptions!$E$36*-1</f>
        <v>-982.20141539932138</v>
      </c>
      <c r="R254" s="5">
        <f>R242+R242*Assumptions!$D$51</f>
        <v>-862.10064602984119</v>
      </c>
      <c r="S254" s="5">
        <f>S242+(S242*Assumptions!$D$51)</f>
        <v>0</v>
      </c>
      <c r="T254" s="5">
        <f t="shared" si="58"/>
        <v>0</v>
      </c>
      <c r="U254" s="22">
        <f t="shared" si="53"/>
        <v>-4283.218447236286</v>
      </c>
      <c r="V254" s="5">
        <f>MAX(Assumptions!$E$18:$E$19)-U254</f>
        <v>7124.8514590349823</v>
      </c>
      <c r="W254" s="5">
        <f t="shared" si="54"/>
        <v>0</v>
      </c>
      <c r="X254" s="5">
        <f t="shared" si="59"/>
        <v>-4283.218447236286</v>
      </c>
      <c r="Y254" s="5">
        <f>D254*Assumptions!$D$44*-1</f>
        <v>0</v>
      </c>
      <c r="Z254" s="5">
        <f t="shared" si="55"/>
        <v>2841.6330117986963</v>
      </c>
      <c r="AA254" s="5">
        <f t="shared" si="65"/>
        <v>353492.52975537622</v>
      </c>
      <c r="AB254" s="3">
        <f>Assumptions!$E$45</f>
        <v>6.9899151946608562E-3</v>
      </c>
      <c r="AC254" s="5">
        <f t="shared" si="66"/>
        <v>358805.04557211115</v>
      </c>
      <c r="AD254" s="4">
        <f>AC254*Assumptions!$E$43</f>
        <v>321.33700789572072</v>
      </c>
      <c r="AE254" s="2">
        <f>AD254*Assumptions!$D$44*-1</f>
        <v>-48.200551184358105</v>
      </c>
      <c r="AF254" s="2">
        <f>AC254*Assumptions!$E$46*-1</f>
        <v>-11.957976048457455</v>
      </c>
      <c r="AG254" s="5">
        <f t="shared" si="67"/>
        <v>358744.88704487833</v>
      </c>
      <c r="AH254" s="20">
        <f>Model_30y[[#This Row],[Mortgage Payment]]+Model_30y[[#This Row],[Total Upkeep]]+Model_30y[[#This Row],[Monthly Investment]]</f>
        <v>-5688.14571801292</v>
      </c>
      <c r="AI254" s="5">
        <f>Model_Renter!D254*-1</f>
        <v>5743.8631801741631</v>
      </c>
      <c r="AJ254" s="5">
        <f t="shared" si="60"/>
        <v>55.71746216124302</v>
      </c>
    </row>
    <row r="255" spans="1:36" x14ac:dyDescent="0.25">
      <c r="A255" s="17">
        <f t="shared" si="61"/>
        <v>253</v>
      </c>
      <c r="B255" s="17">
        <f t="shared" si="56"/>
        <v>22</v>
      </c>
      <c r="C255" s="23">
        <f>IFERROR(PPMT(Assumptions!$E$17, A255, 180, Assumptions!$D$8), 0)</f>
        <v>0</v>
      </c>
      <c r="D255" s="38">
        <f>IFERROR(IPMT(Assumptions!$E$17,A255,180,Assumptions!$D$8), 0)</f>
        <v>0</v>
      </c>
      <c r="E255" s="2">
        <f t="shared" si="62"/>
        <v>0</v>
      </c>
      <c r="F255" s="2">
        <f>IF(I254&gt;1, Assumptions!$E$19, 0)*-1</f>
        <v>0</v>
      </c>
      <c r="G255" s="24">
        <f t="shared" si="57"/>
        <v>1</v>
      </c>
      <c r="H255" s="20">
        <f t="shared" si="63"/>
        <v>339999.99999999988</v>
      </c>
      <c r="I255" s="2">
        <f>MAX(Assumptions!$D$8-SUM(Model_15y!H255), 0)</f>
        <v>1.1641532182693481E-10</v>
      </c>
      <c r="J255" s="2">
        <f>J254*(1+(Assumptions!$E$51))</f>
        <v>1188858.0024119243</v>
      </c>
      <c r="K255" s="22">
        <f t="shared" si="52"/>
        <v>1188858.0024119243</v>
      </c>
      <c r="L255" s="5">
        <f t="shared" si="64"/>
        <v>425000</v>
      </c>
      <c r="M255" s="63">
        <f>L255/Assumptions!$D$6</f>
        <v>1</v>
      </c>
      <c r="N255" s="24">
        <f t="shared" si="68"/>
        <v>0</v>
      </c>
      <c r="O255" s="22">
        <f>N255*Assumptions!$E$25*-1</f>
        <v>0</v>
      </c>
      <c r="P255" s="5">
        <f>Assumptions!$E$35*J255*-1</f>
        <v>-2448.8528330608701</v>
      </c>
      <c r="Q255" s="5">
        <f>J255*Assumptions!$E$36*-1</f>
        <v>-986.20302554613284</v>
      </c>
      <c r="R255" s="5">
        <f>R243+R243*Assumptions!$D$51</f>
        <v>-905.20567833133327</v>
      </c>
      <c r="S255" s="5">
        <f>S243+(S243*Assumptions!$D$51)</f>
        <v>0</v>
      </c>
      <c r="T255" s="5">
        <f t="shared" si="58"/>
        <v>0</v>
      </c>
      <c r="U255" s="22">
        <f t="shared" si="53"/>
        <v>-4340.2615369383366</v>
      </c>
      <c r="V255" s="5">
        <f>MAX(Assumptions!$E$18:$E$19)-U255</f>
        <v>7181.8945487370329</v>
      </c>
      <c r="W255" s="5">
        <f t="shared" si="54"/>
        <v>0</v>
      </c>
      <c r="X255" s="5">
        <f t="shared" si="59"/>
        <v>-4340.2615369383366</v>
      </c>
      <c r="Y255" s="5">
        <f>D255*Assumptions!$D$44*-1</f>
        <v>0</v>
      </c>
      <c r="Z255" s="5">
        <f t="shared" si="55"/>
        <v>2841.6330117986963</v>
      </c>
      <c r="AA255" s="5">
        <f t="shared" si="65"/>
        <v>358744.88704487833</v>
      </c>
      <c r="AB255" s="3">
        <f>Assumptions!$E$45</f>
        <v>6.9899151946608562E-3</v>
      </c>
      <c r="AC255" s="5">
        <f t="shared" si="66"/>
        <v>364094.11639363895</v>
      </c>
      <c r="AD255" s="4">
        <f>AC255*Assumptions!$E$43</f>
        <v>326.07377013837072</v>
      </c>
      <c r="AE255" s="2">
        <f>AD255*Assumptions!$D$44*-1</f>
        <v>-48.911065520755606</v>
      </c>
      <c r="AF255" s="2">
        <f>AC255*Assumptions!$E$46*-1</f>
        <v>-12.134246095333687</v>
      </c>
      <c r="AG255" s="5">
        <f t="shared" si="67"/>
        <v>364033.07108202286</v>
      </c>
      <c r="AH255" s="20">
        <f>Model_30y[[#This Row],[Mortgage Payment]]+Model_30y[[#This Row],[Total Upkeep]]+Model_30y[[#This Row],[Monthly Investment]]</f>
        <v>-5746.1935242202071</v>
      </c>
      <c r="AI255" s="5">
        <f>Model_Renter!D255*-1</f>
        <v>5958.6836631126771</v>
      </c>
      <c r="AJ255" s="5">
        <f t="shared" si="60"/>
        <v>212.49013889246999</v>
      </c>
    </row>
    <row r="256" spans="1:36" x14ac:dyDescent="0.25">
      <c r="A256" s="17">
        <f t="shared" si="61"/>
        <v>254</v>
      </c>
      <c r="B256" s="17">
        <f t="shared" si="56"/>
        <v>22</v>
      </c>
      <c r="C256" s="23">
        <f>IFERROR(PPMT(Assumptions!$E$17, A256, 180, Assumptions!$D$8), 0)</f>
        <v>0</v>
      </c>
      <c r="D256" s="38">
        <f>IFERROR(IPMT(Assumptions!$E$17,A256,180,Assumptions!$D$8), 0)</f>
        <v>0</v>
      </c>
      <c r="E256" s="2">
        <f t="shared" si="62"/>
        <v>0</v>
      </c>
      <c r="F256" s="2">
        <f>IF(I255&gt;1, Assumptions!$E$19, 0)*-1</f>
        <v>0</v>
      </c>
      <c r="G256" s="24">
        <f t="shared" si="57"/>
        <v>1</v>
      </c>
      <c r="H256" s="20">
        <f t="shared" si="63"/>
        <v>339999.99999999988</v>
      </c>
      <c r="I256" s="2">
        <f>MAX(Assumptions!$D$8-SUM(Model_15y!H256), 0)</f>
        <v>1.1641532182693481E-10</v>
      </c>
      <c r="J256" s="2">
        <f>J255*(1+(Assumptions!$E$51))</f>
        <v>1193701.5570749315</v>
      </c>
      <c r="K256" s="22">
        <f t="shared" si="52"/>
        <v>1193701.5570749315</v>
      </c>
      <c r="L256" s="5">
        <f t="shared" si="64"/>
        <v>425000</v>
      </c>
      <c r="M256" s="63">
        <f>L256/Assumptions!$D$6</f>
        <v>1</v>
      </c>
      <c r="N256" s="24">
        <f t="shared" si="68"/>
        <v>0</v>
      </c>
      <c r="O256" s="22">
        <f>N256*Assumptions!$E$25*-1</f>
        <v>0</v>
      </c>
      <c r="P256" s="5">
        <f>Assumptions!$E$35*J256*-1</f>
        <v>-2458.8297626306985</v>
      </c>
      <c r="Q256" s="5">
        <f>J256*Assumptions!$E$36*-1</f>
        <v>-990.22093874801635</v>
      </c>
      <c r="R256" s="5">
        <f>R244+R244*Assumptions!$D$51</f>
        <v>-905.20567833133327</v>
      </c>
      <c r="S256" s="5">
        <f>S244+(S244*Assumptions!$D$51)</f>
        <v>0</v>
      </c>
      <c r="T256" s="5">
        <f t="shared" si="58"/>
        <v>0</v>
      </c>
      <c r="U256" s="22">
        <f t="shared" si="53"/>
        <v>-4354.2563797100483</v>
      </c>
      <c r="V256" s="5">
        <f>MAX(Assumptions!$E$18:$E$19)-U256</f>
        <v>7195.8893915087447</v>
      </c>
      <c r="W256" s="5">
        <f t="shared" si="54"/>
        <v>0</v>
      </c>
      <c r="X256" s="5">
        <f t="shared" si="59"/>
        <v>-4354.2563797100483</v>
      </c>
      <c r="Y256" s="5">
        <f>D256*Assumptions!$D$44*-1</f>
        <v>0</v>
      </c>
      <c r="Z256" s="5">
        <f t="shared" si="55"/>
        <v>2841.6330117986963</v>
      </c>
      <c r="AA256" s="5">
        <f t="shared" si="65"/>
        <v>364033.07108202286</v>
      </c>
      <c r="AB256" s="3">
        <f>Assumptions!$E$45</f>
        <v>6.9899151946608562E-3</v>
      </c>
      <c r="AC256" s="5">
        <f t="shared" si="66"/>
        <v>369419.26438873686</v>
      </c>
      <c r="AD256" s="4">
        <f>AC256*Assumptions!$E$43</f>
        <v>330.84284221375981</v>
      </c>
      <c r="AE256" s="2">
        <f>AD256*Assumptions!$D$44*-1</f>
        <v>-49.626426332063971</v>
      </c>
      <c r="AF256" s="2">
        <f>AC256*Assumptions!$E$46*-1</f>
        <v>-12.31171849424697</v>
      </c>
      <c r="AG256" s="5">
        <f t="shared" si="67"/>
        <v>369357.32624391053</v>
      </c>
      <c r="AH256" s="20">
        <f>Model_30y[[#This Row],[Mortgage Payment]]+Model_30y[[#This Row],[Total Upkeep]]+Model_30y[[#This Row],[Monthly Investment]]</f>
        <v>-5761.198709909585</v>
      </c>
      <c r="AI256" s="5">
        <f>Model_Renter!D256*-1</f>
        <v>5958.6836631126771</v>
      </c>
      <c r="AJ256" s="5">
        <f t="shared" si="60"/>
        <v>197.48495320309212</v>
      </c>
    </row>
    <row r="257" spans="1:36" x14ac:dyDescent="0.25">
      <c r="A257" s="17">
        <f t="shared" si="61"/>
        <v>255</v>
      </c>
      <c r="B257" s="17">
        <f t="shared" si="56"/>
        <v>22</v>
      </c>
      <c r="C257" s="23">
        <f>IFERROR(PPMT(Assumptions!$E$17, A257, 180, Assumptions!$D$8), 0)</f>
        <v>0</v>
      </c>
      <c r="D257" s="38">
        <f>IFERROR(IPMT(Assumptions!$E$17,A257,180,Assumptions!$D$8), 0)</f>
        <v>0</v>
      </c>
      <c r="E257" s="2">
        <f t="shared" si="62"/>
        <v>0</v>
      </c>
      <c r="F257" s="2">
        <f>IF(I256&gt;1, Assumptions!$E$19, 0)*-1</f>
        <v>0</v>
      </c>
      <c r="G257" s="24">
        <f t="shared" si="57"/>
        <v>1</v>
      </c>
      <c r="H257" s="20">
        <f t="shared" si="63"/>
        <v>339999.99999999988</v>
      </c>
      <c r="I257" s="2">
        <f>MAX(Assumptions!$D$8-SUM(Model_15y!H257), 0)</f>
        <v>1.1641532182693481E-10</v>
      </c>
      <c r="J257" s="2">
        <f>J256*(1+(Assumptions!$E$51))</f>
        <v>1198564.8449791884</v>
      </c>
      <c r="K257" s="22">
        <f t="shared" si="52"/>
        <v>1198564.8449791884</v>
      </c>
      <c r="L257" s="5">
        <f t="shared" si="64"/>
        <v>425000</v>
      </c>
      <c r="M257" s="63">
        <f>L257/Assumptions!$D$6</f>
        <v>1</v>
      </c>
      <c r="N257" s="24">
        <f t="shared" si="68"/>
        <v>0</v>
      </c>
      <c r="O257" s="22">
        <f>N257*Assumptions!$E$25*-1</f>
        <v>0</v>
      </c>
      <c r="P257" s="5">
        <f>Assumptions!$E$35*J257*-1</f>
        <v>-2468.8473394465746</v>
      </c>
      <c r="Q257" s="5">
        <f>J257*Assumptions!$E$36*-1</f>
        <v>-994.25522142563614</v>
      </c>
      <c r="R257" s="5">
        <f>R245+R245*Assumptions!$D$51</f>
        <v>-905.20567833133327</v>
      </c>
      <c r="S257" s="5">
        <f>S245+(S245*Assumptions!$D$51)</f>
        <v>0</v>
      </c>
      <c r="T257" s="5">
        <f t="shared" si="58"/>
        <v>0</v>
      </c>
      <c r="U257" s="22">
        <f t="shared" si="53"/>
        <v>-4368.308239203544</v>
      </c>
      <c r="V257" s="5">
        <f>MAX(Assumptions!$E$18:$E$19)-U257</f>
        <v>7209.9412510022412</v>
      </c>
      <c r="W257" s="5">
        <f t="shared" si="54"/>
        <v>0</v>
      </c>
      <c r="X257" s="5">
        <f t="shared" si="59"/>
        <v>-4368.308239203544</v>
      </c>
      <c r="Y257" s="5">
        <f>D257*Assumptions!$D$44*-1</f>
        <v>0</v>
      </c>
      <c r="Z257" s="5">
        <f t="shared" si="55"/>
        <v>2841.6330117986972</v>
      </c>
      <c r="AA257" s="5">
        <f t="shared" si="65"/>
        <v>369357.32624391053</v>
      </c>
      <c r="AB257" s="3">
        <f>Assumptions!$E$45</f>
        <v>6.9899151946608562E-3</v>
      </c>
      <c r="AC257" s="5">
        <f t="shared" si="66"/>
        <v>374780.7356426809</v>
      </c>
      <c r="AD257" s="4">
        <f>AC257*Assumptions!$E$43</f>
        <v>335.64444450983189</v>
      </c>
      <c r="AE257" s="2">
        <f>AD257*Assumptions!$D$44*-1</f>
        <v>-50.346666676474783</v>
      </c>
      <c r="AF257" s="2">
        <f>AC257*Assumptions!$E$46*-1</f>
        <v>-12.490401446536364</v>
      </c>
      <c r="AG257" s="5">
        <f t="shared" si="67"/>
        <v>374717.89857455791</v>
      </c>
      <c r="AH257" s="20">
        <f>Model_30y[[#This Row],[Mortgage Payment]]+Model_30y[[#This Row],[Total Upkeep]]+Model_30y[[#This Row],[Monthly Investment]]</f>
        <v>-5776.266570241085</v>
      </c>
      <c r="AI257" s="5">
        <f>Model_Renter!D257*-1</f>
        <v>5958.6836631126771</v>
      </c>
      <c r="AJ257" s="5">
        <f t="shared" si="60"/>
        <v>182.4170928715921</v>
      </c>
    </row>
    <row r="258" spans="1:36" x14ac:dyDescent="0.25">
      <c r="A258" s="17">
        <f t="shared" si="61"/>
        <v>256</v>
      </c>
      <c r="B258" s="17">
        <f t="shared" si="56"/>
        <v>22</v>
      </c>
      <c r="C258" s="23">
        <f>IFERROR(PPMT(Assumptions!$E$17, A258, 180, Assumptions!$D$8), 0)</f>
        <v>0</v>
      </c>
      <c r="D258" s="38">
        <f>IFERROR(IPMT(Assumptions!$E$17,A258,180,Assumptions!$D$8), 0)</f>
        <v>0</v>
      </c>
      <c r="E258" s="2">
        <f t="shared" si="62"/>
        <v>0</v>
      </c>
      <c r="F258" s="2">
        <f>IF(I257&gt;1, Assumptions!$E$19, 0)*-1</f>
        <v>0</v>
      </c>
      <c r="G258" s="24">
        <f t="shared" si="57"/>
        <v>1</v>
      </c>
      <c r="H258" s="20">
        <f t="shared" si="63"/>
        <v>339999.99999999988</v>
      </c>
      <c r="I258" s="2">
        <f>MAX(Assumptions!$D$8-SUM(Model_15y!H258), 0)</f>
        <v>1.1641532182693481E-10</v>
      </c>
      <c r="J258" s="2">
        <f>J257*(1+(Assumptions!$E$51))</f>
        <v>1203447.946520363</v>
      </c>
      <c r="K258" s="22">
        <f t="shared" ref="K258:K321" si="69">J258-I258</f>
        <v>1203447.946520363</v>
      </c>
      <c r="L258" s="5">
        <f t="shared" si="64"/>
        <v>425000</v>
      </c>
      <c r="M258" s="63">
        <f>L258/Assumptions!$D$6</f>
        <v>1</v>
      </c>
      <c r="N258" s="24">
        <f t="shared" si="68"/>
        <v>0</v>
      </c>
      <c r="O258" s="22">
        <f>N258*Assumptions!$E$25*-1</f>
        <v>0</v>
      </c>
      <c r="P258" s="5">
        <f>Assumptions!$E$35*J258*-1</f>
        <v>-2478.9057291104109</v>
      </c>
      <c r="Q258" s="5">
        <f>J258*Assumptions!$E$36*-1</f>
        <v>-998.30594027026291</v>
      </c>
      <c r="R258" s="5">
        <f>R246+R246*Assumptions!$D$51</f>
        <v>-905.20567833133327</v>
      </c>
      <c r="S258" s="5">
        <f>S246+(S246*Assumptions!$D$51)</f>
        <v>0</v>
      </c>
      <c r="T258" s="5">
        <f t="shared" si="58"/>
        <v>0</v>
      </c>
      <c r="U258" s="22">
        <f t="shared" ref="U258:U321" si="70">SUM(P258:T258)</f>
        <v>-4382.4173477120075</v>
      </c>
      <c r="V258" s="5">
        <f>MAX(Assumptions!$E$18:$E$19)-U258</f>
        <v>7224.0503595107039</v>
      </c>
      <c r="W258" s="5">
        <f t="shared" ref="W258:W321" si="71">F258</f>
        <v>0</v>
      </c>
      <c r="X258" s="5">
        <f t="shared" si="59"/>
        <v>-4382.4173477120075</v>
      </c>
      <c r="Y258" s="5">
        <f>D258*Assumptions!$D$44*-1</f>
        <v>0</v>
      </c>
      <c r="Z258" s="5">
        <f t="shared" ref="Z258:Z321" si="72">SUM(V258:Y258)</f>
        <v>2841.6330117986963</v>
      </c>
      <c r="AA258" s="5">
        <f t="shared" si="65"/>
        <v>374717.89857455791</v>
      </c>
      <c r="AB258" s="3">
        <f>Assumptions!$E$45</f>
        <v>6.9899151946608562E-3</v>
      </c>
      <c r="AC258" s="5">
        <f t="shared" si="66"/>
        <v>380178.77791931434</v>
      </c>
      <c r="AD258" s="4">
        <f>AC258*Assumptions!$E$43</f>
        <v>340.47879891781463</v>
      </c>
      <c r="AE258" s="2">
        <f>AD258*Assumptions!$D$44*-1</f>
        <v>-51.071819837672194</v>
      </c>
      <c r="AF258" s="2">
        <f>AC258*Assumptions!$E$46*-1</f>
        <v>-12.670303209482924</v>
      </c>
      <c r="AG258" s="5">
        <f t="shared" si="67"/>
        <v>380115.03579626716</v>
      </c>
      <c r="AH258" s="20">
        <f>Model_30y[[#This Row],[Mortgage Payment]]+Model_30y[[#This Row],[Total Upkeep]]+Model_30y[[#This Row],[Monthly Investment]]</f>
        <v>-5791.3973691922465</v>
      </c>
      <c r="AI258" s="5">
        <f>Model_Renter!D258*-1</f>
        <v>5958.6836631126771</v>
      </c>
      <c r="AJ258" s="5">
        <f t="shared" si="60"/>
        <v>167.28629392043058</v>
      </c>
    </row>
    <row r="259" spans="1:36" x14ac:dyDescent="0.25">
      <c r="A259" s="17">
        <f t="shared" si="61"/>
        <v>257</v>
      </c>
      <c r="B259" s="17">
        <f t="shared" ref="B259:B322" si="73">ROUNDUP(A259/12,0)</f>
        <v>22</v>
      </c>
      <c r="C259" s="23">
        <f>IFERROR(PPMT(Assumptions!$E$17, A259, 180, Assumptions!$D$8), 0)</f>
        <v>0</v>
      </c>
      <c r="D259" s="38">
        <f>IFERROR(IPMT(Assumptions!$E$17,A259,180,Assumptions!$D$8), 0)</f>
        <v>0</v>
      </c>
      <c r="E259" s="2">
        <f t="shared" si="62"/>
        <v>0</v>
      </c>
      <c r="F259" s="2">
        <f>IF(I258&gt;1, Assumptions!$E$19, 0)*-1</f>
        <v>0</v>
      </c>
      <c r="G259" s="24">
        <f t="shared" ref="G259:G322" si="74">IF(E259-F259&lt;1, 1, 0)</f>
        <v>1</v>
      </c>
      <c r="H259" s="20">
        <f t="shared" si="63"/>
        <v>339999.99999999988</v>
      </c>
      <c r="I259" s="2">
        <f>MAX(Assumptions!$D$8-SUM(Model_15y!H259), 0)</f>
        <v>1.1641532182693481E-10</v>
      </c>
      <c r="J259" s="2">
        <f>J258*(1+(Assumptions!$E$51))</f>
        <v>1208350.9424216643</v>
      </c>
      <c r="K259" s="22">
        <f t="shared" si="69"/>
        <v>1208350.942421664</v>
      </c>
      <c r="L259" s="5">
        <f t="shared" si="64"/>
        <v>425000</v>
      </c>
      <c r="M259" s="63">
        <f>L259/Assumptions!$D$6</f>
        <v>1</v>
      </c>
      <c r="N259" s="24">
        <f t="shared" si="68"/>
        <v>0</v>
      </c>
      <c r="O259" s="22">
        <f>N259*Assumptions!$E$25*-1</f>
        <v>0</v>
      </c>
      <c r="P259" s="5">
        <f>Assumptions!$E$35*J259*-1</f>
        <v>-2489.0050978988015</v>
      </c>
      <c r="Q259" s="5">
        <f>J259*Assumptions!$E$36*-1</f>
        <v>-1002.3731622448754</v>
      </c>
      <c r="R259" s="5">
        <f>R247+R247*Assumptions!$D$51</f>
        <v>-905.20567833133327</v>
      </c>
      <c r="S259" s="5">
        <f>S247+(S247*Assumptions!$D$51)</f>
        <v>0</v>
      </c>
      <c r="T259" s="5">
        <f t="shared" ref="T259:T322" si="75">O259</f>
        <v>0</v>
      </c>
      <c r="U259" s="22">
        <f t="shared" si="70"/>
        <v>-4396.5839384750107</v>
      </c>
      <c r="V259" s="5">
        <f>MAX(Assumptions!$E$18:$E$19)-U259</f>
        <v>7238.216950273707</v>
      </c>
      <c r="W259" s="5">
        <f t="shared" si="71"/>
        <v>0</v>
      </c>
      <c r="X259" s="5">
        <f t="shared" ref="X259:X322" si="76">U259</f>
        <v>-4396.5839384750107</v>
      </c>
      <c r="Y259" s="5">
        <f>D259*Assumptions!$D$44*-1</f>
        <v>0</v>
      </c>
      <c r="Z259" s="5">
        <f t="shared" si="72"/>
        <v>2841.6330117986963</v>
      </c>
      <c r="AA259" s="5">
        <f t="shared" si="65"/>
        <v>380115.03579626716</v>
      </c>
      <c r="AB259" s="3">
        <f>Assumptions!$E$45</f>
        <v>6.9899151946608562E-3</v>
      </c>
      <c r="AC259" s="5">
        <f t="shared" si="66"/>
        <v>385613.64067249728</v>
      </c>
      <c r="AD259" s="4">
        <f>AC259*Assumptions!$E$43</f>
        <v>345.34612884247343</v>
      </c>
      <c r="AE259" s="2">
        <f>AD259*Assumptions!$D$44*-1</f>
        <v>-51.801919326371014</v>
      </c>
      <c r="AF259" s="2">
        <f>AC259*Assumptions!$E$46*-1</f>
        <v>-12.851432096691267</v>
      </c>
      <c r="AG259" s="5">
        <f t="shared" si="67"/>
        <v>385548.98732107424</v>
      </c>
      <c r="AH259" s="20">
        <f>Model_30y[[#This Row],[Mortgage Payment]]+Model_30y[[#This Row],[Total Upkeep]]+Model_30y[[#This Row],[Monthly Investment]]</f>
        <v>-5806.591371864426</v>
      </c>
      <c r="AI259" s="5">
        <f>Model_Renter!D259*-1</f>
        <v>5958.6836631126771</v>
      </c>
      <c r="AJ259" s="5">
        <f t="shared" ref="AJ259:AJ322" si="77">SUM(AH259:AI259)</f>
        <v>152.09229124825106</v>
      </c>
    </row>
    <row r="260" spans="1:36" x14ac:dyDescent="0.25">
      <c r="A260" s="17">
        <f t="shared" ref="A260:A323" si="78">A259+1</f>
        <v>258</v>
      </c>
      <c r="B260" s="17">
        <f t="shared" si="73"/>
        <v>22</v>
      </c>
      <c r="C260" s="23">
        <f>IFERROR(PPMT(Assumptions!$E$17, A260, 180, Assumptions!$D$8), 0)</f>
        <v>0</v>
      </c>
      <c r="D260" s="38">
        <f>IFERROR(IPMT(Assumptions!$E$17,A260,180,Assumptions!$D$8), 0)</f>
        <v>0</v>
      </c>
      <c r="E260" s="2">
        <f t="shared" ref="E260:E323" si="79">SUM(C260:D260)</f>
        <v>0</v>
      </c>
      <c r="F260" s="2">
        <f>IF(I259&gt;1, Assumptions!$E$19, 0)*-1</f>
        <v>0</v>
      </c>
      <c r="G260" s="24">
        <f t="shared" si="74"/>
        <v>1</v>
      </c>
      <c r="H260" s="20">
        <f t="shared" ref="H260:H323" si="80">H259+C260*-1</f>
        <v>339999.99999999988</v>
      </c>
      <c r="I260" s="2">
        <f>MAX(Assumptions!$D$8-SUM(Model_15y!H260), 0)</f>
        <v>1.1641532182693481E-10</v>
      </c>
      <c r="J260" s="2">
        <f>J259*(1+(Assumptions!$E$51))</f>
        <v>1213273.9137351783</v>
      </c>
      <c r="K260" s="22">
        <f t="shared" si="69"/>
        <v>1213273.9137351783</v>
      </c>
      <c r="L260" s="5">
        <f t="shared" ref="L260:L323" si="81">L259+C260*-1</f>
        <v>425000</v>
      </c>
      <c r="M260" s="63">
        <f>L260/Assumptions!$D$6</f>
        <v>1</v>
      </c>
      <c r="N260" s="24">
        <f t="shared" si="68"/>
        <v>0</v>
      </c>
      <c r="O260" s="22">
        <f>N260*Assumptions!$E$25*-1</f>
        <v>0</v>
      </c>
      <c r="P260" s="5">
        <f>Assumptions!$E$35*J260*-1</f>
        <v>-2499.145612765773</v>
      </c>
      <c r="Q260" s="5">
        <f>J260*Assumptions!$E$36*-1</f>
        <v>-1006.456954585268</v>
      </c>
      <c r="R260" s="5">
        <f>R248+R248*Assumptions!$D$51</f>
        <v>-905.20567833133327</v>
      </c>
      <c r="S260" s="5">
        <f>S248+(S248*Assumptions!$D$51)</f>
        <v>0</v>
      </c>
      <c r="T260" s="5">
        <f t="shared" si="75"/>
        <v>0</v>
      </c>
      <c r="U260" s="22">
        <f t="shared" si="70"/>
        <v>-4410.808245682374</v>
      </c>
      <c r="V260" s="5">
        <f>MAX(Assumptions!$E$18:$E$19)-U260</f>
        <v>7252.4412574810704</v>
      </c>
      <c r="W260" s="5">
        <f t="shared" si="71"/>
        <v>0</v>
      </c>
      <c r="X260" s="5">
        <f t="shared" si="76"/>
        <v>-4410.808245682374</v>
      </c>
      <c r="Y260" s="5">
        <f>D260*Assumptions!$D$44*-1</f>
        <v>0</v>
      </c>
      <c r="Z260" s="5">
        <f t="shared" si="72"/>
        <v>2841.6330117986963</v>
      </c>
      <c r="AA260" s="5">
        <f t="shared" ref="AA260:AA323" si="82">AG259</f>
        <v>385548.98732107424</v>
      </c>
      <c r="AB260" s="3">
        <f>Assumptions!$E$45</f>
        <v>6.9899151946608562E-3</v>
      </c>
      <c r="AC260" s="5">
        <f t="shared" ref="AC260:AC323" si="83">(AA260+Z260)+(AA260*AB260)</f>
        <v>391085.57505763462</v>
      </c>
      <c r="AD260" s="4">
        <f>AC260*Assumptions!$E$43</f>
        <v>350.24665921243547</v>
      </c>
      <c r="AE260" s="2">
        <f>AD260*Assumptions!$D$44*-1</f>
        <v>-52.536998881865323</v>
      </c>
      <c r="AF260" s="2">
        <f>AC260*Assumptions!$E$46*-1</f>
        <v>-13.033796478473775</v>
      </c>
      <c r="AG260" s="5">
        <f t="shared" ref="AG260:AG323" si="84">AC260+SUM(AE260:AF260)</f>
        <v>391020.00426227431</v>
      </c>
      <c r="AH260" s="20">
        <f>Model_30y[[#This Row],[Mortgage Payment]]+Model_30y[[#This Row],[Total Upkeep]]+Model_30y[[#This Row],[Monthly Investment]]</f>
        <v>-5821.8488444876584</v>
      </c>
      <c r="AI260" s="5">
        <f>Model_Renter!D260*-1</f>
        <v>5958.6836631126771</v>
      </c>
      <c r="AJ260" s="5">
        <f t="shared" si="77"/>
        <v>136.83481862501867</v>
      </c>
    </row>
    <row r="261" spans="1:36" x14ac:dyDescent="0.25">
      <c r="A261" s="17">
        <f t="shared" si="78"/>
        <v>259</v>
      </c>
      <c r="B261" s="17">
        <f t="shared" si="73"/>
        <v>22</v>
      </c>
      <c r="C261" s="23">
        <f>IFERROR(PPMT(Assumptions!$E$17, A261, 180, Assumptions!$D$8), 0)</f>
        <v>0</v>
      </c>
      <c r="D261" s="38">
        <f>IFERROR(IPMT(Assumptions!$E$17,A261,180,Assumptions!$D$8), 0)</f>
        <v>0</v>
      </c>
      <c r="E261" s="2">
        <f t="shared" si="79"/>
        <v>0</v>
      </c>
      <c r="F261" s="2">
        <f>IF(I260&gt;1, Assumptions!$E$19, 0)*-1</f>
        <v>0</v>
      </c>
      <c r="G261" s="24">
        <f t="shared" si="74"/>
        <v>1</v>
      </c>
      <c r="H261" s="20">
        <f t="shared" si="80"/>
        <v>339999.99999999988</v>
      </c>
      <c r="I261" s="2">
        <f>MAX(Assumptions!$D$8-SUM(Model_15y!H261), 0)</f>
        <v>1.1641532182693481E-10</v>
      </c>
      <c r="J261" s="2">
        <f>J260*(1+(Assumptions!$E$51))</f>
        <v>1218216.941843207</v>
      </c>
      <c r="K261" s="22">
        <f t="shared" si="69"/>
        <v>1218216.941843207</v>
      </c>
      <c r="L261" s="5">
        <f t="shared" si="81"/>
        <v>425000</v>
      </c>
      <c r="M261" s="63">
        <f>L261/Assumptions!$D$6</f>
        <v>1</v>
      </c>
      <c r="N261" s="24">
        <f t="shared" si="68"/>
        <v>0</v>
      </c>
      <c r="O261" s="22">
        <f>N261*Assumptions!$E$25*-1</f>
        <v>0</v>
      </c>
      <c r="P261" s="5">
        <f>Assumptions!$E$35*J261*-1</f>
        <v>-2509.3274413455424</v>
      </c>
      <c r="Q261" s="5">
        <f>J261*Assumptions!$E$36*-1</f>
        <v>-1010.5573848011622</v>
      </c>
      <c r="R261" s="5">
        <f>R249+R249*Assumptions!$D$51</f>
        <v>-905.20567833133327</v>
      </c>
      <c r="S261" s="5">
        <f>S249+(S249*Assumptions!$D$51)</f>
        <v>0</v>
      </c>
      <c r="T261" s="5">
        <f t="shared" si="75"/>
        <v>0</v>
      </c>
      <c r="U261" s="22">
        <f t="shared" si="70"/>
        <v>-4425.0905044780375</v>
      </c>
      <c r="V261" s="5">
        <f>MAX(Assumptions!$E$18:$E$19)-U261</f>
        <v>7266.7235162767338</v>
      </c>
      <c r="W261" s="5">
        <f t="shared" si="71"/>
        <v>0</v>
      </c>
      <c r="X261" s="5">
        <f t="shared" si="76"/>
        <v>-4425.0905044780375</v>
      </c>
      <c r="Y261" s="5">
        <f>D261*Assumptions!$D$44*-1</f>
        <v>0</v>
      </c>
      <c r="Z261" s="5">
        <f t="shared" si="72"/>
        <v>2841.6330117986963</v>
      </c>
      <c r="AA261" s="5">
        <f t="shared" si="82"/>
        <v>391020.00426227431</v>
      </c>
      <c r="AB261" s="3">
        <f>Assumptions!$E$45</f>
        <v>6.9899151946608562E-3</v>
      </c>
      <c r="AC261" s="5">
        <f t="shared" si="83"/>
        <v>396594.83394328225</v>
      </c>
      <c r="AD261" s="4">
        <f>AC261*Assumptions!$E$43</f>
        <v>355.18061649058399</v>
      </c>
      <c r="AE261" s="2">
        <f>AD261*Assumptions!$D$44*-1</f>
        <v>-53.277092473587594</v>
      </c>
      <c r="AF261" s="2">
        <f>AC261*Assumptions!$E$46*-1</f>
        <v>-13.217404782237402</v>
      </c>
      <c r="AG261" s="5">
        <f t="shared" si="84"/>
        <v>396528.33944602642</v>
      </c>
      <c r="AH261" s="20">
        <f>Model_30y[[#This Row],[Mortgage Payment]]+Model_30y[[#This Row],[Total Upkeep]]+Model_30y[[#This Row],[Monthly Investment]]</f>
        <v>-5837.1700544255182</v>
      </c>
      <c r="AI261" s="5">
        <f>Model_Renter!D261*-1</f>
        <v>5958.6836631126771</v>
      </c>
      <c r="AJ261" s="5">
        <f t="shared" si="77"/>
        <v>121.51360868715892</v>
      </c>
    </row>
    <row r="262" spans="1:36" x14ac:dyDescent="0.25">
      <c r="A262" s="17">
        <f t="shared" si="78"/>
        <v>260</v>
      </c>
      <c r="B262" s="17">
        <f t="shared" si="73"/>
        <v>22</v>
      </c>
      <c r="C262" s="23">
        <f>IFERROR(PPMT(Assumptions!$E$17, A262, 180, Assumptions!$D$8), 0)</f>
        <v>0</v>
      </c>
      <c r="D262" s="38">
        <f>IFERROR(IPMT(Assumptions!$E$17,A262,180,Assumptions!$D$8), 0)</f>
        <v>0</v>
      </c>
      <c r="E262" s="2">
        <f t="shared" si="79"/>
        <v>0</v>
      </c>
      <c r="F262" s="2">
        <f>IF(I261&gt;1, Assumptions!$E$19, 0)*-1</f>
        <v>0</v>
      </c>
      <c r="G262" s="24">
        <f t="shared" si="74"/>
        <v>1</v>
      </c>
      <c r="H262" s="20">
        <f t="shared" si="80"/>
        <v>339999.99999999988</v>
      </c>
      <c r="I262" s="2">
        <f>MAX(Assumptions!$D$8-SUM(Model_15y!H262), 0)</f>
        <v>1.1641532182693481E-10</v>
      </c>
      <c r="J262" s="2">
        <f>J261*(1+(Assumptions!$E$51))</f>
        <v>1223180.1084596138</v>
      </c>
      <c r="K262" s="22">
        <f t="shared" si="69"/>
        <v>1223180.1084596138</v>
      </c>
      <c r="L262" s="5">
        <f t="shared" si="81"/>
        <v>425000</v>
      </c>
      <c r="M262" s="63">
        <f>L262/Assumptions!$D$6</f>
        <v>1</v>
      </c>
      <c r="N262" s="24">
        <f t="shared" si="68"/>
        <v>0</v>
      </c>
      <c r="O262" s="22">
        <f>N262*Assumptions!$E$25*-1</f>
        <v>0</v>
      </c>
      <c r="P262" s="5">
        <f>Assumptions!$E$35*J262*-1</f>
        <v>-2519.5507519552898</v>
      </c>
      <c r="Q262" s="5">
        <f>J262*Assumptions!$E$36*-1</f>
        <v>-1014.6745206773221</v>
      </c>
      <c r="R262" s="5">
        <f>R250+R250*Assumptions!$D$51</f>
        <v>-905.20567833133327</v>
      </c>
      <c r="S262" s="5">
        <f>S250+(S250*Assumptions!$D$51)</f>
        <v>0</v>
      </c>
      <c r="T262" s="5">
        <f t="shared" si="75"/>
        <v>0</v>
      </c>
      <c r="U262" s="22">
        <f t="shared" si="70"/>
        <v>-4439.4309509639452</v>
      </c>
      <c r="V262" s="5">
        <f>MAX(Assumptions!$E$18:$E$19)-U262</f>
        <v>7281.0639627626424</v>
      </c>
      <c r="W262" s="5">
        <f t="shared" si="71"/>
        <v>0</v>
      </c>
      <c r="X262" s="5">
        <f t="shared" si="76"/>
        <v>-4439.4309509639452</v>
      </c>
      <c r="Y262" s="5">
        <f>D262*Assumptions!$D$44*-1</f>
        <v>0</v>
      </c>
      <c r="Z262" s="5">
        <f t="shared" si="72"/>
        <v>2841.6330117986972</v>
      </c>
      <c r="AA262" s="5">
        <f t="shared" si="82"/>
        <v>396528.33944602642</v>
      </c>
      <c r="AB262" s="3">
        <f>Assumptions!$E$45</f>
        <v>6.9899151946608562E-3</v>
      </c>
      <c r="AC262" s="5">
        <f t="shared" si="83"/>
        <v>402141.67192283255</v>
      </c>
      <c r="AD262" s="4">
        <f>AC262*Assumptions!$E$43</f>
        <v>360.14822868452353</v>
      </c>
      <c r="AE262" s="2">
        <f>AD262*Assumptions!$D$44*-1</f>
        <v>-54.022234302678527</v>
      </c>
      <c r="AF262" s="2">
        <f>AC262*Assumptions!$E$46*-1</f>
        <v>-13.402265492873106</v>
      </c>
      <c r="AG262" s="5">
        <f t="shared" si="84"/>
        <v>402074.24742303701</v>
      </c>
      <c r="AH262" s="20">
        <f>Model_30y[[#This Row],[Mortgage Payment]]+Model_30y[[#This Row],[Total Upkeep]]+Model_30y[[#This Row],[Monthly Investment]]</f>
        <v>-5852.5552701800198</v>
      </c>
      <c r="AI262" s="5">
        <f>Model_Renter!D262*-1</f>
        <v>5958.6836631126771</v>
      </c>
      <c r="AJ262" s="5">
        <f t="shared" si="77"/>
        <v>106.12839293265733</v>
      </c>
    </row>
    <row r="263" spans="1:36" x14ac:dyDescent="0.25">
      <c r="A263" s="17">
        <f t="shared" si="78"/>
        <v>261</v>
      </c>
      <c r="B263" s="17">
        <f t="shared" si="73"/>
        <v>22</v>
      </c>
      <c r="C263" s="23">
        <f>IFERROR(PPMT(Assumptions!$E$17, A263, 180, Assumptions!$D$8), 0)</f>
        <v>0</v>
      </c>
      <c r="D263" s="38">
        <f>IFERROR(IPMT(Assumptions!$E$17,A263,180,Assumptions!$D$8), 0)</f>
        <v>0</v>
      </c>
      <c r="E263" s="2">
        <f t="shared" si="79"/>
        <v>0</v>
      </c>
      <c r="F263" s="2">
        <f>IF(I262&gt;1, Assumptions!$E$19, 0)*-1</f>
        <v>0</v>
      </c>
      <c r="G263" s="24">
        <f t="shared" si="74"/>
        <v>1</v>
      </c>
      <c r="H263" s="20">
        <f t="shared" si="80"/>
        <v>339999.99999999988</v>
      </c>
      <c r="I263" s="2">
        <f>MAX(Assumptions!$D$8-SUM(Model_15y!H263), 0)</f>
        <v>1.1641532182693481E-10</v>
      </c>
      <c r="J263" s="2">
        <f>J262*(1+(Assumptions!$E$51))</f>
        <v>1228163.4956311747</v>
      </c>
      <c r="K263" s="22">
        <f t="shared" si="69"/>
        <v>1228163.4956311747</v>
      </c>
      <c r="L263" s="5">
        <f t="shared" si="81"/>
        <v>425000</v>
      </c>
      <c r="M263" s="63">
        <f>L263/Assumptions!$D$6</f>
        <v>1</v>
      </c>
      <c r="N263" s="24">
        <f t="shared" si="68"/>
        <v>0</v>
      </c>
      <c r="O263" s="22">
        <f>N263*Assumptions!$E$25*-1</f>
        <v>0</v>
      </c>
      <c r="P263" s="5">
        <f>Assumptions!$E$35*J263*-1</f>
        <v>-2529.81571359794</v>
      </c>
      <c r="Q263" s="5">
        <f>J263*Assumptions!$E$36*-1</f>
        <v>-1018.8084302746756</v>
      </c>
      <c r="R263" s="5">
        <f>R251+R251*Assumptions!$D$51</f>
        <v>-905.20567833133327</v>
      </c>
      <c r="S263" s="5">
        <f>S251+(S251*Assumptions!$D$51)</f>
        <v>0</v>
      </c>
      <c r="T263" s="5">
        <f t="shared" si="75"/>
        <v>0</v>
      </c>
      <c r="U263" s="22">
        <f t="shared" si="70"/>
        <v>-4453.8298222039484</v>
      </c>
      <c r="V263" s="5">
        <f>MAX(Assumptions!$E$18:$E$19)-U263</f>
        <v>7295.4628340026447</v>
      </c>
      <c r="W263" s="5">
        <f t="shared" si="71"/>
        <v>0</v>
      </c>
      <c r="X263" s="5">
        <f t="shared" si="76"/>
        <v>-4453.8298222039484</v>
      </c>
      <c r="Y263" s="5">
        <f>D263*Assumptions!$D$44*-1</f>
        <v>0</v>
      </c>
      <c r="Z263" s="5">
        <f t="shared" si="72"/>
        <v>2841.6330117986963</v>
      </c>
      <c r="AA263" s="5">
        <f t="shared" si="82"/>
        <v>402074.24742303701</v>
      </c>
      <c r="AB263" s="3">
        <f>Assumptions!$E$45</f>
        <v>6.9899151946608562E-3</v>
      </c>
      <c r="AC263" s="5">
        <f t="shared" si="83"/>
        <v>407726.34532627987</v>
      </c>
      <c r="AD263" s="4">
        <f>AC263*Assumptions!$E$43</f>
        <v>365.14972535711672</v>
      </c>
      <c r="AE263" s="2">
        <f>AD263*Assumptions!$D$44*-1</f>
        <v>-54.77245880356751</v>
      </c>
      <c r="AF263" s="2">
        <f>AC263*Assumptions!$E$46*-1</f>
        <v>-13.588387153147972</v>
      </c>
      <c r="AG263" s="5">
        <f t="shared" si="84"/>
        <v>407657.98448032315</v>
      </c>
      <c r="AH263" s="20">
        <f>Model_30y[[#This Row],[Mortgage Payment]]+Model_30y[[#This Row],[Total Upkeep]]+Model_30y[[#This Row],[Monthly Investment]]</f>
        <v>-5868.0047613965207</v>
      </c>
      <c r="AI263" s="5">
        <f>Model_Renter!D263*-1</f>
        <v>5958.6836631126771</v>
      </c>
      <c r="AJ263" s="5">
        <f t="shared" si="77"/>
        <v>90.678901716156361</v>
      </c>
    </row>
    <row r="264" spans="1:36" x14ac:dyDescent="0.25">
      <c r="A264" s="17">
        <f t="shared" si="78"/>
        <v>262</v>
      </c>
      <c r="B264" s="17">
        <f t="shared" si="73"/>
        <v>22</v>
      </c>
      <c r="C264" s="23">
        <f>IFERROR(PPMT(Assumptions!$E$17, A264, 180, Assumptions!$D$8), 0)</f>
        <v>0</v>
      </c>
      <c r="D264" s="38">
        <f>IFERROR(IPMT(Assumptions!$E$17,A264,180,Assumptions!$D$8), 0)</f>
        <v>0</v>
      </c>
      <c r="E264" s="2">
        <f t="shared" si="79"/>
        <v>0</v>
      </c>
      <c r="F264" s="2">
        <f>IF(I263&gt;1, Assumptions!$E$19, 0)*-1</f>
        <v>0</v>
      </c>
      <c r="G264" s="24">
        <f t="shared" si="74"/>
        <v>1</v>
      </c>
      <c r="H264" s="20">
        <f t="shared" si="80"/>
        <v>339999.99999999988</v>
      </c>
      <c r="I264" s="2">
        <f>MAX(Assumptions!$D$8-SUM(Model_15y!H264), 0)</f>
        <v>1.1641532182693481E-10</v>
      </c>
      <c r="J264" s="2">
        <f>J263*(1+(Assumptions!$E$51))</f>
        <v>1233167.1857389342</v>
      </c>
      <c r="K264" s="22">
        <f t="shared" si="69"/>
        <v>1233167.1857389342</v>
      </c>
      <c r="L264" s="5">
        <f t="shared" si="81"/>
        <v>425000</v>
      </c>
      <c r="M264" s="63">
        <f>L264/Assumptions!$D$6</f>
        <v>1</v>
      </c>
      <c r="N264" s="24">
        <f t="shared" si="68"/>
        <v>0</v>
      </c>
      <c r="O264" s="22">
        <f>N264*Assumptions!$E$25*-1</f>
        <v>0</v>
      </c>
      <c r="P264" s="5">
        <f>Assumptions!$E$35*J264*-1</f>
        <v>-2540.1224959649567</v>
      </c>
      <c r="Q264" s="5">
        <f>J264*Assumptions!$E$36*-1</f>
        <v>-1022.959181931439</v>
      </c>
      <c r="R264" s="5">
        <f>R252+R252*Assumptions!$D$51</f>
        <v>-905.20567833133327</v>
      </c>
      <c r="S264" s="5">
        <f>S252+(S252*Assumptions!$D$51)</f>
        <v>0</v>
      </c>
      <c r="T264" s="5">
        <f t="shared" si="75"/>
        <v>0</v>
      </c>
      <c r="U264" s="22">
        <f t="shared" si="70"/>
        <v>-4468.2873562277291</v>
      </c>
      <c r="V264" s="5">
        <f>MAX(Assumptions!$E$18:$E$19)-U264</f>
        <v>7309.9203680264254</v>
      </c>
      <c r="W264" s="5">
        <f t="shared" si="71"/>
        <v>0</v>
      </c>
      <c r="X264" s="5">
        <f t="shared" si="76"/>
        <v>-4468.2873562277291</v>
      </c>
      <c r="Y264" s="5">
        <f>D264*Assumptions!$D$44*-1</f>
        <v>0</v>
      </c>
      <c r="Z264" s="5">
        <f t="shared" si="72"/>
        <v>2841.6330117986963</v>
      </c>
      <c r="AA264" s="5">
        <f t="shared" si="82"/>
        <v>407657.98448032315</v>
      </c>
      <c r="AB264" s="3">
        <f>Assumptions!$E$45</f>
        <v>6.9899151946608562E-3</v>
      </c>
      <c r="AC264" s="5">
        <f t="shared" si="83"/>
        <v>413349.1122320657</v>
      </c>
      <c r="AD264" s="4">
        <f>AC264*Assumptions!$E$43</f>
        <v>370.1853376370928</v>
      </c>
      <c r="AE264" s="2">
        <f>AD264*Assumptions!$D$44*-1</f>
        <v>-55.527800645563921</v>
      </c>
      <c r="AF264" s="2">
        <f>AC264*Assumptions!$E$46*-1</f>
        <v>-13.775778364099974</v>
      </c>
      <c r="AG264" s="5">
        <f t="shared" si="84"/>
        <v>413279.80865305604</v>
      </c>
      <c r="AH264" s="20">
        <f>Model_30y[[#This Row],[Mortgage Payment]]+Model_30y[[#This Row],[Total Upkeep]]+Model_30y[[#This Row],[Monthly Investment]]</f>
        <v>-5883.5187988686666</v>
      </c>
      <c r="AI264" s="5">
        <f>Model_Renter!D264*-1</f>
        <v>5958.6836631126771</v>
      </c>
      <c r="AJ264" s="5">
        <f t="shared" si="77"/>
        <v>75.16486424401046</v>
      </c>
    </row>
    <row r="265" spans="1:36" x14ac:dyDescent="0.25">
      <c r="A265" s="17">
        <f t="shared" si="78"/>
        <v>263</v>
      </c>
      <c r="B265" s="17">
        <f t="shared" si="73"/>
        <v>22</v>
      </c>
      <c r="C265" s="23">
        <f>IFERROR(PPMT(Assumptions!$E$17, A265, 180, Assumptions!$D$8), 0)</f>
        <v>0</v>
      </c>
      <c r="D265" s="38">
        <f>IFERROR(IPMT(Assumptions!$E$17,A265,180,Assumptions!$D$8), 0)</f>
        <v>0</v>
      </c>
      <c r="E265" s="2">
        <f t="shared" si="79"/>
        <v>0</v>
      </c>
      <c r="F265" s="2">
        <f>IF(I264&gt;1, Assumptions!$E$19, 0)*-1</f>
        <v>0</v>
      </c>
      <c r="G265" s="24">
        <f t="shared" si="74"/>
        <v>1</v>
      </c>
      <c r="H265" s="20">
        <f t="shared" si="80"/>
        <v>339999.99999999988</v>
      </c>
      <c r="I265" s="2">
        <f>MAX(Assumptions!$D$8-SUM(Model_15y!H265), 0)</f>
        <v>1.1641532182693481E-10</v>
      </c>
      <c r="J265" s="2">
        <f>J264*(1+(Assumptions!$E$51))</f>
        <v>1238191.2614995679</v>
      </c>
      <c r="K265" s="22">
        <f t="shared" si="69"/>
        <v>1238191.2614995679</v>
      </c>
      <c r="L265" s="5">
        <f t="shared" si="81"/>
        <v>425000</v>
      </c>
      <c r="M265" s="63">
        <f>L265/Assumptions!$D$6</f>
        <v>1</v>
      </c>
      <c r="N265" s="24">
        <f t="shared" si="68"/>
        <v>0</v>
      </c>
      <c r="O265" s="22">
        <f>N265*Assumptions!$E$25*-1</f>
        <v>0</v>
      </c>
      <c r="P265" s="5">
        <f>Assumptions!$E$35*J265*-1</f>
        <v>-2550.4712694391474</v>
      </c>
      <c r="Q265" s="5">
        <f>J265*Assumptions!$E$36*-1</f>
        <v>-1027.1268442642474</v>
      </c>
      <c r="R265" s="5">
        <f>R253+R253*Assumptions!$D$51</f>
        <v>-905.20567833133327</v>
      </c>
      <c r="S265" s="5">
        <f>S253+(S253*Assumptions!$D$51)</f>
        <v>0</v>
      </c>
      <c r="T265" s="5">
        <f t="shared" si="75"/>
        <v>0</v>
      </c>
      <c r="U265" s="22">
        <f t="shared" si="70"/>
        <v>-4482.8037920347288</v>
      </c>
      <c r="V265" s="5">
        <f>MAX(Assumptions!$E$18:$E$19)-U265</f>
        <v>7324.4368038334251</v>
      </c>
      <c r="W265" s="5">
        <f t="shared" si="71"/>
        <v>0</v>
      </c>
      <c r="X265" s="5">
        <f t="shared" si="76"/>
        <v>-4482.8037920347288</v>
      </c>
      <c r="Y265" s="5">
        <f>D265*Assumptions!$D$44*-1</f>
        <v>0</v>
      </c>
      <c r="Z265" s="5">
        <f t="shared" si="72"/>
        <v>2841.6330117986963</v>
      </c>
      <c r="AA265" s="5">
        <f t="shared" si="82"/>
        <v>413279.80865305604</v>
      </c>
      <c r="AB265" s="3">
        <f>Assumptions!$E$45</f>
        <v>6.9899151946608562E-3</v>
      </c>
      <c r="AC265" s="5">
        <f t="shared" si="83"/>
        <v>419010.2324790053</v>
      </c>
      <c r="AD265" s="4">
        <f>AC265*Assumptions!$E$43</f>
        <v>375.25529822972845</v>
      </c>
      <c r="AE265" s="2">
        <f>AD265*Assumptions!$D$44*-1</f>
        <v>-56.288294734459264</v>
      </c>
      <c r="AF265" s="2">
        <f>AC265*Assumptions!$E$46*-1</f>
        <v>-13.964447785435455</v>
      </c>
      <c r="AG265" s="5">
        <f t="shared" si="84"/>
        <v>418939.9797364854</v>
      </c>
      <c r="AH265" s="20">
        <f>Model_30y[[#This Row],[Mortgage Payment]]+Model_30y[[#This Row],[Total Upkeep]]+Model_30y[[#This Row],[Monthly Investment]]</f>
        <v>-5899.0976545433432</v>
      </c>
      <c r="AI265" s="5">
        <f>Model_Renter!D265*-1</f>
        <v>5958.6836631126771</v>
      </c>
      <c r="AJ265" s="5">
        <f t="shared" si="77"/>
        <v>59.586008569333899</v>
      </c>
    </row>
    <row r="266" spans="1:36" x14ac:dyDescent="0.25">
      <c r="A266" s="17">
        <f t="shared" si="78"/>
        <v>264</v>
      </c>
      <c r="B266" s="17">
        <f t="shared" si="73"/>
        <v>22</v>
      </c>
      <c r="C266" s="23">
        <f>IFERROR(PPMT(Assumptions!$E$17, A266, 180, Assumptions!$D$8), 0)</f>
        <v>0</v>
      </c>
      <c r="D266" s="38">
        <f>IFERROR(IPMT(Assumptions!$E$17,A266,180,Assumptions!$D$8), 0)</f>
        <v>0</v>
      </c>
      <c r="E266" s="2">
        <f t="shared" si="79"/>
        <v>0</v>
      </c>
      <c r="F266" s="2">
        <f>IF(I265&gt;1, Assumptions!$E$19, 0)*-1</f>
        <v>0</v>
      </c>
      <c r="G266" s="24">
        <f t="shared" si="74"/>
        <v>1</v>
      </c>
      <c r="H266" s="20">
        <f t="shared" si="80"/>
        <v>339999.99999999988</v>
      </c>
      <c r="I266" s="2">
        <f>MAX(Assumptions!$D$8-SUM(Model_15y!H266), 0)</f>
        <v>1.1641532182693481E-10</v>
      </c>
      <c r="J266" s="2">
        <f>J265*(1+(Assumptions!$E$51))</f>
        <v>1243235.8059667489</v>
      </c>
      <c r="K266" s="22">
        <f t="shared" si="69"/>
        <v>1243235.8059667489</v>
      </c>
      <c r="L266" s="5">
        <f t="shared" si="81"/>
        <v>425000</v>
      </c>
      <c r="M266" s="63">
        <f>L266/Assumptions!$D$6</f>
        <v>1</v>
      </c>
      <c r="N266" s="24">
        <f t="shared" si="68"/>
        <v>0</v>
      </c>
      <c r="O266" s="22">
        <f>N266*Assumptions!$E$25*-1</f>
        <v>0</v>
      </c>
      <c r="P266" s="5">
        <f>Assumptions!$E$35*J266*-1</f>
        <v>-2560.8622050974814</v>
      </c>
      <c r="Q266" s="5">
        <f>J266*Assumptions!$E$36*-1</f>
        <v>-1031.3114861692879</v>
      </c>
      <c r="R266" s="5">
        <f>R254+R254*Assumptions!$D$51</f>
        <v>-905.20567833133327</v>
      </c>
      <c r="S266" s="5">
        <f>S254+(S254*Assumptions!$D$51)</f>
        <v>0</v>
      </c>
      <c r="T266" s="5">
        <f t="shared" si="75"/>
        <v>0</v>
      </c>
      <c r="U266" s="22">
        <f t="shared" si="70"/>
        <v>-4497.3793695981021</v>
      </c>
      <c r="V266" s="5">
        <f>MAX(Assumptions!$E$18:$E$19)-U266</f>
        <v>7339.0123813967984</v>
      </c>
      <c r="W266" s="5">
        <f t="shared" si="71"/>
        <v>0</v>
      </c>
      <c r="X266" s="5">
        <f t="shared" si="76"/>
        <v>-4497.3793695981021</v>
      </c>
      <c r="Y266" s="5">
        <f>D266*Assumptions!$D$44*-1</f>
        <v>0</v>
      </c>
      <c r="Z266" s="5">
        <f t="shared" si="72"/>
        <v>2841.6330117986963</v>
      </c>
      <c r="AA266" s="5">
        <f t="shared" si="82"/>
        <v>418939.9797364854</v>
      </c>
      <c r="AB266" s="3">
        <f>Assumptions!$E$45</f>
        <v>6.9899151946608562E-3</v>
      </c>
      <c r="AC266" s="5">
        <f t="shared" si="83"/>
        <v>424709.9676782951</v>
      </c>
      <c r="AD266" s="4">
        <f>AC266*Assumptions!$E$43</f>
        <v>380.35984142760168</v>
      </c>
      <c r="AE266" s="2">
        <f>AD266*Assumptions!$D$44*-1</f>
        <v>-57.053976214140249</v>
      </c>
      <c r="AF266" s="2">
        <f>AC266*Assumptions!$E$46*-1</f>
        <v>-14.154404135929305</v>
      </c>
      <c r="AG266" s="5">
        <f t="shared" si="84"/>
        <v>424638.75929794501</v>
      </c>
      <c r="AH266" s="20">
        <f>Model_30y[[#This Row],[Mortgage Payment]]+Model_30y[[#This Row],[Total Upkeep]]+Model_30y[[#This Row],[Monthly Investment]]</f>
        <v>-5914.7416015256522</v>
      </c>
      <c r="AI266" s="5">
        <f>Model_Renter!D266*-1</f>
        <v>5958.6836631126771</v>
      </c>
      <c r="AJ266" s="5">
        <f t="shared" si="77"/>
        <v>43.942061587024909</v>
      </c>
    </row>
    <row r="267" spans="1:36" x14ac:dyDescent="0.25">
      <c r="A267" s="17">
        <f t="shared" si="78"/>
        <v>265</v>
      </c>
      <c r="B267" s="17">
        <f t="shared" si="73"/>
        <v>23</v>
      </c>
      <c r="C267" s="23">
        <f>IFERROR(PPMT(Assumptions!$E$17, A267, 180, Assumptions!$D$8), 0)</f>
        <v>0</v>
      </c>
      <c r="D267" s="38">
        <f>IFERROR(IPMT(Assumptions!$E$17,A267,180,Assumptions!$D$8), 0)</f>
        <v>0</v>
      </c>
      <c r="E267" s="2">
        <f t="shared" si="79"/>
        <v>0</v>
      </c>
      <c r="F267" s="2">
        <f>IF(I266&gt;1, Assumptions!$E$19, 0)*-1</f>
        <v>0</v>
      </c>
      <c r="G267" s="24">
        <f t="shared" si="74"/>
        <v>1</v>
      </c>
      <c r="H267" s="20">
        <f t="shared" si="80"/>
        <v>339999.99999999988</v>
      </c>
      <c r="I267" s="2">
        <f>MAX(Assumptions!$D$8-SUM(Model_15y!H267), 0)</f>
        <v>1.1641532182693481E-10</v>
      </c>
      <c r="J267" s="2">
        <f>J266*(1+(Assumptions!$E$51))</f>
        <v>1248300.9025325212</v>
      </c>
      <c r="K267" s="22">
        <f t="shared" si="69"/>
        <v>1248300.9025325212</v>
      </c>
      <c r="L267" s="5">
        <f t="shared" si="81"/>
        <v>425000</v>
      </c>
      <c r="M267" s="63">
        <f>L267/Assumptions!$D$6</f>
        <v>1</v>
      </c>
      <c r="N267" s="24">
        <f t="shared" si="68"/>
        <v>0</v>
      </c>
      <c r="O267" s="22">
        <f>N267*Assumptions!$E$25*-1</f>
        <v>0</v>
      </c>
      <c r="P267" s="5">
        <f>Assumptions!$E$35*J267*-1</f>
        <v>-2571.2954747139152</v>
      </c>
      <c r="Q267" s="5">
        <f>J267*Assumptions!$E$36*-1</f>
        <v>-1035.5131768234401</v>
      </c>
      <c r="R267" s="5">
        <f>R255+R255*Assumptions!$D$51</f>
        <v>-950.46596224789994</v>
      </c>
      <c r="S267" s="5">
        <f>S255+(S255*Assumptions!$D$51)</f>
        <v>0</v>
      </c>
      <c r="T267" s="5">
        <f t="shared" si="75"/>
        <v>0</v>
      </c>
      <c r="U267" s="22">
        <f t="shared" si="70"/>
        <v>-4557.2746137852555</v>
      </c>
      <c r="V267" s="5">
        <f>MAX(Assumptions!$E$18:$E$19)-U267</f>
        <v>7398.9076255839518</v>
      </c>
      <c r="W267" s="5">
        <f t="shared" si="71"/>
        <v>0</v>
      </c>
      <c r="X267" s="5">
        <f t="shared" si="76"/>
        <v>-4557.2746137852555</v>
      </c>
      <c r="Y267" s="5">
        <f>D267*Assumptions!$D$44*-1</f>
        <v>0</v>
      </c>
      <c r="Z267" s="5">
        <f t="shared" si="72"/>
        <v>2841.6330117986963</v>
      </c>
      <c r="AA267" s="5">
        <f t="shared" si="82"/>
        <v>424638.75929794501</v>
      </c>
      <c r="AB267" s="3">
        <f>Assumptions!$E$45</f>
        <v>6.9899151946608562E-3</v>
      </c>
      <c r="AC267" s="5">
        <f t="shared" si="83"/>
        <v>430448.58122560236</v>
      </c>
      <c r="AD267" s="4">
        <f>AC267*Assumptions!$E$43</f>
        <v>385.49920312141865</v>
      </c>
      <c r="AE267" s="2">
        <f>AD267*Assumptions!$D$44*-1</f>
        <v>-57.824880468212797</v>
      </c>
      <c r="AF267" s="2">
        <f>AC267*Assumptions!$E$46*-1</f>
        <v>-14.345656193827867</v>
      </c>
      <c r="AG267" s="5">
        <f t="shared" si="84"/>
        <v>430376.41068894032</v>
      </c>
      <c r="AH267" s="20">
        <f>Model_30y[[#This Row],[Mortgage Payment]]+Model_30y[[#This Row],[Total Upkeep]]+Model_30y[[#This Row],[Monthly Investment]]</f>
        <v>-5975.7111980004875</v>
      </c>
      <c r="AI267" s="5">
        <f>Model_Renter!D267*-1</f>
        <v>6181.5384321130914</v>
      </c>
      <c r="AJ267" s="5">
        <f t="shared" si="77"/>
        <v>205.82723411260395</v>
      </c>
    </row>
    <row r="268" spans="1:36" x14ac:dyDescent="0.25">
      <c r="A268" s="17">
        <f t="shared" si="78"/>
        <v>266</v>
      </c>
      <c r="B268" s="17">
        <f t="shared" si="73"/>
        <v>23</v>
      </c>
      <c r="C268" s="23">
        <f>IFERROR(PPMT(Assumptions!$E$17, A268, 180, Assumptions!$D$8), 0)</f>
        <v>0</v>
      </c>
      <c r="D268" s="38">
        <f>IFERROR(IPMT(Assumptions!$E$17,A268,180,Assumptions!$D$8), 0)</f>
        <v>0</v>
      </c>
      <c r="E268" s="2">
        <f t="shared" si="79"/>
        <v>0</v>
      </c>
      <c r="F268" s="2">
        <f>IF(I267&gt;1, Assumptions!$E$19, 0)*-1</f>
        <v>0</v>
      </c>
      <c r="G268" s="24">
        <f t="shared" si="74"/>
        <v>1</v>
      </c>
      <c r="H268" s="20">
        <f t="shared" si="80"/>
        <v>339999.99999999988</v>
      </c>
      <c r="I268" s="2">
        <f>MAX(Assumptions!$D$8-SUM(Model_15y!H268), 0)</f>
        <v>1.1641532182693481E-10</v>
      </c>
      <c r="J268" s="2">
        <f>J267*(1+(Assumptions!$E$51))</f>
        <v>1253386.6349286786</v>
      </c>
      <c r="K268" s="22">
        <f t="shared" si="69"/>
        <v>1253386.6349286786</v>
      </c>
      <c r="L268" s="5">
        <f t="shared" si="81"/>
        <v>425000</v>
      </c>
      <c r="M268" s="63">
        <f>L268/Assumptions!$D$6</f>
        <v>1</v>
      </c>
      <c r="N268" s="24">
        <f t="shared" si="68"/>
        <v>0</v>
      </c>
      <c r="O268" s="22">
        <f>N268*Assumptions!$E$25*-1</f>
        <v>0</v>
      </c>
      <c r="P268" s="5">
        <f>Assumptions!$E$35*J268*-1</f>
        <v>-2581.7712507622346</v>
      </c>
      <c r="Q268" s="5">
        <f>J268*Assumptions!$E$36*-1</f>
        <v>-1039.7319856854176</v>
      </c>
      <c r="R268" s="5">
        <f>R256+R256*Assumptions!$D$51</f>
        <v>-950.46596224789994</v>
      </c>
      <c r="S268" s="5">
        <f>S256+(S256*Assumptions!$D$51)</f>
        <v>0</v>
      </c>
      <c r="T268" s="5">
        <f t="shared" si="75"/>
        <v>0</v>
      </c>
      <c r="U268" s="22">
        <f t="shared" si="70"/>
        <v>-4571.9691986955522</v>
      </c>
      <c r="V268" s="5">
        <f>MAX(Assumptions!$E$18:$E$19)-U268</f>
        <v>7413.6022104942494</v>
      </c>
      <c r="W268" s="5">
        <f t="shared" si="71"/>
        <v>0</v>
      </c>
      <c r="X268" s="5">
        <f t="shared" si="76"/>
        <v>-4571.9691986955522</v>
      </c>
      <c r="Y268" s="5">
        <f>D268*Assumptions!$D$44*-1</f>
        <v>0</v>
      </c>
      <c r="Z268" s="5">
        <f t="shared" si="72"/>
        <v>2841.6330117986972</v>
      </c>
      <c r="AA268" s="5">
        <f t="shared" si="82"/>
        <v>430376.41068894032</v>
      </c>
      <c r="AB268" s="3">
        <f>Assumptions!$E$45</f>
        <v>6.9899151946608562E-3</v>
      </c>
      <c r="AC268" s="5">
        <f t="shared" si="83"/>
        <v>436226.33831323724</v>
      </c>
      <c r="AD268" s="4">
        <f>AC268*Assumptions!$E$43</f>
        <v>390.67362081091505</v>
      </c>
      <c r="AE268" s="2">
        <f>AD268*Assumptions!$D$44*-1</f>
        <v>-58.601043121637254</v>
      </c>
      <c r="AF268" s="2">
        <f>AC268*Assumptions!$E$46*-1</f>
        <v>-14.538212797254609</v>
      </c>
      <c r="AG268" s="5">
        <f t="shared" si="84"/>
        <v>436153.19905731833</v>
      </c>
      <c r="AH268" s="20">
        <f>Model_30y[[#This Row],[Mortgage Payment]]+Model_30y[[#This Row],[Total Upkeep]]+Model_30y[[#This Row],[Monthly Investment]]</f>
        <v>-5991.4861515712773</v>
      </c>
      <c r="AI268" s="5">
        <f>Model_Renter!D268*-1</f>
        <v>6181.5384321130914</v>
      </c>
      <c r="AJ268" s="5">
        <f t="shared" si="77"/>
        <v>190.05228054181407</v>
      </c>
    </row>
    <row r="269" spans="1:36" x14ac:dyDescent="0.25">
      <c r="A269" s="17">
        <f t="shared" si="78"/>
        <v>267</v>
      </c>
      <c r="B269" s="17">
        <f t="shared" si="73"/>
        <v>23</v>
      </c>
      <c r="C269" s="23">
        <f>IFERROR(PPMT(Assumptions!$E$17, A269, 180, Assumptions!$D$8), 0)</f>
        <v>0</v>
      </c>
      <c r="D269" s="38">
        <f>IFERROR(IPMT(Assumptions!$E$17,A269,180,Assumptions!$D$8), 0)</f>
        <v>0</v>
      </c>
      <c r="E269" s="2">
        <f t="shared" si="79"/>
        <v>0</v>
      </c>
      <c r="F269" s="2">
        <f>IF(I268&gt;1, Assumptions!$E$19, 0)*-1</f>
        <v>0</v>
      </c>
      <c r="G269" s="24">
        <f t="shared" si="74"/>
        <v>1</v>
      </c>
      <c r="H269" s="20">
        <f t="shared" si="80"/>
        <v>339999.99999999988</v>
      </c>
      <c r="I269" s="2">
        <f>MAX(Assumptions!$D$8-SUM(Model_15y!H269), 0)</f>
        <v>1.1641532182693481E-10</v>
      </c>
      <c r="J269" s="2">
        <f>J268*(1+(Assumptions!$E$51))</f>
        <v>1258493.0872281485</v>
      </c>
      <c r="K269" s="22">
        <f t="shared" si="69"/>
        <v>1258493.0872281482</v>
      </c>
      <c r="L269" s="5">
        <f t="shared" si="81"/>
        <v>425000</v>
      </c>
      <c r="M269" s="63">
        <f>L269/Assumptions!$D$6</f>
        <v>1</v>
      </c>
      <c r="N269" s="24">
        <f t="shared" si="68"/>
        <v>0</v>
      </c>
      <c r="O269" s="22">
        <f>N269*Assumptions!$E$25*-1</f>
        <v>0</v>
      </c>
      <c r="P269" s="5">
        <f>Assumptions!$E$35*J269*-1</f>
        <v>-2592.2897064189042</v>
      </c>
      <c r="Q269" s="5">
        <f>J269*Assumptions!$E$36*-1</f>
        <v>-1043.9679824969185</v>
      </c>
      <c r="R269" s="5">
        <f>R257+R257*Assumptions!$D$51</f>
        <v>-950.46596224789994</v>
      </c>
      <c r="S269" s="5">
        <f>S257+(S257*Assumptions!$D$51)</f>
        <v>0</v>
      </c>
      <c r="T269" s="5">
        <f t="shared" si="75"/>
        <v>0</v>
      </c>
      <c r="U269" s="22">
        <f t="shared" si="70"/>
        <v>-4586.7236511637229</v>
      </c>
      <c r="V269" s="5">
        <f>MAX(Assumptions!$E$18:$E$19)-U269</f>
        <v>7428.3566629624202</v>
      </c>
      <c r="W269" s="5">
        <f t="shared" si="71"/>
        <v>0</v>
      </c>
      <c r="X269" s="5">
        <f t="shared" si="76"/>
        <v>-4586.7236511637229</v>
      </c>
      <c r="Y269" s="5">
        <f>D269*Assumptions!$D$44*-1</f>
        <v>0</v>
      </c>
      <c r="Z269" s="5">
        <f t="shared" si="72"/>
        <v>2841.6330117986972</v>
      </c>
      <c r="AA269" s="5">
        <f t="shared" si="82"/>
        <v>436153.19905731833</v>
      </c>
      <c r="AB269" s="3">
        <f>Assumptions!$E$45</f>
        <v>6.9899151946608562E-3</v>
      </c>
      <c r="AC269" s="5">
        <f t="shared" si="83"/>
        <v>442043.50594240776</v>
      </c>
      <c r="AD269" s="4">
        <f>AC269*Assumptions!$E$43</f>
        <v>395.88333361583102</v>
      </c>
      <c r="AE269" s="2">
        <f>AD269*Assumptions!$D$44*-1</f>
        <v>-59.382500042374652</v>
      </c>
      <c r="AF269" s="2">
        <f>AC269*Assumptions!$E$46*-1</f>
        <v>-14.732082844618541</v>
      </c>
      <c r="AG269" s="5">
        <f t="shared" si="84"/>
        <v>441969.39135952079</v>
      </c>
      <c r="AH269" s="20">
        <f>Model_30y[[#This Row],[Mortgage Payment]]+Model_30y[[#This Row],[Total Upkeep]]+Model_30y[[#This Row],[Monthly Investment]]</f>
        <v>-6007.3270227644389</v>
      </c>
      <c r="AI269" s="5">
        <f>Model_Renter!D269*-1</f>
        <v>6181.5384321130914</v>
      </c>
      <c r="AJ269" s="5">
        <f t="shared" si="77"/>
        <v>174.21140934865252</v>
      </c>
    </row>
    <row r="270" spans="1:36" x14ac:dyDescent="0.25">
      <c r="A270" s="17">
        <f t="shared" si="78"/>
        <v>268</v>
      </c>
      <c r="B270" s="17">
        <f t="shared" si="73"/>
        <v>23</v>
      </c>
      <c r="C270" s="23">
        <f>IFERROR(PPMT(Assumptions!$E$17, A270, 180, Assumptions!$D$8), 0)</f>
        <v>0</v>
      </c>
      <c r="D270" s="38">
        <f>IFERROR(IPMT(Assumptions!$E$17,A270,180,Assumptions!$D$8), 0)</f>
        <v>0</v>
      </c>
      <c r="E270" s="2">
        <f t="shared" si="79"/>
        <v>0</v>
      </c>
      <c r="F270" s="2">
        <f>IF(I269&gt;1, Assumptions!$E$19, 0)*-1</f>
        <v>0</v>
      </c>
      <c r="G270" s="24">
        <f t="shared" si="74"/>
        <v>1</v>
      </c>
      <c r="H270" s="20">
        <f t="shared" si="80"/>
        <v>339999.99999999988</v>
      </c>
      <c r="I270" s="2">
        <f>MAX(Assumptions!$D$8-SUM(Model_15y!H270), 0)</f>
        <v>1.1641532182693481E-10</v>
      </c>
      <c r="J270" s="2">
        <f>J269*(1+(Assumptions!$E$51))</f>
        <v>1263620.3438463816</v>
      </c>
      <c r="K270" s="22">
        <f t="shared" si="69"/>
        <v>1263620.3438463816</v>
      </c>
      <c r="L270" s="5">
        <f t="shared" si="81"/>
        <v>425000</v>
      </c>
      <c r="M270" s="63">
        <f>L270/Assumptions!$D$6</f>
        <v>1</v>
      </c>
      <c r="N270" s="24">
        <f t="shared" si="68"/>
        <v>0</v>
      </c>
      <c r="O270" s="22">
        <f>N270*Assumptions!$E$25*-1</f>
        <v>0</v>
      </c>
      <c r="P270" s="5">
        <f>Assumptions!$E$35*J270*-1</f>
        <v>-2602.8510155659324</v>
      </c>
      <c r="Q270" s="5">
        <f>J270*Assumptions!$E$36*-1</f>
        <v>-1048.2212372837766</v>
      </c>
      <c r="R270" s="5">
        <f>R258+R258*Assumptions!$D$51</f>
        <v>-950.46596224789994</v>
      </c>
      <c r="S270" s="5">
        <f>S258+(S258*Assumptions!$D$51)</f>
        <v>0</v>
      </c>
      <c r="T270" s="5">
        <f t="shared" si="75"/>
        <v>0</v>
      </c>
      <c r="U270" s="22">
        <f t="shared" si="70"/>
        <v>-4601.5382150976093</v>
      </c>
      <c r="V270" s="5">
        <f>MAX(Assumptions!$E$18:$E$19)-U270</f>
        <v>7443.1712268963056</v>
      </c>
      <c r="W270" s="5">
        <f t="shared" si="71"/>
        <v>0</v>
      </c>
      <c r="X270" s="5">
        <f t="shared" si="76"/>
        <v>-4601.5382150976093</v>
      </c>
      <c r="Y270" s="5">
        <f>D270*Assumptions!$D$44*-1</f>
        <v>0</v>
      </c>
      <c r="Z270" s="5">
        <f t="shared" si="72"/>
        <v>2841.6330117986963</v>
      </c>
      <c r="AA270" s="5">
        <f t="shared" si="82"/>
        <v>441969.39135952079</v>
      </c>
      <c r="AB270" s="3">
        <f>Assumptions!$E$45</f>
        <v>6.9899151946608562E-3</v>
      </c>
      <c r="AC270" s="5">
        <f t="shared" si="83"/>
        <v>447900.35293555842</v>
      </c>
      <c r="AD270" s="4">
        <f>AC270*Assumptions!$E$43</f>
        <v>401.12858228696166</v>
      </c>
      <c r="AE270" s="2">
        <f>AD270*Assumptions!$D$44*-1</f>
        <v>-60.169287343044246</v>
      </c>
      <c r="AF270" s="2">
        <f>AC270*Assumptions!$E$46*-1</f>
        <v>-14.92727529502543</v>
      </c>
      <c r="AG270" s="5">
        <f t="shared" si="84"/>
        <v>447825.25637292035</v>
      </c>
      <c r="AH270" s="20">
        <f>Model_30y[[#This Row],[Mortgage Payment]]+Model_30y[[#This Row],[Total Upkeep]]+Model_30y[[#This Row],[Monthly Investment]]</f>
        <v>-6023.2340893681776</v>
      </c>
      <c r="AI270" s="5">
        <f>Model_Renter!D270*-1</f>
        <v>6181.5384321130914</v>
      </c>
      <c r="AJ270" s="5">
        <f t="shared" si="77"/>
        <v>158.30434274491381</v>
      </c>
    </row>
    <row r="271" spans="1:36" x14ac:dyDescent="0.25">
      <c r="A271" s="17">
        <f t="shared" si="78"/>
        <v>269</v>
      </c>
      <c r="B271" s="17">
        <f t="shared" si="73"/>
        <v>23</v>
      </c>
      <c r="C271" s="23">
        <f>IFERROR(PPMT(Assumptions!$E$17, A271, 180, Assumptions!$D$8), 0)</f>
        <v>0</v>
      </c>
      <c r="D271" s="38">
        <f>IFERROR(IPMT(Assumptions!$E$17,A271,180,Assumptions!$D$8), 0)</f>
        <v>0</v>
      </c>
      <c r="E271" s="2">
        <f t="shared" si="79"/>
        <v>0</v>
      </c>
      <c r="F271" s="2">
        <f>IF(I270&gt;1, Assumptions!$E$19, 0)*-1</f>
        <v>0</v>
      </c>
      <c r="G271" s="24">
        <f t="shared" si="74"/>
        <v>1</v>
      </c>
      <c r="H271" s="20">
        <f t="shared" si="80"/>
        <v>339999.99999999988</v>
      </c>
      <c r="I271" s="2">
        <f>MAX(Assumptions!$D$8-SUM(Model_15y!H271), 0)</f>
        <v>1.1641532182693481E-10</v>
      </c>
      <c r="J271" s="2">
        <f>J270*(1+(Assumptions!$E$51))</f>
        <v>1268768.4895427481</v>
      </c>
      <c r="K271" s="22">
        <f t="shared" si="69"/>
        <v>1268768.4895427478</v>
      </c>
      <c r="L271" s="5">
        <f t="shared" si="81"/>
        <v>425000</v>
      </c>
      <c r="M271" s="63">
        <f>L271/Assumptions!$D$6</f>
        <v>1</v>
      </c>
      <c r="N271" s="24">
        <f t="shared" si="68"/>
        <v>0</v>
      </c>
      <c r="O271" s="22">
        <f>N271*Assumptions!$E$25*-1</f>
        <v>0</v>
      </c>
      <c r="P271" s="5">
        <f>Assumptions!$E$35*J271*-1</f>
        <v>-2613.4553527937428</v>
      </c>
      <c r="Q271" s="5">
        <f>J271*Assumptions!$E$36*-1</f>
        <v>-1052.4918203571196</v>
      </c>
      <c r="R271" s="5">
        <f>R259+R259*Assumptions!$D$51</f>
        <v>-950.46596224789994</v>
      </c>
      <c r="S271" s="5">
        <f>S259+(S259*Assumptions!$D$51)</f>
        <v>0</v>
      </c>
      <c r="T271" s="5">
        <f t="shared" si="75"/>
        <v>0</v>
      </c>
      <c r="U271" s="22">
        <f t="shared" si="70"/>
        <v>-4616.4131353987623</v>
      </c>
      <c r="V271" s="5">
        <f>MAX(Assumptions!$E$18:$E$19)-U271</f>
        <v>7458.0461471974595</v>
      </c>
      <c r="W271" s="5">
        <f t="shared" si="71"/>
        <v>0</v>
      </c>
      <c r="X271" s="5">
        <f t="shared" si="76"/>
        <v>-4616.4131353987623</v>
      </c>
      <c r="Y271" s="5">
        <f>D271*Assumptions!$D$44*-1</f>
        <v>0</v>
      </c>
      <c r="Z271" s="5">
        <f t="shared" si="72"/>
        <v>2841.6330117986972</v>
      </c>
      <c r="AA271" s="5">
        <f t="shared" si="82"/>
        <v>447825.25637292035</v>
      </c>
      <c r="AB271" s="3">
        <f>Assumptions!$E$45</f>
        <v>6.9899151946608562E-3</v>
      </c>
      <c r="AC271" s="5">
        <f t="shared" si="83"/>
        <v>453797.14994879306</v>
      </c>
      <c r="AD271" s="4">
        <f>AC271*Assumptions!$E$43</f>
        <v>406.40960921728231</v>
      </c>
      <c r="AE271" s="2">
        <f>AD271*Assumptions!$D$44*-1</f>
        <v>-60.961441382592341</v>
      </c>
      <c r="AF271" s="2">
        <f>AC271*Assumptions!$E$46*-1</f>
        <v>-15.123799168691816</v>
      </c>
      <c r="AG271" s="5">
        <f t="shared" si="84"/>
        <v>453721.06470824179</v>
      </c>
      <c r="AH271" s="20">
        <f>Model_30y[[#This Row],[Mortgage Payment]]+Model_30y[[#This Row],[Total Upkeep]]+Model_30y[[#This Row],[Monthly Investment]]</f>
        <v>-6039.2076303541326</v>
      </c>
      <c r="AI271" s="5">
        <f>Model_Renter!D271*-1</f>
        <v>6181.5384321130914</v>
      </c>
      <c r="AJ271" s="5">
        <f t="shared" si="77"/>
        <v>142.33080175895884</v>
      </c>
    </row>
    <row r="272" spans="1:36" x14ac:dyDescent="0.25">
      <c r="A272" s="17">
        <f t="shared" si="78"/>
        <v>270</v>
      </c>
      <c r="B272" s="17">
        <f t="shared" si="73"/>
        <v>23</v>
      </c>
      <c r="C272" s="23">
        <f>IFERROR(PPMT(Assumptions!$E$17, A272, 180, Assumptions!$D$8), 0)</f>
        <v>0</v>
      </c>
      <c r="D272" s="38">
        <f>IFERROR(IPMT(Assumptions!$E$17,A272,180,Assumptions!$D$8), 0)</f>
        <v>0</v>
      </c>
      <c r="E272" s="2">
        <f t="shared" si="79"/>
        <v>0</v>
      </c>
      <c r="F272" s="2">
        <f>IF(I271&gt;1, Assumptions!$E$19, 0)*-1</f>
        <v>0</v>
      </c>
      <c r="G272" s="24">
        <f t="shared" si="74"/>
        <v>1</v>
      </c>
      <c r="H272" s="20">
        <f t="shared" si="80"/>
        <v>339999.99999999988</v>
      </c>
      <c r="I272" s="2">
        <f>MAX(Assumptions!$D$8-SUM(Model_15y!H272), 0)</f>
        <v>1.1641532182693481E-10</v>
      </c>
      <c r="J272" s="2">
        <f>J271*(1+(Assumptions!$E$51))</f>
        <v>1273937.6094219377</v>
      </c>
      <c r="K272" s="22">
        <f t="shared" si="69"/>
        <v>1273937.6094219377</v>
      </c>
      <c r="L272" s="5">
        <f t="shared" si="81"/>
        <v>425000</v>
      </c>
      <c r="M272" s="63">
        <f>L272/Assumptions!$D$6</f>
        <v>1</v>
      </c>
      <c r="N272" s="24">
        <f t="shared" si="68"/>
        <v>0</v>
      </c>
      <c r="O272" s="22">
        <f>N272*Assumptions!$E$25*-1</f>
        <v>0</v>
      </c>
      <c r="P272" s="5">
        <f>Assumptions!$E$35*J272*-1</f>
        <v>-2624.1028934040628</v>
      </c>
      <c r="Q272" s="5">
        <f>J272*Assumptions!$E$36*-1</f>
        <v>-1056.7798023145319</v>
      </c>
      <c r="R272" s="5">
        <f>R260+R260*Assumptions!$D$51</f>
        <v>-950.46596224789994</v>
      </c>
      <c r="S272" s="5">
        <f>S260+(S260*Assumptions!$D$51)</f>
        <v>0</v>
      </c>
      <c r="T272" s="5">
        <f t="shared" si="75"/>
        <v>0</v>
      </c>
      <c r="U272" s="22">
        <f t="shared" si="70"/>
        <v>-4631.348657966495</v>
      </c>
      <c r="V272" s="5">
        <f>MAX(Assumptions!$E$18:$E$19)-U272</f>
        <v>7472.9816697651913</v>
      </c>
      <c r="W272" s="5">
        <f t="shared" si="71"/>
        <v>0</v>
      </c>
      <c r="X272" s="5">
        <f t="shared" si="76"/>
        <v>-4631.348657966495</v>
      </c>
      <c r="Y272" s="5">
        <f>D272*Assumptions!$D$44*-1</f>
        <v>0</v>
      </c>
      <c r="Z272" s="5">
        <f t="shared" si="72"/>
        <v>2841.6330117986963</v>
      </c>
      <c r="AA272" s="5">
        <f t="shared" si="82"/>
        <v>453721.06470824179</v>
      </c>
      <c r="AB272" s="3">
        <f>Assumptions!$E$45</f>
        <v>6.9899151946608562E-3</v>
      </c>
      <c r="AC272" s="5">
        <f t="shared" si="83"/>
        <v>459734.16948438238</v>
      </c>
      <c r="AD272" s="4">
        <f>AC272*Assumptions!$E$43</f>
        <v>411.72665845315015</v>
      </c>
      <c r="AE272" s="2">
        <f>AD272*Assumptions!$D$44*-1</f>
        <v>-61.758998767972521</v>
      </c>
      <c r="AF272" s="2">
        <f>AC272*Assumptions!$E$46*-1</f>
        <v>-15.321663547361855</v>
      </c>
      <c r="AG272" s="5">
        <f t="shared" si="84"/>
        <v>459657.08882206702</v>
      </c>
      <c r="AH272" s="20">
        <f>Model_30y[[#This Row],[Mortgage Payment]]+Model_30y[[#This Row],[Total Upkeep]]+Model_30y[[#This Row],[Monthly Investment]]</f>
        <v>-6055.2479258825033</v>
      </c>
      <c r="AI272" s="5">
        <f>Model_Renter!D272*-1</f>
        <v>6181.5384321130914</v>
      </c>
      <c r="AJ272" s="5">
        <f t="shared" si="77"/>
        <v>126.29050623058811</v>
      </c>
    </row>
    <row r="273" spans="1:36" x14ac:dyDescent="0.25">
      <c r="A273" s="17">
        <f t="shared" si="78"/>
        <v>271</v>
      </c>
      <c r="B273" s="17">
        <f t="shared" si="73"/>
        <v>23</v>
      </c>
      <c r="C273" s="23">
        <f>IFERROR(PPMT(Assumptions!$E$17, A273, 180, Assumptions!$D$8), 0)</f>
        <v>0</v>
      </c>
      <c r="D273" s="38">
        <f>IFERROR(IPMT(Assumptions!$E$17,A273,180,Assumptions!$D$8), 0)</f>
        <v>0</v>
      </c>
      <c r="E273" s="2">
        <f t="shared" si="79"/>
        <v>0</v>
      </c>
      <c r="F273" s="2">
        <f>IF(I272&gt;1, Assumptions!$E$19, 0)*-1</f>
        <v>0</v>
      </c>
      <c r="G273" s="24">
        <f t="shared" si="74"/>
        <v>1</v>
      </c>
      <c r="H273" s="20">
        <f t="shared" si="80"/>
        <v>339999.99999999988</v>
      </c>
      <c r="I273" s="2">
        <f>MAX(Assumptions!$D$8-SUM(Model_15y!H273), 0)</f>
        <v>1.1641532182693481E-10</v>
      </c>
      <c r="J273" s="2">
        <f>J272*(1+(Assumptions!$E$51))</f>
        <v>1279127.7889353677</v>
      </c>
      <c r="K273" s="22">
        <f t="shared" si="69"/>
        <v>1279127.7889353675</v>
      </c>
      <c r="L273" s="5">
        <f t="shared" si="81"/>
        <v>425000</v>
      </c>
      <c r="M273" s="63">
        <f>L273/Assumptions!$D$6</f>
        <v>1</v>
      </c>
      <c r="N273" s="24">
        <f t="shared" si="68"/>
        <v>0</v>
      </c>
      <c r="O273" s="22">
        <f>N273*Assumptions!$E$25*-1</f>
        <v>0</v>
      </c>
      <c r="P273" s="5">
        <f>Assumptions!$E$35*J273*-1</f>
        <v>-2634.7938134128203</v>
      </c>
      <c r="Q273" s="5">
        <f>J273*Assumptions!$E$36*-1</f>
        <v>-1061.0852540412207</v>
      </c>
      <c r="R273" s="5">
        <f>R261+R261*Assumptions!$D$51</f>
        <v>-950.46596224789994</v>
      </c>
      <c r="S273" s="5">
        <f>S261+(S261*Assumptions!$D$51)</f>
        <v>0</v>
      </c>
      <c r="T273" s="5">
        <f t="shared" si="75"/>
        <v>0</v>
      </c>
      <c r="U273" s="22">
        <f t="shared" si="70"/>
        <v>-4646.3450297019408</v>
      </c>
      <c r="V273" s="5">
        <f>MAX(Assumptions!$E$18:$E$19)-U273</f>
        <v>7487.9780415006371</v>
      </c>
      <c r="W273" s="5">
        <f t="shared" si="71"/>
        <v>0</v>
      </c>
      <c r="X273" s="5">
        <f t="shared" si="76"/>
        <v>-4646.3450297019408</v>
      </c>
      <c r="Y273" s="5">
        <f>D273*Assumptions!$D$44*-1</f>
        <v>0</v>
      </c>
      <c r="Z273" s="5">
        <f t="shared" si="72"/>
        <v>2841.6330117986963</v>
      </c>
      <c r="AA273" s="5">
        <f t="shared" si="82"/>
        <v>459657.08882206702</v>
      </c>
      <c r="AB273" s="3">
        <f>Assumptions!$E$45</f>
        <v>6.9899151946608562E-3</v>
      </c>
      <c r="AC273" s="5">
        <f t="shared" si="83"/>
        <v>465711.6859033567</v>
      </c>
      <c r="AD273" s="4">
        <f>AC273*Assumptions!$E$43</f>
        <v>417.07997570558189</v>
      </c>
      <c r="AE273" s="2">
        <f>AD273*Assumptions!$D$44*-1</f>
        <v>-62.56199635583728</v>
      </c>
      <c r="AF273" s="2">
        <f>AC273*Assumptions!$E$46*-1</f>
        <v>-15.520877574727004</v>
      </c>
      <c r="AG273" s="5">
        <f t="shared" si="84"/>
        <v>465633.60302942613</v>
      </c>
      <c r="AH273" s="20">
        <f>Model_30y[[#This Row],[Mortgage Payment]]+Model_30y[[#This Row],[Total Upkeep]]+Model_30y[[#This Row],[Monthly Investment]]</f>
        <v>-6071.3552573071656</v>
      </c>
      <c r="AI273" s="5">
        <f>Model_Renter!D273*-1</f>
        <v>6181.5384321130914</v>
      </c>
      <c r="AJ273" s="5">
        <f t="shared" si="77"/>
        <v>110.18317480592577</v>
      </c>
    </row>
    <row r="274" spans="1:36" x14ac:dyDescent="0.25">
      <c r="A274" s="17">
        <f t="shared" si="78"/>
        <v>272</v>
      </c>
      <c r="B274" s="17">
        <f t="shared" si="73"/>
        <v>23</v>
      </c>
      <c r="C274" s="23">
        <f>IFERROR(PPMT(Assumptions!$E$17, A274, 180, Assumptions!$D$8), 0)</f>
        <v>0</v>
      </c>
      <c r="D274" s="38">
        <f>IFERROR(IPMT(Assumptions!$E$17,A274,180,Assumptions!$D$8), 0)</f>
        <v>0</v>
      </c>
      <c r="E274" s="2">
        <f t="shared" si="79"/>
        <v>0</v>
      </c>
      <c r="F274" s="2">
        <f>IF(I273&gt;1, Assumptions!$E$19, 0)*-1</f>
        <v>0</v>
      </c>
      <c r="G274" s="24">
        <f t="shared" si="74"/>
        <v>1</v>
      </c>
      <c r="H274" s="20">
        <f t="shared" si="80"/>
        <v>339999.99999999988</v>
      </c>
      <c r="I274" s="2">
        <f>MAX(Assumptions!$D$8-SUM(Model_15y!H274), 0)</f>
        <v>1.1641532182693481E-10</v>
      </c>
      <c r="J274" s="2">
        <f>J273*(1+(Assumptions!$E$51))</f>
        <v>1284339.1138825947</v>
      </c>
      <c r="K274" s="22">
        <f t="shared" si="69"/>
        <v>1284339.1138825947</v>
      </c>
      <c r="L274" s="5">
        <f t="shared" si="81"/>
        <v>425000</v>
      </c>
      <c r="M274" s="63">
        <f>L274/Assumptions!$D$6</f>
        <v>1</v>
      </c>
      <c r="N274" s="24">
        <f t="shared" ref="N274:N337" si="85">IF(M274&lt;0.2, 1, 0)</f>
        <v>0</v>
      </c>
      <c r="O274" s="22">
        <f>N274*Assumptions!$E$25*-1</f>
        <v>0</v>
      </c>
      <c r="P274" s="5">
        <f>Assumptions!$E$35*J274*-1</f>
        <v>-2645.5282895530549</v>
      </c>
      <c r="Q274" s="5">
        <f>J274*Assumptions!$E$36*-1</f>
        <v>-1065.4082467111884</v>
      </c>
      <c r="R274" s="5">
        <f>R262+R262*Assumptions!$D$51</f>
        <v>-950.46596224789994</v>
      </c>
      <c r="S274" s="5">
        <f>S262+(S262*Assumptions!$D$51)</f>
        <v>0</v>
      </c>
      <c r="T274" s="5">
        <f t="shared" si="75"/>
        <v>0</v>
      </c>
      <c r="U274" s="22">
        <f t="shared" si="70"/>
        <v>-4661.4024985121432</v>
      </c>
      <c r="V274" s="5">
        <f>MAX(Assumptions!$E$18:$E$19)-U274</f>
        <v>7503.0355103108395</v>
      </c>
      <c r="W274" s="5">
        <f t="shared" si="71"/>
        <v>0</v>
      </c>
      <c r="X274" s="5">
        <f t="shared" si="76"/>
        <v>-4661.4024985121432</v>
      </c>
      <c r="Y274" s="5">
        <f>D274*Assumptions!$D$44*-1</f>
        <v>0</v>
      </c>
      <c r="Z274" s="5">
        <f t="shared" si="72"/>
        <v>2841.6330117986963</v>
      </c>
      <c r="AA274" s="5">
        <f t="shared" si="82"/>
        <v>465633.60302942613</v>
      </c>
      <c r="AB274" s="3">
        <f>Assumptions!$E$45</f>
        <v>6.9899151946608562E-3</v>
      </c>
      <c r="AC274" s="5">
        <f t="shared" si="83"/>
        <v>471729.97543818492</v>
      </c>
      <c r="AD274" s="4">
        <f>AC274*Assumptions!$E$43</f>
        <v>422.46980836160895</v>
      </c>
      <c r="AE274" s="2">
        <f>AD274*Assumptions!$D$44*-1</f>
        <v>-63.370471254241338</v>
      </c>
      <c r="AF274" s="2">
        <f>AC274*Assumptions!$E$46*-1</f>
        <v>-15.72145045684857</v>
      </c>
      <c r="AG274" s="5">
        <f t="shared" si="84"/>
        <v>471650.88351647381</v>
      </c>
      <c r="AH274" s="20">
        <f>Model_30y[[#This Row],[Mortgage Payment]]+Model_30y[[#This Row],[Total Upkeep]]+Model_30y[[#This Row],[Monthly Investment]]</f>
        <v>-6087.5299071808449</v>
      </c>
      <c r="AI274" s="5">
        <f>Model_Renter!D274*-1</f>
        <v>6181.5384321130914</v>
      </c>
      <c r="AJ274" s="5">
        <f t="shared" si="77"/>
        <v>94.008524932246473</v>
      </c>
    </row>
    <row r="275" spans="1:36" x14ac:dyDescent="0.25">
      <c r="A275" s="17">
        <f t="shared" si="78"/>
        <v>273</v>
      </c>
      <c r="B275" s="17">
        <f t="shared" si="73"/>
        <v>23</v>
      </c>
      <c r="C275" s="23">
        <f>IFERROR(PPMT(Assumptions!$E$17, A275, 180, Assumptions!$D$8), 0)</f>
        <v>0</v>
      </c>
      <c r="D275" s="38">
        <f>IFERROR(IPMT(Assumptions!$E$17,A275,180,Assumptions!$D$8), 0)</f>
        <v>0</v>
      </c>
      <c r="E275" s="2">
        <f t="shared" si="79"/>
        <v>0</v>
      </c>
      <c r="F275" s="2">
        <f>IF(I274&gt;1, Assumptions!$E$19, 0)*-1</f>
        <v>0</v>
      </c>
      <c r="G275" s="24">
        <f t="shared" si="74"/>
        <v>1</v>
      </c>
      <c r="H275" s="20">
        <f t="shared" si="80"/>
        <v>339999.99999999988</v>
      </c>
      <c r="I275" s="2">
        <f>MAX(Assumptions!$D$8-SUM(Model_15y!H275), 0)</f>
        <v>1.1641532182693481E-10</v>
      </c>
      <c r="J275" s="2">
        <f>J274*(1+(Assumptions!$E$51))</f>
        <v>1289571.6704127337</v>
      </c>
      <c r="K275" s="22">
        <f t="shared" si="69"/>
        <v>1289571.6704127337</v>
      </c>
      <c r="L275" s="5">
        <f t="shared" si="81"/>
        <v>425000</v>
      </c>
      <c r="M275" s="63">
        <f>L275/Assumptions!$D$6</f>
        <v>1</v>
      </c>
      <c r="N275" s="24">
        <f t="shared" si="85"/>
        <v>0</v>
      </c>
      <c r="O275" s="22">
        <f>N275*Assumptions!$E$25*-1</f>
        <v>0</v>
      </c>
      <c r="P275" s="5">
        <f>Assumptions!$E$35*J275*-1</f>
        <v>-2656.3064992778377</v>
      </c>
      <c r="Q275" s="5">
        <f>J275*Assumptions!$E$36*-1</f>
        <v>-1069.7488517884096</v>
      </c>
      <c r="R275" s="5">
        <f>R263+R263*Assumptions!$D$51</f>
        <v>-950.46596224789994</v>
      </c>
      <c r="S275" s="5">
        <f>S263+(S263*Assumptions!$D$51)</f>
        <v>0</v>
      </c>
      <c r="T275" s="5">
        <f t="shared" si="75"/>
        <v>0</v>
      </c>
      <c r="U275" s="22">
        <f t="shared" si="70"/>
        <v>-4676.5213133141478</v>
      </c>
      <c r="V275" s="5">
        <f>MAX(Assumptions!$E$18:$E$19)-U275</f>
        <v>7518.1543251128442</v>
      </c>
      <c r="W275" s="5">
        <f t="shared" si="71"/>
        <v>0</v>
      </c>
      <c r="X275" s="5">
        <f t="shared" si="76"/>
        <v>-4676.5213133141478</v>
      </c>
      <c r="Y275" s="5">
        <f>D275*Assumptions!$D$44*-1</f>
        <v>0</v>
      </c>
      <c r="Z275" s="5">
        <f t="shared" si="72"/>
        <v>2841.6330117986963</v>
      </c>
      <c r="AA275" s="5">
        <f t="shared" si="82"/>
        <v>471650.88351647381</v>
      </c>
      <c r="AB275" s="3">
        <f>Assumptions!$E$45</f>
        <v>6.9899151946608562E-3</v>
      </c>
      <c r="AC275" s="5">
        <f t="shared" si="83"/>
        <v>477789.31620553957</v>
      </c>
      <c r="AD275" s="4">
        <f>AC275*Assumptions!$E$43</f>
        <v>427.89640549570913</v>
      </c>
      <c r="AE275" s="2">
        <f>AD275*Assumptions!$D$44*-1</f>
        <v>-64.184460824356364</v>
      </c>
      <c r="AF275" s="2">
        <f>AC275*Assumptions!$E$46*-1</f>
        <v>-15.923391462583135</v>
      </c>
      <c r="AG275" s="5">
        <f t="shared" si="84"/>
        <v>477709.20835325262</v>
      </c>
      <c r="AH275" s="20">
        <f>Model_30y[[#This Row],[Mortgage Payment]]+Model_30y[[#This Row],[Total Upkeep]]+Model_30y[[#This Row],[Monthly Investment]]</f>
        <v>-6103.772159260282</v>
      </c>
      <c r="AI275" s="5">
        <f>Model_Renter!D275*-1</f>
        <v>6181.5384321130914</v>
      </c>
      <c r="AJ275" s="5">
        <f t="shared" si="77"/>
        <v>77.766272852809379</v>
      </c>
    </row>
    <row r="276" spans="1:36" x14ac:dyDescent="0.25">
      <c r="A276" s="17">
        <f t="shared" si="78"/>
        <v>274</v>
      </c>
      <c r="B276" s="17">
        <f t="shared" si="73"/>
        <v>23</v>
      </c>
      <c r="C276" s="23">
        <f>IFERROR(PPMT(Assumptions!$E$17, A276, 180, Assumptions!$D$8), 0)</f>
        <v>0</v>
      </c>
      <c r="D276" s="38">
        <f>IFERROR(IPMT(Assumptions!$E$17,A276,180,Assumptions!$D$8), 0)</f>
        <v>0</v>
      </c>
      <c r="E276" s="2">
        <f t="shared" si="79"/>
        <v>0</v>
      </c>
      <c r="F276" s="2">
        <f>IF(I275&gt;1, Assumptions!$E$19, 0)*-1</f>
        <v>0</v>
      </c>
      <c r="G276" s="24">
        <f t="shared" si="74"/>
        <v>1</v>
      </c>
      <c r="H276" s="20">
        <f t="shared" si="80"/>
        <v>339999.99999999988</v>
      </c>
      <c r="I276" s="2">
        <f>MAX(Assumptions!$D$8-SUM(Model_15y!H276), 0)</f>
        <v>1.1641532182693481E-10</v>
      </c>
      <c r="J276" s="2">
        <f>J275*(1+(Assumptions!$E$51))</f>
        <v>1294825.5450258814</v>
      </c>
      <c r="K276" s="22">
        <f t="shared" si="69"/>
        <v>1294825.5450258814</v>
      </c>
      <c r="L276" s="5">
        <f t="shared" si="81"/>
        <v>425000</v>
      </c>
      <c r="M276" s="63">
        <f>L276/Assumptions!$D$6</f>
        <v>1</v>
      </c>
      <c r="N276" s="24">
        <f t="shared" si="85"/>
        <v>0</v>
      </c>
      <c r="O276" s="22">
        <f>N276*Assumptions!$E$25*-1</f>
        <v>0</v>
      </c>
      <c r="P276" s="5">
        <f>Assumptions!$E$35*J276*-1</f>
        <v>-2667.1286207632052</v>
      </c>
      <c r="Q276" s="5">
        <f>J276*Assumptions!$E$36*-1</f>
        <v>-1074.1071410280115</v>
      </c>
      <c r="R276" s="5">
        <f>R264+R264*Assumptions!$D$51</f>
        <v>-950.46596224789994</v>
      </c>
      <c r="S276" s="5">
        <f>S264+(S264*Assumptions!$D$51)</f>
        <v>0</v>
      </c>
      <c r="T276" s="5">
        <f t="shared" si="75"/>
        <v>0</v>
      </c>
      <c r="U276" s="22">
        <f t="shared" si="70"/>
        <v>-4691.7017240391169</v>
      </c>
      <c r="V276" s="5">
        <f>MAX(Assumptions!$E$18:$E$19)-U276</f>
        <v>7533.3347358378142</v>
      </c>
      <c r="W276" s="5">
        <f t="shared" si="71"/>
        <v>0</v>
      </c>
      <c r="X276" s="5">
        <f t="shared" si="76"/>
        <v>-4691.7017240391169</v>
      </c>
      <c r="Y276" s="5">
        <f>D276*Assumptions!$D$44*-1</f>
        <v>0</v>
      </c>
      <c r="Z276" s="5">
        <f t="shared" si="72"/>
        <v>2841.6330117986972</v>
      </c>
      <c r="AA276" s="5">
        <f t="shared" si="82"/>
        <v>477709.20835325262</v>
      </c>
      <c r="AB276" s="3">
        <f>Assumptions!$E$45</f>
        <v>6.9899151946608562E-3</v>
      </c>
      <c r="AC276" s="5">
        <f t="shared" si="83"/>
        <v>483889.98821914918</v>
      </c>
      <c r="AD276" s="4">
        <f>AC276*Assumptions!$E$43</f>
        <v>433.36001788131722</v>
      </c>
      <c r="AE276" s="2">
        <f>AD276*Assumptions!$D$44*-1</f>
        <v>-65.00400268219758</v>
      </c>
      <c r="AF276" s="2">
        <f>AC276*Assumptions!$E$46*-1</f>
        <v>-16.126709924010893</v>
      </c>
      <c r="AG276" s="5">
        <f t="shared" si="84"/>
        <v>483808.85750654299</v>
      </c>
      <c r="AH276" s="20">
        <f>Model_30y[[#This Row],[Mortgage Payment]]+Model_30y[[#This Row],[Total Upkeep]]+Model_30y[[#This Row],[Monthly Investment]]</f>
        <v>-6120.0822985114364</v>
      </c>
      <c r="AI276" s="5">
        <f>Model_Renter!D276*-1</f>
        <v>6181.5384321130914</v>
      </c>
      <c r="AJ276" s="5">
        <f t="shared" si="77"/>
        <v>61.456133601654983</v>
      </c>
    </row>
    <row r="277" spans="1:36" x14ac:dyDescent="0.25">
      <c r="A277" s="17">
        <f t="shared" si="78"/>
        <v>275</v>
      </c>
      <c r="B277" s="17">
        <f t="shared" si="73"/>
        <v>23</v>
      </c>
      <c r="C277" s="23">
        <f>IFERROR(PPMT(Assumptions!$E$17, A277, 180, Assumptions!$D$8), 0)</f>
        <v>0</v>
      </c>
      <c r="D277" s="38">
        <f>IFERROR(IPMT(Assumptions!$E$17,A277,180,Assumptions!$D$8), 0)</f>
        <v>0</v>
      </c>
      <c r="E277" s="2">
        <f t="shared" si="79"/>
        <v>0</v>
      </c>
      <c r="F277" s="2">
        <f>IF(I276&gt;1, Assumptions!$E$19, 0)*-1</f>
        <v>0</v>
      </c>
      <c r="G277" s="24">
        <f t="shared" si="74"/>
        <v>1</v>
      </c>
      <c r="H277" s="20">
        <f t="shared" si="80"/>
        <v>339999.99999999988</v>
      </c>
      <c r="I277" s="2">
        <f>MAX(Assumptions!$D$8-SUM(Model_15y!H277), 0)</f>
        <v>1.1641532182693481E-10</v>
      </c>
      <c r="J277" s="2">
        <f>J276*(1+(Assumptions!$E$51))</f>
        <v>1300100.8245745467</v>
      </c>
      <c r="K277" s="22">
        <f t="shared" si="69"/>
        <v>1300100.8245745464</v>
      </c>
      <c r="L277" s="5">
        <f t="shared" si="81"/>
        <v>425000</v>
      </c>
      <c r="M277" s="63">
        <f>L277/Assumptions!$D$6</f>
        <v>1</v>
      </c>
      <c r="N277" s="24">
        <f t="shared" si="85"/>
        <v>0</v>
      </c>
      <c r="O277" s="22">
        <f>N277*Assumptions!$E$25*-1</f>
        <v>0</v>
      </c>
      <c r="P277" s="5">
        <f>Assumptions!$E$35*J277*-1</f>
        <v>-2677.9948329111057</v>
      </c>
      <c r="Q277" s="5">
        <f>J277*Assumptions!$E$36*-1</f>
        <v>-1078.4831864774601</v>
      </c>
      <c r="R277" s="5">
        <f>R265+R265*Assumptions!$D$51</f>
        <v>-950.46596224789994</v>
      </c>
      <c r="S277" s="5">
        <f>S265+(S265*Assumptions!$D$51)</f>
        <v>0</v>
      </c>
      <c r="T277" s="5">
        <f t="shared" si="75"/>
        <v>0</v>
      </c>
      <c r="U277" s="22">
        <f t="shared" si="70"/>
        <v>-4706.9439816364657</v>
      </c>
      <c r="V277" s="5">
        <f>MAX(Assumptions!$E$18:$E$19)-U277</f>
        <v>7548.5769934351629</v>
      </c>
      <c r="W277" s="5">
        <f t="shared" si="71"/>
        <v>0</v>
      </c>
      <c r="X277" s="5">
        <f t="shared" si="76"/>
        <v>-4706.9439816364657</v>
      </c>
      <c r="Y277" s="5">
        <f>D277*Assumptions!$D$44*-1</f>
        <v>0</v>
      </c>
      <c r="Z277" s="5">
        <f t="shared" si="72"/>
        <v>2841.6330117986972</v>
      </c>
      <c r="AA277" s="5">
        <f t="shared" si="82"/>
        <v>483808.85750654299</v>
      </c>
      <c r="AB277" s="3">
        <f>Assumptions!$E$45</f>
        <v>6.9899151946608562E-3</v>
      </c>
      <c r="AC277" s="5">
        <f t="shared" si="83"/>
        <v>490032.27340273821</v>
      </c>
      <c r="AD277" s="4">
        <f>AC277*Assumptions!$E$43</f>
        <v>438.86089800241365</v>
      </c>
      <c r="AE277" s="2">
        <f>AD277*Assumptions!$D$44*-1</f>
        <v>-65.829134700362047</v>
      </c>
      <c r="AF277" s="2">
        <f>AC277*Assumptions!$E$46*-1</f>
        <v>-16.331415236866899</v>
      </c>
      <c r="AG277" s="5">
        <f t="shared" si="84"/>
        <v>489950.11285280099</v>
      </c>
      <c r="AH277" s="20">
        <f>Model_30y[[#This Row],[Mortgage Payment]]+Model_30y[[#This Row],[Total Upkeep]]+Model_30y[[#This Row],[Monthly Investment]]</f>
        <v>-6136.4606111147177</v>
      </c>
      <c r="AI277" s="5">
        <f>Model_Renter!D277*-1</f>
        <v>6181.5384321130914</v>
      </c>
      <c r="AJ277" s="5">
        <f t="shared" si="77"/>
        <v>45.077820998373682</v>
      </c>
    </row>
    <row r="278" spans="1:36" x14ac:dyDescent="0.25">
      <c r="A278" s="17">
        <f t="shared" si="78"/>
        <v>276</v>
      </c>
      <c r="B278" s="17">
        <f t="shared" si="73"/>
        <v>23</v>
      </c>
      <c r="C278" s="23">
        <f>IFERROR(PPMT(Assumptions!$E$17, A278, 180, Assumptions!$D$8), 0)</f>
        <v>0</v>
      </c>
      <c r="D278" s="38">
        <f>IFERROR(IPMT(Assumptions!$E$17,A278,180,Assumptions!$D$8), 0)</f>
        <v>0</v>
      </c>
      <c r="E278" s="2">
        <f t="shared" si="79"/>
        <v>0</v>
      </c>
      <c r="F278" s="2">
        <f>IF(I277&gt;1, Assumptions!$E$19, 0)*-1</f>
        <v>0</v>
      </c>
      <c r="G278" s="24">
        <f t="shared" si="74"/>
        <v>1</v>
      </c>
      <c r="H278" s="20">
        <f t="shared" si="80"/>
        <v>339999.99999999988</v>
      </c>
      <c r="I278" s="2">
        <f>MAX(Assumptions!$D$8-SUM(Model_15y!H278), 0)</f>
        <v>1.1641532182693481E-10</v>
      </c>
      <c r="J278" s="2">
        <f>J277*(1+(Assumptions!$E$51))</f>
        <v>1305397.5962650867</v>
      </c>
      <c r="K278" s="22">
        <f t="shared" si="69"/>
        <v>1305397.5962650864</v>
      </c>
      <c r="L278" s="5">
        <f t="shared" si="81"/>
        <v>425000</v>
      </c>
      <c r="M278" s="63">
        <f>L278/Assumptions!$D$6</f>
        <v>1</v>
      </c>
      <c r="N278" s="24">
        <f t="shared" si="85"/>
        <v>0</v>
      </c>
      <c r="O278" s="22">
        <f>N278*Assumptions!$E$25*-1</f>
        <v>0</v>
      </c>
      <c r="P278" s="5">
        <f>Assumptions!$E$35*J278*-1</f>
        <v>-2688.9053153523564</v>
      </c>
      <c r="Q278" s="5">
        <f>J278*Assumptions!$E$36*-1</f>
        <v>-1082.8770604777528</v>
      </c>
      <c r="R278" s="5">
        <f>R266+R266*Assumptions!$D$51</f>
        <v>-950.46596224789994</v>
      </c>
      <c r="S278" s="5">
        <f>S266+(S266*Assumptions!$D$51)</f>
        <v>0</v>
      </c>
      <c r="T278" s="5">
        <f t="shared" si="75"/>
        <v>0</v>
      </c>
      <c r="U278" s="22">
        <f t="shared" si="70"/>
        <v>-4722.2483380780095</v>
      </c>
      <c r="V278" s="5">
        <f>MAX(Assumptions!$E$18:$E$19)-U278</f>
        <v>7563.8813498767067</v>
      </c>
      <c r="W278" s="5">
        <f t="shared" si="71"/>
        <v>0</v>
      </c>
      <c r="X278" s="5">
        <f t="shared" si="76"/>
        <v>-4722.2483380780095</v>
      </c>
      <c r="Y278" s="5">
        <f>D278*Assumptions!$D$44*-1</f>
        <v>0</v>
      </c>
      <c r="Z278" s="5">
        <f t="shared" si="72"/>
        <v>2841.6330117986972</v>
      </c>
      <c r="AA278" s="5">
        <f t="shared" si="82"/>
        <v>489950.11285280099</v>
      </c>
      <c r="AB278" s="3">
        <f>Assumptions!$E$45</f>
        <v>6.9899151946608562E-3</v>
      </c>
      <c r="AC278" s="5">
        <f t="shared" si="83"/>
        <v>496216.45560305531</v>
      </c>
      <c r="AD278" s="4">
        <f>AC278*Assumptions!$E$43</f>
        <v>444.39930006519199</v>
      </c>
      <c r="AE278" s="2">
        <f>AD278*Assumptions!$D$44*-1</f>
        <v>-66.659895009778793</v>
      </c>
      <c r="AF278" s="2">
        <f>AC278*Assumptions!$E$46*-1</f>
        <v>-16.537516860975266</v>
      </c>
      <c r="AG278" s="5">
        <f t="shared" si="84"/>
        <v>496133.25819118455</v>
      </c>
      <c r="AH278" s="20">
        <f>Model_30y[[#This Row],[Mortgage Payment]]+Model_30y[[#This Row],[Total Upkeep]]+Model_30y[[#This Row],[Monthly Investment]]</f>
        <v>-6152.907384470227</v>
      </c>
      <c r="AI278" s="5">
        <f>Model_Renter!D278*-1</f>
        <v>6181.5384321130914</v>
      </c>
      <c r="AJ278" s="5">
        <f t="shared" si="77"/>
        <v>28.63104764286436</v>
      </c>
    </row>
    <row r="279" spans="1:36" x14ac:dyDescent="0.25">
      <c r="A279" s="17">
        <f t="shared" si="78"/>
        <v>277</v>
      </c>
      <c r="B279" s="17">
        <f t="shared" si="73"/>
        <v>24</v>
      </c>
      <c r="C279" s="23">
        <f>IFERROR(PPMT(Assumptions!$E$17, A279, 180, Assumptions!$D$8), 0)</f>
        <v>0</v>
      </c>
      <c r="D279" s="38">
        <f>IFERROR(IPMT(Assumptions!$E$17,A279,180,Assumptions!$D$8), 0)</f>
        <v>0</v>
      </c>
      <c r="E279" s="2">
        <f t="shared" si="79"/>
        <v>0</v>
      </c>
      <c r="F279" s="2">
        <f>IF(I278&gt;1, Assumptions!$E$19, 0)*-1</f>
        <v>0</v>
      </c>
      <c r="G279" s="24">
        <f t="shared" si="74"/>
        <v>1</v>
      </c>
      <c r="H279" s="20">
        <f t="shared" si="80"/>
        <v>339999.99999999988</v>
      </c>
      <c r="I279" s="2">
        <f>MAX(Assumptions!$D$8-SUM(Model_15y!H279), 0)</f>
        <v>1.1641532182693481E-10</v>
      </c>
      <c r="J279" s="2">
        <f>J278*(1+(Assumptions!$E$51))</f>
        <v>1310715.9476591477</v>
      </c>
      <c r="K279" s="22">
        <f t="shared" si="69"/>
        <v>1310715.9476591474</v>
      </c>
      <c r="L279" s="5">
        <f t="shared" si="81"/>
        <v>425000</v>
      </c>
      <c r="M279" s="63">
        <f>L279/Assumptions!$D$6</f>
        <v>1</v>
      </c>
      <c r="N279" s="24">
        <f t="shared" si="85"/>
        <v>0</v>
      </c>
      <c r="O279" s="22">
        <f>N279*Assumptions!$E$25*-1</f>
        <v>0</v>
      </c>
      <c r="P279" s="5">
        <f>Assumptions!$E$35*J279*-1</f>
        <v>-2699.8602484496118</v>
      </c>
      <c r="Q279" s="5">
        <f>J279*Assumptions!$E$36*-1</f>
        <v>-1087.2888356646124</v>
      </c>
      <c r="R279" s="5">
        <f>R267+R267*Assumptions!$D$51</f>
        <v>-997.98926036029491</v>
      </c>
      <c r="S279" s="5">
        <f>S267+(S267*Assumptions!$D$51)</f>
        <v>0</v>
      </c>
      <c r="T279" s="5">
        <f t="shared" si="75"/>
        <v>0</v>
      </c>
      <c r="U279" s="22">
        <f t="shared" si="70"/>
        <v>-4785.1383444745188</v>
      </c>
      <c r="V279" s="5">
        <f>MAX(Assumptions!$E$18:$E$19)-U279</f>
        <v>7626.7713562732151</v>
      </c>
      <c r="W279" s="5">
        <f t="shared" si="71"/>
        <v>0</v>
      </c>
      <c r="X279" s="5">
        <f t="shared" si="76"/>
        <v>-4785.1383444745188</v>
      </c>
      <c r="Y279" s="5">
        <f>D279*Assumptions!$D$44*-1</f>
        <v>0</v>
      </c>
      <c r="Z279" s="5">
        <f t="shared" si="72"/>
        <v>2841.6330117986963</v>
      </c>
      <c r="AA279" s="5">
        <f t="shared" si="82"/>
        <v>496133.25819118455</v>
      </c>
      <c r="AB279" s="3">
        <f>Assumptions!$E$45</f>
        <v>6.9899151946608562E-3</v>
      </c>
      <c r="AC279" s="5">
        <f t="shared" si="83"/>
        <v>502442.82060299045</v>
      </c>
      <c r="AD279" s="4">
        <f>AC279*Assumptions!$E$43</f>
        <v>449.9754800098068</v>
      </c>
      <c r="AE279" s="2">
        <f>AD279*Assumptions!$D$44*-1</f>
        <v>-67.496322001471015</v>
      </c>
      <c r="AF279" s="2">
        <f>AC279*Assumptions!$E$46*-1</f>
        <v>-16.745024320686323</v>
      </c>
      <c r="AG279" s="5">
        <f t="shared" si="84"/>
        <v>502358.57925666828</v>
      </c>
      <c r="AH279" s="20">
        <f>Model_30y[[#This Row],[Mortgage Payment]]+Model_30y[[#This Row],[Total Upkeep]]+Model_30y[[#This Row],[Monthly Investment]]</f>
        <v>-6216.9462053154202</v>
      </c>
      <c r="AI279" s="5">
        <f>Model_Renter!D279*-1</f>
        <v>6412.7279694741219</v>
      </c>
      <c r="AJ279" s="5">
        <f t="shared" si="77"/>
        <v>195.78176415870166</v>
      </c>
    </row>
    <row r="280" spans="1:36" x14ac:dyDescent="0.25">
      <c r="A280" s="17">
        <f t="shared" si="78"/>
        <v>278</v>
      </c>
      <c r="B280" s="17">
        <f t="shared" si="73"/>
        <v>24</v>
      </c>
      <c r="C280" s="23">
        <f>IFERROR(PPMT(Assumptions!$E$17, A280, 180, Assumptions!$D$8), 0)</f>
        <v>0</v>
      </c>
      <c r="D280" s="38">
        <f>IFERROR(IPMT(Assumptions!$E$17,A280,180,Assumptions!$D$8), 0)</f>
        <v>0</v>
      </c>
      <c r="E280" s="2">
        <f t="shared" si="79"/>
        <v>0</v>
      </c>
      <c r="F280" s="2">
        <f>IF(I279&gt;1, Assumptions!$E$19, 0)*-1</f>
        <v>0</v>
      </c>
      <c r="G280" s="24">
        <f t="shared" si="74"/>
        <v>1</v>
      </c>
      <c r="H280" s="20">
        <f t="shared" si="80"/>
        <v>339999.99999999988</v>
      </c>
      <c r="I280" s="2">
        <f>MAX(Assumptions!$D$8-SUM(Model_15y!H280), 0)</f>
        <v>1.1641532182693481E-10</v>
      </c>
      <c r="J280" s="2">
        <f>J279*(1+(Assumptions!$E$51))</f>
        <v>1316055.966675113</v>
      </c>
      <c r="K280" s="22">
        <f t="shared" si="69"/>
        <v>1316055.966675113</v>
      </c>
      <c r="L280" s="5">
        <f t="shared" si="81"/>
        <v>425000</v>
      </c>
      <c r="M280" s="63">
        <f>L280/Assumptions!$D$6</f>
        <v>1</v>
      </c>
      <c r="N280" s="24">
        <f t="shared" si="85"/>
        <v>0</v>
      </c>
      <c r="O280" s="22">
        <f>N280*Assumptions!$E$25*-1</f>
        <v>0</v>
      </c>
      <c r="P280" s="5">
        <f>Assumptions!$E$35*J280*-1</f>
        <v>-2710.859813300347</v>
      </c>
      <c r="Q280" s="5">
        <f>J280*Assumptions!$E$36*-1</f>
        <v>-1091.7185849696889</v>
      </c>
      <c r="R280" s="5">
        <f>R268+R268*Assumptions!$D$51</f>
        <v>-997.98926036029491</v>
      </c>
      <c r="S280" s="5">
        <f>S268+(S268*Assumptions!$D$51)</f>
        <v>0</v>
      </c>
      <c r="T280" s="5">
        <f t="shared" si="75"/>
        <v>0</v>
      </c>
      <c r="U280" s="22">
        <f t="shared" si="70"/>
        <v>-4800.5676586303307</v>
      </c>
      <c r="V280" s="5">
        <f>MAX(Assumptions!$E$18:$E$19)-U280</f>
        <v>7642.200670429027</v>
      </c>
      <c r="W280" s="5">
        <f t="shared" si="71"/>
        <v>0</v>
      </c>
      <c r="X280" s="5">
        <f t="shared" si="76"/>
        <v>-4800.5676586303307</v>
      </c>
      <c r="Y280" s="5">
        <f>D280*Assumptions!$D$44*-1</f>
        <v>0</v>
      </c>
      <c r="Z280" s="5">
        <f t="shared" si="72"/>
        <v>2841.6330117986963</v>
      </c>
      <c r="AA280" s="5">
        <f t="shared" si="82"/>
        <v>502358.57925666828</v>
      </c>
      <c r="AB280" s="3">
        <f>Assumptions!$E$45</f>
        <v>6.9899151946608562E-3</v>
      </c>
      <c r="AC280" s="5">
        <f t="shared" si="83"/>
        <v>508711.65613478143</v>
      </c>
      <c r="AD280" s="4">
        <f>AC280*Assumptions!$E$43</f>
        <v>455.58969552220054</v>
      </c>
      <c r="AE280" s="2">
        <f>AD280*Assumptions!$D$44*-1</f>
        <v>-68.338454328330073</v>
      </c>
      <c r="AF280" s="2">
        <f>AC280*Assumptions!$E$46*-1</f>
        <v>-16.953947205316744</v>
      </c>
      <c r="AG280" s="5">
        <f t="shared" si="84"/>
        <v>508626.3637332478</v>
      </c>
      <c r="AH280" s="20">
        <f>Model_30y[[#This Row],[Mortgage Payment]]+Model_30y[[#This Row],[Total Upkeep]]+Model_30y[[#This Row],[Monthly Investment]]</f>
        <v>-6233.5307672808294</v>
      </c>
      <c r="AI280" s="5">
        <f>Model_Renter!D280*-1</f>
        <v>6412.7279694741219</v>
      </c>
      <c r="AJ280" s="5">
        <f t="shared" si="77"/>
        <v>179.19720219329247</v>
      </c>
    </row>
    <row r="281" spans="1:36" x14ac:dyDescent="0.25">
      <c r="A281" s="17">
        <f t="shared" si="78"/>
        <v>279</v>
      </c>
      <c r="B281" s="17">
        <f t="shared" si="73"/>
        <v>24</v>
      </c>
      <c r="C281" s="23">
        <f>IFERROR(PPMT(Assumptions!$E$17, A281, 180, Assumptions!$D$8), 0)</f>
        <v>0</v>
      </c>
      <c r="D281" s="38">
        <f>IFERROR(IPMT(Assumptions!$E$17,A281,180,Assumptions!$D$8), 0)</f>
        <v>0</v>
      </c>
      <c r="E281" s="2">
        <f t="shared" si="79"/>
        <v>0</v>
      </c>
      <c r="F281" s="2">
        <f>IF(I280&gt;1, Assumptions!$E$19, 0)*-1</f>
        <v>0</v>
      </c>
      <c r="G281" s="24">
        <f t="shared" si="74"/>
        <v>1</v>
      </c>
      <c r="H281" s="20">
        <f t="shared" si="80"/>
        <v>339999.99999999988</v>
      </c>
      <c r="I281" s="2">
        <f>MAX(Assumptions!$D$8-SUM(Model_15y!H281), 0)</f>
        <v>1.1641532182693481E-10</v>
      </c>
      <c r="J281" s="2">
        <f>J280*(1+(Assumptions!$E$51))</f>
        <v>1321417.7415895564</v>
      </c>
      <c r="K281" s="22">
        <f t="shared" si="69"/>
        <v>1321417.7415895564</v>
      </c>
      <c r="L281" s="5">
        <f t="shared" si="81"/>
        <v>425000</v>
      </c>
      <c r="M281" s="63">
        <f>L281/Assumptions!$D$6</f>
        <v>1</v>
      </c>
      <c r="N281" s="24">
        <f t="shared" si="85"/>
        <v>0</v>
      </c>
      <c r="O281" s="22">
        <f>N281*Assumptions!$E$25*-1</f>
        <v>0</v>
      </c>
      <c r="P281" s="5">
        <f>Assumptions!$E$35*J281*-1</f>
        <v>-2721.9041917398508</v>
      </c>
      <c r="Q281" s="5">
        <f>J281*Assumptions!$E$36*-1</f>
        <v>-1096.1663816217649</v>
      </c>
      <c r="R281" s="5">
        <f>R269+R269*Assumptions!$D$51</f>
        <v>-997.98926036029491</v>
      </c>
      <c r="S281" s="5">
        <f>S269+(S269*Assumptions!$D$51)</f>
        <v>0</v>
      </c>
      <c r="T281" s="5">
        <f t="shared" si="75"/>
        <v>0</v>
      </c>
      <c r="U281" s="22">
        <f t="shared" si="70"/>
        <v>-4816.0598337219108</v>
      </c>
      <c r="V281" s="5">
        <f>MAX(Assumptions!$E$18:$E$19)-U281</f>
        <v>7657.6928455206071</v>
      </c>
      <c r="W281" s="5">
        <f t="shared" si="71"/>
        <v>0</v>
      </c>
      <c r="X281" s="5">
        <f t="shared" si="76"/>
        <v>-4816.0598337219108</v>
      </c>
      <c r="Y281" s="5">
        <f>D281*Assumptions!$D$44*-1</f>
        <v>0</v>
      </c>
      <c r="Z281" s="5">
        <f t="shared" si="72"/>
        <v>2841.6330117986963</v>
      </c>
      <c r="AA281" s="5">
        <f t="shared" si="82"/>
        <v>508626.3637332478</v>
      </c>
      <c r="AB281" s="3">
        <f>Assumptions!$E$45</f>
        <v>6.9899151946608562E-3</v>
      </c>
      <c r="AC281" s="5">
        <f t="shared" si="83"/>
        <v>515023.25189331063</v>
      </c>
      <c r="AD281" s="4">
        <f>AC281*Assumptions!$E$43</f>
        <v>461.24220604601226</v>
      </c>
      <c r="AE281" s="2">
        <f>AD281*Assumptions!$D$44*-1</f>
        <v>-69.18633090690183</v>
      </c>
      <c r="AF281" s="2">
        <f>AC281*Assumptions!$E$46*-1</f>
        <v>-17.164295169592709</v>
      </c>
      <c r="AG281" s="5">
        <f t="shared" si="84"/>
        <v>514936.90126723412</v>
      </c>
      <c r="AH281" s="20">
        <f>Model_30y[[#This Row],[Mortgage Payment]]+Model_30y[[#This Row],[Total Upkeep]]+Model_30y[[#This Row],[Monthly Investment]]</f>
        <v>-6250.1846595697398</v>
      </c>
      <c r="AI281" s="5">
        <f>Model_Renter!D281*-1</f>
        <v>6412.7279694741219</v>
      </c>
      <c r="AJ281" s="5">
        <f t="shared" si="77"/>
        <v>162.54330990438211</v>
      </c>
    </row>
    <row r="282" spans="1:36" x14ac:dyDescent="0.25">
      <c r="A282" s="17">
        <f t="shared" si="78"/>
        <v>280</v>
      </c>
      <c r="B282" s="17">
        <f t="shared" si="73"/>
        <v>24</v>
      </c>
      <c r="C282" s="23">
        <f>IFERROR(PPMT(Assumptions!$E$17, A282, 180, Assumptions!$D$8), 0)</f>
        <v>0</v>
      </c>
      <c r="D282" s="38">
        <f>IFERROR(IPMT(Assumptions!$E$17,A282,180,Assumptions!$D$8), 0)</f>
        <v>0</v>
      </c>
      <c r="E282" s="2">
        <f t="shared" si="79"/>
        <v>0</v>
      </c>
      <c r="F282" s="2">
        <f>IF(I281&gt;1, Assumptions!$E$19, 0)*-1</f>
        <v>0</v>
      </c>
      <c r="G282" s="24">
        <f t="shared" si="74"/>
        <v>1</v>
      </c>
      <c r="H282" s="20">
        <f t="shared" si="80"/>
        <v>339999.99999999988</v>
      </c>
      <c r="I282" s="2">
        <f>MAX(Assumptions!$D$8-SUM(Model_15y!H282), 0)</f>
        <v>1.1641532182693481E-10</v>
      </c>
      <c r="J282" s="2">
        <f>J281*(1+(Assumptions!$E$51))</f>
        <v>1326801.3610387014</v>
      </c>
      <c r="K282" s="22">
        <f t="shared" si="69"/>
        <v>1326801.3610387011</v>
      </c>
      <c r="L282" s="5">
        <f t="shared" si="81"/>
        <v>425000</v>
      </c>
      <c r="M282" s="63">
        <f>L282/Assumptions!$D$6</f>
        <v>1</v>
      </c>
      <c r="N282" s="24">
        <f t="shared" si="85"/>
        <v>0</v>
      </c>
      <c r="O282" s="22">
        <f>N282*Assumptions!$E$25*-1</f>
        <v>0</v>
      </c>
      <c r="P282" s="5">
        <f>Assumptions!$E$35*J282*-1</f>
        <v>-2732.9935663442302</v>
      </c>
      <c r="Q282" s="5">
        <f>J282*Assumptions!$E$36*-1</f>
        <v>-1100.6322991479658</v>
      </c>
      <c r="R282" s="5">
        <f>R270+R270*Assumptions!$D$51</f>
        <v>-997.98926036029491</v>
      </c>
      <c r="S282" s="5">
        <f>S270+(S270*Assumptions!$D$51)</f>
        <v>0</v>
      </c>
      <c r="T282" s="5">
        <f t="shared" si="75"/>
        <v>0</v>
      </c>
      <c r="U282" s="22">
        <f t="shared" si="70"/>
        <v>-4831.6151258524906</v>
      </c>
      <c r="V282" s="5">
        <f>MAX(Assumptions!$E$18:$E$19)-U282</f>
        <v>7673.2481376511878</v>
      </c>
      <c r="W282" s="5">
        <f t="shared" si="71"/>
        <v>0</v>
      </c>
      <c r="X282" s="5">
        <f t="shared" si="76"/>
        <v>-4831.6151258524906</v>
      </c>
      <c r="Y282" s="5">
        <f>D282*Assumptions!$D$44*-1</f>
        <v>0</v>
      </c>
      <c r="Z282" s="5">
        <f t="shared" si="72"/>
        <v>2841.6330117986972</v>
      </c>
      <c r="AA282" s="5">
        <f t="shared" si="82"/>
        <v>514936.90126723412</v>
      </c>
      <c r="AB282" s="3">
        <f>Assumptions!$E$45</f>
        <v>6.9899151946608562E-3</v>
      </c>
      <c r="AC282" s="5">
        <f t="shared" si="83"/>
        <v>521377.89954949229</v>
      </c>
      <c r="AD282" s="4">
        <f>AC282*Assumptions!$E$43</f>
        <v>466.93327279456656</v>
      </c>
      <c r="AE282" s="2">
        <f>AD282*Assumptions!$D$44*-1</f>
        <v>-70.039990919184987</v>
      </c>
      <c r="AF282" s="2">
        <f>AC282*Assumptions!$E$46*-1</f>
        <v>-17.376077934096042</v>
      </c>
      <c r="AG282" s="5">
        <f t="shared" si="84"/>
        <v>521290.483480639</v>
      </c>
      <c r="AH282" s="20">
        <f>Model_30y[[#This Row],[Mortgage Payment]]+Model_30y[[#This Row],[Total Upkeep]]+Model_30y[[#This Row],[Monthly Investment]]</f>
        <v>-6266.9081745139547</v>
      </c>
      <c r="AI282" s="5">
        <f>Model_Renter!D282*-1</f>
        <v>6412.7279694741219</v>
      </c>
      <c r="AJ282" s="5">
        <f t="shared" si="77"/>
        <v>145.8197949601672</v>
      </c>
    </row>
    <row r="283" spans="1:36" x14ac:dyDescent="0.25">
      <c r="A283" s="17">
        <f t="shared" si="78"/>
        <v>281</v>
      </c>
      <c r="B283" s="17">
        <f t="shared" si="73"/>
        <v>24</v>
      </c>
      <c r="C283" s="23">
        <f>IFERROR(PPMT(Assumptions!$E$17, A283, 180, Assumptions!$D$8), 0)</f>
        <v>0</v>
      </c>
      <c r="D283" s="38">
        <f>IFERROR(IPMT(Assumptions!$E$17,A283,180,Assumptions!$D$8), 0)</f>
        <v>0</v>
      </c>
      <c r="E283" s="2">
        <f t="shared" si="79"/>
        <v>0</v>
      </c>
      <c r="F283" s="2">
        <f>IF(I282&gt;1, Assumptions!$E$19, 0)*-1</f>
        <v>0</v>
      </c>
      <c r="G283" s="24">
        <f t="shared" si="74"/>
        <v>1</v>
      </c>
      <c r="H283" s="20">
        <f t="shared" si="80"/>
        <v>339999.99999999988</v>
      </c>
      <c r="I283" s="2">
        <f>MAX(Assumptions!$D$8-SUM(Model_15y!H283), 0)</f>
        <v>1.1641532182693481E-10</v>
      </c>
      <c r="J283" s="2">
        <f>J282*(1+(Assumptions!$E$51))</f>
        <v>1332206.9140198862</v>
      </c>
      <c r="K283" s="22">
        <f t="shared" si="69"/>
        <v>1332206.9140198859</v>
      </c>
      <c r="L283" s="5">
        <f t="shared" si="81"/>
        <v>425000</v>
      </c>
      <c r="M283" s="63">
        <f>L283/Assumptions!$D$6</f>
        <v>1</v>
      </c>
      <c r="N283" s="24">
        <f t="shared" si="85"/>
        <v>0</v>
      </c>
      <c r="O283" s="22">
        <f>N283*Assumptions!$E$25*-1</f>
        <v>0</v>
      </c>
      <c r="P283" s="5">
        <f>Assumptions!$E$35*J283*-1</f>
        <v>-2744.1281204334314</v>
      </c>
      <c r="Q283" s="5">
        <f>J283*Assumptions!$E$36*-1</f>
        <v>-1105.1164113749762</v>
      </c>
      <c r="R283" s="5">
        <f>R271+R271*Assumptions!$D$51</f>
        <v>-997.98926036029491</v>
      </c>
      <c r="S283" s="5">
        <f>S271+(S271*Assumptions!$D$51)</f>
        <v>0</v>
      </c>
      <c r="T283" s="5">
        <f t="shared" si="75"/>
        <v>0</v>
      </c>
      <c r="U283" s="22">
        <f t="shared" si="70"/>
        <v>-4847.2337921687022</v>
      </c>
      <c r="V283" s="5">
        <f>MAX(Assumptions!$E$18:$E$19)-U283</f>
        <v>7688.8668039673994</v>
      </c>
      <c r="W283" s="5">
        <f t="shared" si="71"/>
        <v>0</v>
      </c>
      <c r="X283" s="5">
        <f t="shared" si="76"/>
        <v>-4847.2337921687022</v>
      </c>
      <c r="Y283" s="5">
        <f>D283*Assumptions!$D$44*-1</f>
        <v>0</v>
      </c>
      <c r="Z283" s="5">
        <f t="shared" si="72"/>
        <v>2841.6330117986972</v>
      </c>
      <c r="AA283" s="5">
        <f t="shared" si="82"/>
        <v>521290.483480639</v>
      </c>
      <c r="AB283" s="3">
        <f>Assumptions!$E$45</f>
        <v>6.9899151946608562E-3</v>
      </c>
      <c r="AC283" s="5">
        <f t="shared" si="83"/>
        <v>527775.89276375109</v>
      </c>
      <c r="AD283" s="4">
        <f>AC283*Assumptions!$E$43</f>
        <v>472.6631587629451</v>
      </c>
      <c r="AE283" s="2">
        <f>AD283*Assumptions!$D$44*-1</f>
        <v>-70.899473814441762</v>
      </c>
      <c r="AF283" s="2">
        <f>AC283*Assumptions!$E$46*-1</f>
        <v>-17.589305285713436</v>
      </c>
      <c r="AG283" s="5">
        <f t="shared" si="84"/>
        <v>527687.40398465097</v>
      </c>
      <c r="AH283" s="20">
        <f>Model_30y[[#This Row],[Mortgage Payment]]+Model_30y[[#This Row],[Total Upkeep]]+Model_30y[[#This Row],[Monthly Investment]]</f>
        <v>-6283.7016056915581</v>
      </c>
      <c r="AI283" s="5">
        <f>Model_Renter!D283*-1</f>
        <v>6412.7279694741219</v>
      </c>
      <c r="AJ283" s="5">
        <f t="shared" si="77"/>
        <v>129.02636378256375</v>
      </c>
    </row>
    <row r="284" spans="1:36" x14ac:dyDescent="0.25">
      <c r="A284" s="17">
        <f t="shared" si="78"/>
        <v>282</v>
      </c>
      <c r="B284" s="17">
        <f t="shared" si="73"/>
        <v>24</v>
      </c>
      <c r="C284" s="23">
        <f>IFERROR(PPMT(Assumptions!$E$17, A284, 180, Assumptions!$D$8), 0)</f>
        <v>0</v>
      </c>
      <c r="D284" s="38">
        <f>IFERROR(IPMT(Assumptions!$E$17,A284,180,Assumptions!$D$8), 0)</f>
        <v>0</v>
      </c>
      <c r="E284" s="2">
        <f t="shared" si="79"/>
        <v>0</v>
      </c>
      <c r="F284" s="2">
        <f>IF(I283&gt;1, Assumptions!$E$19, 0)*-1</f>
        <v>0</v>
      </c>
      <c r="G284" s="24">
        <f t="shared" si="74"/>
        <v>1</v>
      </c>
      <c r="H284" s="20">
        <f t="shared" si="80"/>
        <v>339999.99999999988</v>
      </c>
      <c r="I284" s="2">
        <f>MAX(Assumptions!$D$8-SUM(Model_15y!H284), 0)</f>
        <v>1.1641532182693481E-10</v>
      </c>
      <c r="J284" s="2">
        <f>J283*(1+(Assumptions!$E$51))</f>
        <v>1337634.4898930353</v>
      </c>
      <c r="K284" s="22">
        <f t="shared" si="69"/>
        <v>1337634.489893035</v>
      </c>
      <c r="L284" s="5">
        <f t="shared" si="81"/>
        <v>425000</v>
      </c>
      <c r="M284" s="63">
        <f>L284/Assumptions!$D$6</f>
        <v>1</v>
      </c>
      <c r="N284" s="24">
        <f t="shared" si="85"/>
        <v>0</v>
      </c>
      <c r="O284" s="22">
        <f>N284*Assumptions!$E$25*-1</f>
        <v>0</v>
      </c>
      <c r="P284" s="5">
        <f>Assumptions!$E$35*J284*-1</f>
        <v>-2755.3080380742672</v>
      </c>
      <c r="Q284" s="5">
        <f>J284*Assumptions!$E$36*-1</f>
        <v>-1109.618792430259</v>
      </c>
      <c r="R284" s="5">
        <f>R272+R272*Assumptions!$D$51</f>
        <v>-997.98926036029491</v>
      </c>
      <c r="S284" s="5">
        <f>S272+(S272*Assumptions!$D$51)</f>
        <v>0</v>
      </c>
      <c r="T284" s="5">
        <f t="shared" si="75"/>
        <v>0</v>
      </c>
      <c r="U284" s="22">
        <f t="shared" si="70"/>
        <v>-4862.9160908648209</v>
      </c>
      <c r="V284" s="5">
        <f>MAX(Assumptions!$E$18:$E$19)-U284</f>
        <v>7704.5491026635173</v>
      </c>
      <c r="W284" s="5">
        <f t="shared" si="71"/>
        <v>0</v>
      </c>
      <c r="X284" s="5">
        <f t="shared" si="76"/>
        <v>-4862.9160908648209</v>
      </c>
      <c r="Y284" s="5">
        <f>D284*Assumptions!$D$44*-1</f>
        <v>0</v>
      </c>
      <c r="Z284" s="5">
        <f t="shared" si="72"/>
        <v>2841.6330117986963</v>
      </c>
      <c r="AA284" s="5">
        <f t="shared" si="82"/>
        <v>527687.40398465097</v>
      </c>
      <c r="AB284" s="3">
        <f>Assumptions!$E$45</f>
        <v>6.9899151946608562E-3</v>
      </c>
      <c r="AC284" s="5">
        <f t="shared" si="83"/>
        <v>534217.52719959314</v>
      </c>
      <c r="AD284" s="4">
        <f>AC284*Assumptions!$E$43</f>
        <v>478.43212874013989</v>
      </c>
      <c r="AE284" s="2">
        <f>AD284*Assumptions!$D$44*-1</f>
        <v>-71.764819311020986</v>
      </c>
      <c r="AF284" s="2">
        <f>AC284*Assumptions!$E$46*-1</f>
        <v>-17.803987078088728</v>
      </c>
      <c r="AG284" s="5">
        <f t="shared" si="84"/>
        <v>534127.95839320403</v>
      </c>
      <c r="AH284" s="20">
        <f>Model_30y[[#This Row],[Mortgage Payment]]+Model_30y[[#This Row],[Total Upkeep]]+Model_30y[[#This Row],[Monthly Investment]]</f>
        <v>-6300.5652479322916</v>
      </c>
      <c r="AI284" s="5">
        <f>Model_Renter!D284*-1</f>
        <v>6412.7279694741219</v>
      </c>
      <c r="AJ284" s="5">
        <f t="shared" si="77"/>
        <v>112.16272154183025</v>
      </c>
    </row>
    <row r="285" spans="1:36" x14ac:dyDescent="0.25">
      <c r="A285" s="17">
        <f t="shared" si="78"/>
        <v>283</v>
      </c>
      <c r="B285" s="17">
        <f t="shared" si="73"/>
        <v>24</v>
      </c>
      <c r="C285" s="23">
        <f>IFERROR(PPMT(Assumptions!$E$17, A285, 180, Assumptions!$D$8), 0)</f>
        <v>0</v>
      </c>
      <c r="D285" s="38">
        <f>IFERROR(IPMT(Assumptions!$E$17,A285,180,Assumptions!$D$8), 0)</f>
        <v>0</v>
      </c>
      <c r="E285" s="2">
        <f t="shared" si="79"/>
        <v>0</v>
      </c>
      <c r="F285" s="2">
        <f>IF(I284&gt;1, Assumptions!$E$19, 0)*-1</f>
        <v>0</v>
      </c>
      <c r="G285" s="24">
        <f t="shared" si="74"/>
        <v>1</v>
      </c>
      <c r="H285" s="20">
        <f t="shared" si="80"/>
        <v>339999.99999999988</v>
      </c>
      <c r="I285" s="2">
        <f>MAX(Assumptions!$D$8-SUM(Model_15y!H285), 0)</f>
        <v>1.1641532182693481E-10</v>
      </c>
      <c r="J285" s="2">
        <f>J284*(1+(Assumptions!$E$51))</f>
        <v>1343084.1783821369</v>
      </c>
      <c r="K285" s="22">
        <f t="shared" si="69"/>
        <v>1343084.1783821369</v>
      </c>
      <c r="L285" s="5">
        <f t="shared" si="81"/>
        <v>425000</v>
      </c>
      <c r="M285" s="63">
        <f>L285/Assumptions!$D$6</f>
        <v>1</v>
      </c>
      <c r="N285" s="24">
        <f t="shared" si="85"/>
        <v>0</v>
      </c>
      <c r="O285" s="22">
        <f>N285*Assumptions!$E$25*-1</f>
        <v>0</v>
      </c>
      <c r="P285" s="5">
        <f>Assumptions!$E$35*J285*-1</f>
        <v>-2766.533504083463</v>
      </c>
      <c r="Q285" s="5">
        <f>J285*Assumptions!$E$36*-1</f>
        <v>-1114.1395167432825</v>
      </c>
      <c r="R285" s="5">
        <f>R273+R273*Assumptions!$D$51</f>
        <v>-997.98926036029491</v>
      </c>
      <c r="S285" s="5">
        <f>S273+(S273*Assumptions!$D$51)</f>
        <v>0</v>
      </c>
      <c r="T285" s="5">
        <f t="shared" si="75"/>
        <v>0</v>
      </c>
      <c r="U285" s="22">
        <f t="shared" si="70"/>
        <v>-4878.6622811870402</v>
      </c>
      <c r="V285" s="5">
        <f>MAX(Assumptions!$E$18:$E$19)-U285</f>
        <v>7720.2952929857365</v>
      </c>
      <c r="W285" s="5">
        <f t="shared" si="71"/>
        <v>0</v>
      </c>
      <c r="X285" s="5">
        <f t="shared" si="76"/>
        <v>-4878.6622811870402</v>
      </c>
      <c r="Y285" s="5">
        <f>D285*Assumptions!$D$44*-1</f>
        <v>0</v>
      </c>
      <c r="Z285" s="5">
        <f t="shared" si="72"/>
        <v>2841.6330117986963</v>
      </c>
      <c r="AA285" s="5">
        <f t="shared" si="82"/>
        <v>534127.95839320403</v>
      </c>
      <c r="AB285" s="3">
        <f>Assumptions!$E$45</f>
        <v>6.9899151946608562E-3</v>
      </c>
      <c r="AC285" s="5">
        <f t="shared" si="83"/>
        <v>540703.10053726856</v>
      </c>
      <c r="AD285" s="4">
        <f>AC285*Assumptions!$E$43</f>
        <v>484.2404493212897</v>
      </c>
      <c r="AE285" s="2">
        <f>AD285*Assumptions!$D$44*-1</f>
        <v>-72.636067398193447</v>
      </c>
      <c r="AF285" s="2">
        <f>AC285*Assumptions!$E$46*-1</f>
        <v>-18.020133232078219</v>
      </c>
      <c r="AG285" s="5">
        <f t="shared" si="84"/>
        <v>540612.44433663832</v>
      </c>
      <c r="AH285" s="20">
        <f>Model_30y[[#This Row],[Mortgage Payment]]+Model_30y[[#This Row],[Total Upkeep]]+Model_30y[[#This Row],[Monthly Investment]]</f>
        <v>-6317.4993973229766</v>
      </c>
      <c r="AI285" s="5">
        <f>Model_Renter!D285*-1</f>
        <v>6412.7279694741219</v>
      </c>
      <c r="AJ285" s="5">
        <f t="shared" si="77"/>
        <v>95.228572151145272</v>
      </c>
    </row>
    <row r="286" spans="1:36" x14ac:dyDescent="0.25">
      <c r="A286" s="17">
        <f t="shared" si="78"/>
        <v>284</v>
      </c>
      <c r="B286" s="17">
        <f t="shared" si="73"/>
        <v>24</v>
      </c>
      <c r="C286" s="23">
        <f>IFERROR(PPMT(Assumptions!$E$17, A286, 180, Assumptions!$D$8), 0)</f>
        <v>0</v>
      </c>
      <c r="D286" s="38">
        <f>IFERROR(IPMT(Assumptions!$E$17,A286,180,Assumptions!$D$8), 0)</f>
        <v>0</v>
      </c>
      <c r="E286" s="2">
        <f t="shared" si="79"/>
        <v>0</v>
      </c>
      <c r="F286" s="2">
        <f>IF(I285&gt;1, Assumptions!$E$19, 0)*-1</f>
        <v>0</v>
      </c>
      <c r="G286" s="24">
        <f t="shared" si="74"/>
        <v>1</v>
      </c>
      <c r="H286" s="20">
        <f t="shared" si="80"/>
        <v>339999.99999999988</v>
      </c>
      <c r="I286" s="2">
        <f>MAX(Assumptions!$D$8-SUM(Model_15y!H286), 0)</f>
        <v>1.1641532182693481E-10</v>
      </c>
      <c r="J286" s="2">
        <f>J285*(1+(Assumptions!$E$51))</f>
        <v>1348556.0695767254</v>
      </c>
      <c r="K286" s="22">
        <f t="shared" si="69"/>
        <v>1348556.0695767254</v>
      </c>
      <c r="L286" s="5">
        <f t="shared" si="81"/>
        <v>425000</v>
      </c>
      <c r="M286" s="63">
        <f>L286/Assumptions!$D$6</f>
        <v>1</v>
      </c>
      <c r="N286" s="24">
        <f t="shared" si="85"/>
        <v>0</v>
      </c>
      <c r="O286" s="22">
        <f>N286*Assumptions!$E$25*-1</f>
        <v>0</v>
      </c>
      <c r="P286" s="5">
        <f>Assumptions!$E$35*J286*-1</f>
        <v>-2777.8047040307097</v>
      </c>
      <c r="Q286" s="5">
        <f>J286*Assumptions!$E$36*-1</f>
        <v>-1118.6786590467486</v>
      </c>
      <c r="R286" s="5">
        <f>R274+R274*Assumptions!$D$51</f>
        <v>-997.98926036029491</v>
      </c>
      <c r="S286" s="5">
        <f>S274+(S274*Assumptions!$D$51)</f>
        <v>0</v>
      </c>
      <c r="T286" s="5">
        <f t="shared" si="75"/>
        <v>0</v>
      </c>
      <c r="U286" s="22">
        <f t="shared" si="70"/>
        <v>-4894.4726234377531</v>
      </c>
      <c r="V286" s="5">
        <f>MAX(Assumptions!$E$18:$E$19)-U286</f>
        <v>7736.1056352364503</v>
      </c>
      <c r="W286" s="5">
        <f t="shared" si="71"/>
        <v>0</v>
      </c>
      <c r="X286" s="5">
        <f t="shared" si="76"/>
        <v>-4894.4726234377531</v>
      </c>
      <c r="Y286" s="5">
        <f>D286*Assumptions!$D$44*-1</f>
        <v>0</v>
      </c>
      <c r="Z286" s="5">
        <f t="shared" si="72"/>
        <v>2841.6330117986972</v>
      </c>
      <c r="AA286" s="5">
        <f t="shared" si="82"/>
        <v>540612.44433663832</v>
      </c>
      <c r="AB286" s="3">
        <f>Assumptions!$E$45</f>
        <v>6.9899151946608562E-3</v>
      </c>
      <c r="AC286" s="5">
        <f t="shared" si="83"/>
        <v>547232.9124875284</v>
      </c>
      <c r="AD286" s="4">
        <f>AC286*Assumptions!$E$43</f>
        <v>490.08838892000006</v>
      </c>
      <c r="AE286" s="2">
        <f>AD286*Assumptions!$D$44*-1</f>
        <v>-73.513258338</v>
      </c>
      <c r="AF286" s="2">
        <f>AC286*Assumptions!$E$46*-1</f>
        <v>-18.237753736209189</v>
      </c>
      <c r="AG286" s="5">
        <f t="shared" si="84"/>
        <v>547141.16147545422</v>
      </c>
      <c r="AH286" s="20">
        <f>Model_30y[[#This Row],[Mortgage Payment]]+Model_30y[[#This Row],[Total Upkeep]]+Model_30y[[#This Row],[Monthly Investment]]</f>
        <v>-6334.5043512129378</v>
      </c>
      <c r="AI286" s="5">
        <f>Model_Renter!D286*-1</f>
        <v>6412.7279694741219</v>
      </c>
      <c r="AJ286" s="5">
        <f t="shared" si="77"/>
        <v>78.223618261184129</v>
      </c>
    </row>
    <row r="287" spans="1:36" x14ac:dyDescent="0.25">
      <c r="A287" s="17">
        <f t="shared" si="78"/>
        <v>285</v>
      </c>
      <c r="B287" s="17">
        <f t="shared" si="73"/>
        <v>24</v>
      </c>
      <c r="C287" s="23">
        <f>IFERROR(PPMT(Assumptions!$E$17, A287, 180, Assumptions!$D$8), 0)</f>
        <v>0</v>
      </c>
      <c r="D287" s="38">
        <f>IFERROR(IPMT(Assumptions!$E$17,A287,180,Assumptions!$D$8), 0)</f>
        <v>0</v>
      </c>
      <c r="E287" s="2">
        <f t="shared" si="79"/>
        <v>0</v>
      </c>
      <c r="F287" s="2">
        <f>IF(I286&gt;1, Assumptions!$E$19, 0)*-1</f>
        <v>0</v>
      </c>
      <c r="G287" s="24">
        <f t="shared" si="74"/>
        <v>1</v>
      </c>
      <c r="H287" s="20">
        <f t="shared" si="80"/>
        <v>339999.99999999988</v>
      </c>
      <c r="I287" s="2">
        <f>MAX(Assumptions!$D$8-SUM(Model_15y!H287), 0)</f>
        <v>1.1641532182693481E-10</v>
      </c>
      <c r="J287" s="2">
        <f>J286*(1+(Assumptions!$E$51))</f>
        <v>1354050.2539333713</v>
      </c>
      <c r="K287" s="22">
        <f t="shared" si="69"/>
        <v>1354050.253933371</v>
      </c>
      <c r="L287" s="5">
        <f t="shared" si="81"/>
        <v>425000</v>
      </c>
      <c r="M287" s="63">
        <f>L287/Assumptions!$D$6</f>
        <v>1</v>
      </c>
      <c r="N287" s="24">
        <f t="shared" si="85"/>
        <v>0</v>
      </c>
      <c r="O287" s="22">
        <f>N287*Assumptions!$E$25*-1</f>
        <v>0</v>
      </c>
      <c r="P287" s="5">
        <f>Assumptions!$E$35*J287*-1</f>
        <v>-2789.1218242417317</v>
      </c>
      <c r="Q287" s="5">
        <f>J287*Assumptions!$E$36*-1</f>
        <v>-1123.236294377831</v>
      </c>
      <c r="R287" s="5">
        <f>R275+R275*Assumptions!$D$51</f>
        <v>-997.98926036029491</v>
      </c>
      <c r="S287" s="5">
        <f>S275+(S275*Assumptions!$D$51)</f>
        <v>0</v>
      </c>
      <c r="T287" s="5">
        <f t="shared" si="75"/>
        <v>0</v>
      </c>
      <c r="U287" s="22">
        <f t="shared" si="70"/>
        <v>-4910.3473789798572</v>
      </c>
      <c r="V287" s="5">
        <f>MAX(Assumptions!$E$18:$E$19)-U287</f>
        <v>7751.9803907785536</v>
      </c>
      <c r="W287" s="5">
        <f t="shared" si="71"/>
        <v>0</v>
      </c>
      <c r="X287" s="5">
        <f t="shared" si="76"/>
        <v>-4910.3473789798572</v>
      </c>
      <c r="Y287" s="5">
        <f>D287*Assumptions!$D$44*-1</f>
        <v>0</v>
      </c>
      <c r="Z287" s="5">
        <f t="shared" si="72"/>
        <v>2841.6330117986963</v>
      </c>
      <c r="AA287" s="5">
        <f t="shared" si="82"/>
        <v>547141.16147545422</v>
      </c>
      <c r="AB287" s="3">
        <f>Assumptions!$E$45</f>
        <v>6.9899151946608562E-3</v>
      </c>
      <c r="AC287" s="5">
        <f t="shared" si="83"/>
        <v>553807.26480547467</v>
      </c>
      <c r="AD287" s="4">
        <f>AC287*Assumptions!$E$43</f>
        <v>495.97621778074711</v>
      </c>
      <c r="AE287" s="2">
        <f>AD287*Assumptions!$D$44*-1</f>
        <v>-74.396432667112066</v>
      </c>
      <c r="AF287" s="2">
        <f>AC287*Assumptions!$E$46*-1</f>
        <v>-18.456858647141448</v>
      </c>
      <c r="AG287" s="5">
        <f t="shared" si="84"/>
        <v>553714.41151416046</v>
      </c>
      <c r="AH287" s="20">
        <f>Model_30y[[#This Row],[Mortgage Payment]]+Model_30y[[#This Row],[Total Upkeep]]+Model_30y[[#This Row],[Monthly Investment]]</f>
        <v>-6351.5804082194709</v>
      </c>
      <c r="AI287" s="5">
        <f>Model_Renter!D287*-1</f>
        <v>6412.7279694741219</v>
      </c>
      <c r="AJ287" s="5">
        <f t="shared" si="77"/>
        <v>61.147561254651009</v>
      </c>
    </row>
    <row r="288" spans="1:36" x14ac:dyDescent="0.25">
      <c r="A288" s="17">
        <f t="shared" si="78"/>
        <v>286</v>
      </c>
      <c r="B288" s="17">
        <f t="shared" si="73"/>
        <v>24</v>
      </c>
      <c r="C288" s="23">
        <f>IFERROR(PPMT(Assumptions!$E$17, A288, 180, Assumptions!$D$8), 0)</f>
        <v>0</v>
      </c>
      <c r="D288" s="38">
        <f>IFERROR(IPMT(Assumptions!$E$17,A288,180,Assumptions!$D$8), 0)</f>
        <v>0</v>
      </c>
      <c r="E288" s="2">
        <f t="shared" si="79"/>
        <v>0</v>
      </c>
      <c r="F288" s="2">
        <f>IF(I287&gt;1, Assumptions!$E$19, 0)*-1</f>
        <v>0</v>
      </c>
      <c r="G288" s="24">
        <f t="shared" si="74"/>
        <v>1</v>
      </c>
      <c r="H288" s="20">
        <f t="shared" si="80"/>
        <v>339999.99999999988</v>
      </c>
      <c r="I288" s="2">
        <f>MAX(Assumptions!$D$8-SUM(Model_15y!H288), 0)</f>
        <v>1.1641532182693481E-10</v>
      </c>
      <c r="J288" s="2">
        <f>J287*(1+(Assumptions!$E$51))</f>
        <v>1359566.8222771764</v>
      </c>
      <c r="K288" s="22">
        <f t="shared" si="69"/>
        <v>1359566.8222771762</v>
      </c>
      <c r="L288" s="5">
        <f t="shared" si="81"/>
        <v>425000</v>
      </c>
      <c r="M288" s="63">
        <f>L288/Assumptions!$D$6</f>
        <v>1</v>
      </c>
      <c r="N288" s="24">
        <f t="shared" si="85"/>
        <v>0</v>
      </c>
      <c r="O288" s="22">
        <f>N288*Assumptions!$E$25*-1</f>
        <v>0</v>
      </c>
      <c r="P288" s="5">
        <f>Assumptions!$E$35*J288*-1</f>
        <v>-2800.4850518013677</v>
      </c>
      <c r="Q288" s="5">
        <f>J288*Assumptions!$E$36*-1</f>
        <v>-1127.8124980794128</v>
      </c>
      <c r="R288" s="5">
        <f>R276+R276*Assumptions!$D$51</f>
        <v>-997.98926036029491</v>
      </c>
      <c r="S288" s="5">
        <f>S276+(S276*Assumptions!$D$51)</f>
        <v>0</v>
      </c>
      <c r="T288" s="5">
        <f t="shared" si="75"/>
        <v>0</v>
      </c>
      <c r="U288" s="22">
        <f t="shared" si="70"/>
        <v>-4926.2868102410757</v>
      </c>
      <c r="V288" s="5">
        <f>MAX(Assumptions!$E$18:$E$19)-U288</f>
        <v>7767.919822039772</v>
      </c>
      <c r="W288" s="5">
        <f t="shared" si="71"/>
        <v>0</v>
      </c>
      <c r="X288" s="5">
        <f t="shared" si="76"/>
        <v>-4926.2868102410757</v>
      </c>
      <c r="Y288" s="5">
        <f>D288*Assumptions!$D$44*-1</f>
        <v>0</v>
      </c>
      <c r="Z288" s="5">
        <f t="shared" si="72"/>
        <v>2841.6330117986963</v>
      </c>
      <c r="AA288" s="5">
        <f t="shared" si="82"/>
        <v>553714.41151416046</v>
      </c>
      <c r="AB288" s="3">
        <f>Assumptions!$E$45</f>
        <v>6.9899151946608562E-3</v>
      </c>
      <c r="AC288" s="5">
        <f t="shared" si="83"/>
        <v>560426.46130450466</v>
      </c>
      <c r="AD288" s="4">
        <f>AC288*Assumptions!$E$43</f>
        <v>501.90420799136598</v>
      </c>
      <c r="AE288" s="2">
        <f>AD288*Assumptions!$D$44*-1</f>
        <v>-75.285631198704891</v>
      </c>
      <c r="AF288" s="2">
        <f>AC288*Assumptions!$E$46*-1</f>
        <v>-18.677458090132074</v>
      </c>
      <c r="AG288" s="5">
        <f t="shared" si="84"/>
        <v>560332.49821521586</v>
      </c>
      <c r="AH288" s="20">
        <f>Model_30y[[#This Row],[Mortgage Payment]]+Model_30y[[#This Row],[Total Upkeep]]+Model_30y[[#This Row],[Monthly Investment]]</f>
        <v>-6368.727868233319</v>
      </c>
      <c r="AI288" s="5">
        <f>Model_Renter!D288*-1</f>
        <v>6412.7279694741219</v>
      </c>
      <c r="AJ288" s="5">
        <f t="shared" si="77"/>
        <v>44.000101240802906</v>
      </c>
    </row>
    <row r="289" spans="1:36" x14ac:dyDescent="0.25">
      <c r="A289" s="17">
        <f t="shared" si="78"/>
        <v>287</v>
      </c>
      <c r="B289" s="17">
        <f t="shared" si="73"/>
        <v>24</v>
      </c>
      <c r="C289" s="23">
        <f>IFERROR(PPMT(Assumptions!$E$17, A289, 180, Assumptions!$D$8), 0)</f>
        <v>0</v>
      </c>
      <c r="D289" s="38">
        <f>IFERROR(IPMT(Assumptions!$E$17,A289,180,Assumptions!$D$8), 0)</f>
        <v>0</v>
      </c>
      <c r="E289" s="2">
        <f t="shared" si="79"/>
        <v>0</v>
      </c>
      <c r="F289" s="2">
        <f>IF(I288&gt;1, Assumptions!$E$19, 0)*-1</f>
        <v>0</v>
      </c>
      <c r="G289" s="24">
        <f t="shared" si="74"/>
        <v>1</v>
      </c>
      <c r="H289" s="20">
        <f t="shared" si="80"/>
        <v>339999.99999999988</v>
      </c>
      <c r="I289" s="2">
        <f>MAX(Assumptions!$D$8-SUM(Model_15y!H289), 0)</f>
        <v>1.1641532182693481E-10</v>
      </c>
      <c r="J289" s="2">
        <f>J288*(1+(Assumptions!$E$51))</f>
        <v>1365105.865803275</v>
      </c>
      <c r="K289" s="22">
        <f t="shared" si="69"/>
        <v>1365105.8658032748</v>
      </c>
      <c r="L289" s="5">
        <f t="shared" si="81"/>
        <v>425000</v>
      </c>
      <c r="M289" s="63">
        <f>L289/Assumptions!$D$6</f>
        <v>1</v>
      </c>
      <c r="N289" s="24">
        <f t="shared" si="85"/>
        <v>0</v>
      </c>
      <c r="O289" s="22">
        <f>N289*Assumptions!$E$25*-1</f>
        <v>0</v>
      </c>
      <c r="P289" s="5">
        <f>Assumptions!$E$35*J289*-1</f>
        <v>-2811.894574556663</v>
      </c>
      <c r="Q289" s="5">
        <f>J289*Assumptions!$E$36*-1</f>
        <v>-1132.4073458013338</v>
      </c>
      <c r="R289" s="5">
        <f>R277+R277*Assumptions!$D$51</f>
        <v>-997.98926036029491</v>
      </c>
      <c r="S289" s="5">
        <f>S277+(S277*Assumptions!$D$51)</f>
        <v>0</v>
      </c>
      <c r="T289" s="5">
        <f t="shared" si="75"/>
        <v>0</v>
      </c>
      <c r="U289" s="22">
        <f t="shared" si="70"/>
        <v>-4942.2911807182918</v>
      </c>
      <c r="V289" s="5">
        <f>MAX(Assumptions!$E$18:$E$19)-U289</f>
        <v>7783.9241925169881</v>
      </c>
      <c r="W289" s="5">
        <f t="shared" si="71"/>
        <v>0</v>
      </c>
      <c r="X289" s="5">
        <f t="shared" si="76"/>
        <v>-4942.2911807182918</v>
      </c>
      <c r="Y289" s="5">
        <f>D289*Assumptions!$D$44*-1</f>
        <v>0</v>
      </c>
      <c r="Z289" s="5">
        <f t="shared" si="72"/>
        <v>2841.6330117986963</v>
      </c>
      <c r="AA289" s="5">
        <f t="shared" si="82"/>
        <v>560332.49821521586</v>
      </c>
      <c r="AB289" s="3">
        <f>Assumptions!$E$45</f>
        <v>6.9899151946608562E-3</v>
      </c>
      <c r="AC289" s="5">
        <f t="shared" si="83"/>
        <v>567090.80787035136</v>
      </c>
      <c r="AD289" s="4">
        <f>AC289*Assumptions!$E$43</f>
        <v>507.87263349562471</v>
      </c>
      <c r="AE289" s="2">
        <f>AD289*Assumptions!$D$44*-1</f>
        <v>-76.180895024343698</v>
      </c>
      <c r="AF289" s="2">
        <f>AC289*Assumptions!$E$46*-1</f>
        <v>-18.899562259503345</v>
      </c>
      <c r="AG289" s="5">
        <f t="shared" si="84"/>
        <v>566995.72741306748</v>
      </c>
      <c r="AH289" s="20">
        <f>Model_30y[[#This Row],[Mortgage Payment]]+Model_30y[[#This Row],[Total Upkeep]]+Model_30y[[#This Row],[Monthly Investment]]</f>
        <v>-6385.9470324241784</v>
      </c>
      <c r="AI289" s="5">
        <f>Model_Renter!D289*-1</f>
        <v>6412.7279694741219</v>
      </c>
      <c r="AJ289" s="5">
        <f t="shared" si="77"/>
        <v>26.780937049943532</v>
      </c>
    </row>
    <row r="290" spans="1:36" x14ac:dyDescent="0.25">
      <c r="A290" s="17">
        <f t="shared" si="78"/>
        <v>288</v>
      </c>
      <c r="B290" s="17">
        <f t="shared" si="73"/>
        <v>24</v>
      </c>
      <c r="C290" s="23">
        <f>IFERROR(PPMT(Assumptions!$E$17, A290, 180, Assumptions!$D$8), 0)</f>
        <v>0</v>
      </c>
      <c r="D290" s="38">
        <f>IFERROR(IPMT(Assumptions!$E$17,A290,180,Assumptions!$D$8), 0)</f>
        <v>0</v>
      </c>
      <c r="E290" s="2">
        <f t="shared" si="79"/>
        <v>0</v>
      </c>
      <c r="F290" s="2">
        <f>IF(I289&gt;1, Assumptions!$E$19, 0)*-1</f>
        <v>0</v>
      </c>
      <c r="G290" s="24">
        <f t="shared" si="74"/>
        <v>1</v>
      </c>
      <c r="H290" s="20">
        <f t="shared" si="80"/>
        <v>339999.99999999988</v>
      </c>
      <c r="I290" s="2">
        <f>MAX(Assumptions!$D$8-SUM(Model_15y!H290), 0)</f>
        <v>1.1641532182693481E-10</v>
      </c>
      <c r="J290" s="2">
        <f>J289*(1+(Assumptions!$E$51))</f>
        <v>1370667.4760783419</v>
      </c>
      <c r="K290" s="22">
        <f t="shared" si="69"/>
        <v>1370667.4760783417</v>
      </c>
      <c r="L290" s="5">
        <f t="shared" si="81"/>
        <v>425000</v>
      </c>
      <c r="M290" s="63">
        <f>L290/Assumptions!$D$6</f>
        <v>1</v>
      </c>
      <c r="N290" s="24">
        <f t="shared" si="85"/>
        <v>0</v>
      </c>
      <c r="O290" s="22">
        <f>N290*Assumptions!$E$25*-1</f>
        <v>0</v>
      </c>
      <c r="P290" s="5">
        <f>Assumptions!$E$35*J290*-1</f>
        <v>-2823.3505811199761</v>
      </c>
      <c r="Q290" s="5">
        <f>J290*Assumptions!$E$36*-1</f>
        <v>-1137.0209135016412</v>
      </c>
      <c r="R290" s="5">
        <f>R278+R278*Assumptions!$D$51</f>
        <v>-997.98926036029491</v>
      </c>
      <c r="S290" s="5">
        <f>S278+(S278*Assumptions!$D$51)</f>
        <v>0</v>
      </c>
      <c r="T290" s="5">
        <f t="shared" si="75"/>
        <v>0</v>
      </c>
      <c r="U290" s="22">
        <f t="shared" si="70"/>
        <v>-4958.3607549819126</v>
      </c>
      <c r="V290" s="5">
        <f>MAX(Assumptions!$E$18:$E$19)-U290</f>
        <v>7799.9937667806098</v>
      </c>
      <c r="W290" s="5">
        <f t="shared" si="71"/>
        <v>0</v>
      </c>
      <c r="X290" s="5">
        <f t="shared" si="76"/>
        <v>-4958.3607549819126</v>
      </c>
      <c r="Y290" s="5">
        <f>D290*Assumptions!$D$44*-1</f>
        <v>0</v>
      </c>
      <c r="Z290" s="5">
        <f t="shared" si="72"/>
        <v>2841.6330117986972</v>
      </c>
      <c r="AA290" s="5">
        <f t="shared" si="82"/>
        <v>566995.72741306748</v>
      </c>
      <c r="AB290" s="3">
        <f>Assumptions!$E$45</f>
        <v>6.9899151946608562E-3</v>
      </c>
      <c r="AC290" s="5">
        <f t="shared" si="83"/>
        <v>573800.6124752186</v>
      </c>
      <c r="AD290" s="4">
        <f>AC290*Assumptions!$E$43</f>
        <v>513.88177010588356</v>
      </c>
      <c r="AE290" s="2">
        <f>AD290*Assumptions!$D$44*-1</f>
        <v>-77.082265515882526</v>
      </c>
      <c r="AF290" s="2">
        <f>AC290*Assumptions!$E$46*-1</f>
        <v>-19.123181419113816</v>
      </c>
      <c r="AG290" s="5">
        <f t="shared" si="84"/>
        <v>573704.40702828357</v>
      </c>
      <c r="AH290" s="20">
        <f>Model_30y[[#This Row],[Mortgage Payment]]+Model_30y[[#This Row],[Total Upkeep]]+Model_30y[[#This Row],[Monthly Investment]]</f>
        <v>-6403.2382032462401</v>
      </c>
      <c r="AI290" s="5">
        <f>Model_Renter!D290*-1</f>
        <v>6412.7279694741219</v>
      </c>
      <c r="AJ290" s="5">
        <f t="shared" si="77"/>
        <v>9.4897662278817734</v>
      </c>
    </row>
    <row r="291" spans="1:36" x14ac:dyDescent="0.25">
      <c r="A291" s="17">
        <f t="shared" si="78"/>
        <v>289</v>
      </c>
      <c r="B291" s="17">
        <f t="shared" si="73"/>
        <v>25</v>
      </c>
      <c r="C291" s="23">
        <f>IFERROR(PPMT(Assumptions!$E$17, A291, 180, Assumptions!$D$8), 0)</f>
        <v>0</v>
      </c>
      <c r="D291" s="38">
        <f>IFERROR(IPMT(Assumptions!$E$17,A291,180,Assumptions!$D$8), 0)</f>
        <v>0</v>
      </c>
      <c r="E291" s="2">
        <f t="shared" si="79"/>
        <v>0</v>
      </c>
      <c r="F291" s="2">
        <f>IF(I290&gt;1, Assumptions!$E$19, 0)*-1</f>
        <v>0</v>
      </c>
      <c r="G291" s="24">
        <f t="shared" si="74"/>
        <v>1</v>
      </c>
      <c r="H291" s="20">
        <f t="shared" si="80"/>
        <v>339999.99999999988</v>
      </c>
      <c r="I291" s="2">
        <f>MAX(Assumptions!$D$8-SUM(Model_15y!H291), 0)</f>
        <v>1.1641532182693481E-10</v>
      </c>
      <c r="J291" s="2">
        <f>J290*(1+(Assumptions!$E$51))</f>
        <v>1376251.7450421059</v>
      </c>
      <c r="K291" s="22">
        <f t="shared" si="69"/>
        <v>1376251.7450421057</v>
      </c>
      <c r="L291" s="5">
        <f t="shared" si="81"/>
        <v>425000</v>
      </c>
      <c r="M291" s="63">
        <f>L291/Assumptions!$D$6</f>
        <v>1</v>
      </c>
      <c r="N291" s="24">
        <f t="shared" si="85"/>
        <v>0</v>
      </c>
      <c r="O291" s="22">
        <f>N291*Assumptions!$E$25*-1</f>
        <v>0</v>
      </c>
      <c r="P291" s="5">
        <f>Assumptions!$E$35*J291*-1</f>
        <v>-2834.8532608720943</v>
      </c>
      <c r="Q291" s="5">
        <f>J291*Assumptions!$E$36*-1</f>
        <v>-1141.6532774478437</v>
      </c>
      <c r="R291" s="5">
        <f>R279+R279*Assumptions!$D$51</f>
        <v>-1047.8887233783096</v>
      </c>
      <c r="S291" s="5">
        <f>S279+(S279*Assumptions!$D$51)</f>
        <v>0</v>
      </c>
      <c r="T291" s="5">
        <f t="shared" si="75"/>
        <v>0</v>
      </c>
      <c r="U291" s="22">
        <f t="shared" si="70"/>
        <v>-5024.3952616982479</v>
      </c>
      <c r="V291" s="5">
        <f>MAX(Assumptions!$E$18:$E$19)-U291</f>
        <v>7866.0282734969442</v>
      </c>
      <c r="W291" s="5">
        <f t="shared" si="71"/>
        <v>0</v>
      </c>
      <c r="X291" s="5">
        <f t="shared" si="76"/>
        <v>-5024.3952616982479</v>
      </c>
      <c r="Y291" s="5">
        <f>D291*Assumptions!$D$44*-1</f>
        <v>0</v>
      </c>
      <c r="Z291" s="5">
        <f t="shared" si="72"/>
        <v>2841.6330117986963</v>
      </c>
      <c r="AA291" s="5">
        <f t="shared" si="82"/>
        <v>573704.40702828357</v>
      </c>
      <c r="AB291" s="3">
        <f>Assumptions!$E$45</f>
        <v>6.9899151946608562E-3</v>
      </c>
      <c r="AC291" s="5">
        <f t="shared" si="83"/>
        <v>580556.18519201316</v>
      </c>
      <c r="AD291" s="4">
        <f>AC291*Assumptions!$E$43</f>
        <v>519.93189551584089</v>
      </c>
      <c r="AE291" s="2">
        <f>AD291*Assumptions!$D$44*-1</f>
        <v>-77.989784327376128</v>
      </c>
      <c r="AF291" s="2">
        <f>AC291*Assumptions!$E$46*-1</f>
        <v>-19.348325902832638</v>
      </c>
      <c r="AG291" s="5">
        <f t="shared" si="84"/>
        <v>580458.84708178299</v>
      </c>
      <c r="AH291" s="20">
        <f>Model_30y[[#This Row],[Mortgage Payment]]+Model_30y[[#This Row],[Total Upkeep]]+Model_30y[[#This Row],[Monthly Investment]]</f>
        <v>-6470.5011474617431</v>
      </c>
      <c r="AI291" s="5">
        <f>Model_Renter!D291*-1</f>
        <v>6652.563995532455</v>
      </c>
      <c r="AJ291" s="5">
        <f t="shared" si="77"/>
        <v>182.06284807071188</v>
      </c>
    </row>
    <row r="292" spans="1:36" x14ac:dyDescent="0.25">
      <c r="A292" s="17">
        <f t="shared" si="78"/>
        <v>290</v>
      </c>
      <c r="B292" s="17">
        <f t="shared" si="73"/>
        <v>25</v>
      </c>
      <c r="C292" s="23">
        <f>IFERROR(PPMT(Assumptions!$E$17, A292, 180, Assumptions!$D$8), 0)</f>
        <v>0</v>
      </c>
      <c r="D292" s="38">
        <f>IFERROR(IPMT(Assumptions!$E$17,A292,180,Assumptions!$D$8), 0)</f>
        <v>0</v>
      </c>
      <c r="E292" s="2">
        <f t="shared" si="79"/>
        <v>0</v>
      </c>
      <c r="F292" s="2">
        <f>IF(I291&gt;1, Assumptions!$E$19, 0)*-1</f>
        <v>0</v>
      </c>
      <c r="G292" s="24">
        <f t="shared" si="74"/>
        <v>1</v>
      </c>
      <c r="H292" s="20">
        <f t="shared" si="80"/>
        <v>339999.99999999988</v>
      </c>
      <c r="I292" s="2">
        <f>MAX(Assumptions!$D$8-SUM(Model_15y!H292), 0)</f>
        <v>1.1641532182693481E-10</v>
      </c>
      <c r="J292" s="2">
        <f>J291*(1+(Assumptions!$E$51))</f>
        <v>1381858.7650088696</v>
      </c>
      <c r="K292" s="22">
        <f t="shared" si="69"/>
        <v>1381858.7650088696</v>
      </c>
      <c r="L292" s="5">
        <f t="shared" si="81"/>
        <v>425000</v>
      </c>
      <c r="M292" s="63">
        <f>L292/Assumptions!$D$6</f>
        <v>1</v>
      </c>
      <c r="N292" s="24">
        <f t="shared" si="85"/>
        <v>0</v>
      </c>
      <c r="O292" s="22">
        <f>N292*Assumptions!$E$25*-1</f>
        <v>0</v>
      </c>
      <c r="P292" s="5">
        <f>Assumptions!$E$35*J292*-1</f>
        <v>-2846.4028039653663</v>
      </c>
      <c r="Q292" s="5">
        <f>J292*Assumptions!$E$36*-1</f>
        <v>-1146.3045142181741</v>
      </c>
      <c r="R292" s="5">
        <f>R280+R280*Assumptions!$D$51</f>
        <v>-1047.8887233783096</v>
      </c>
      <c r="S292" s="5">
        <f>S280+(S280*Assumptions!$D$51)</f>
        <v>0</v>
      </c>
      <c r="T292" s="5">
        <f t="shared" si="75"/>
        <v>0</v>
      </c>
      <c r="U292" s="22">
        <f t="shared" si="70"/>
        <v>-5040.5960415618501</v>
      </c>
      <c r="V292" s="5">
        <f>MAX(Assumptions!$E$18:$E$19)-U292</f>
        <v>7882.2290533605465</v>
      </c>
      <c r="W292" s="5">
        <f t="shared" si="71"/>
        <v>0</v>
      </c>
      <c r="X292" s="5">
        <f t="shared" si="76"/>
        <v>-5040.5960415618501</v>
      </c>
      <c r="Y292" s="5">
        <f>D292*Assumptions!$D$44*-1</f>
        <v>0</v>
      </c>
      <c r="Z292" s="5">
        <f t="shared" si="72"/>
        <v>2841.6330117986963</v>
      </c>
      <c r="AA292" s="5">
        <f t="shared" si="82"/>
        <v>580458.84708178299</v>
      </c>
      <c r="AB292" s="3">
        <f>Assumptions!$E$45</f>
        <v>6.9899151946608562E-3</v>
      </c>
      <c r="AC292" s="5">
        <f t="shared" si="83"/>
        <v>587357.83820867399</v>
      </c>
      <c r="AD292" s="4">
        <f>AC292*Assumptions!$E$43</f>
        <v>526.02328931336604</v>
      </c>
      <c r="AE292" s="2">
        <f>AD292*Assumptions!$D$44*-1</f>
        <v>-78.903493397004908</v>
      </c>
      <c r="AF292" s="2">
        <f>AC292*Assumptions!$E$46*-1</f>
        <v>-19.575006115017121</v>
      </c>
      <c r="AG292" s="5">
        <f t="shared" si="84"/>
        <v>587259.35970916192</v>
      </c>
      <c r="AH292" s="20">
        <f>Model_30y[[#This Row],[Mortgage Payment]]+Model_30y[[#This Row],[Total Upkeep]]+Model_30y[[#This Row],[Monthly Investment]]</f>
        <v>-6487.9372440745083</v>
      </c>
      <c r="AI292" s="5">
        <f>Model_Renter!D292*-1</f>
        <v>6652.563995532455</v>
      </c>
      <c r="AJ292" s="5">
        <f t="shared" si="77"/>
        <v>164.62675145794674</v>
      </c>
    </row>
    <row r="293" spans="1:36" x14ac:dyDescent="0.25">
      <c r="A293" s="17">
        <f t="shared" si="78"/>
        <v>291</v>
      </c>
      <c r="B293" s="17">
        <f t="shared" si="73"/>
        <v>25</v>
      </c>
      <c r="C293" s="23">
        <f>IFERROR(PPMT(Assumptions!$E$17, A293, 180, Assumptions!$D$8), 0)</f>
        <v>0</v>
      </c>
      <c r="D293" s="38">
        <f>IFERROR(IPMT(Assumptions!$E$17,A293,180,Assumptions!$D$8), 0)</f>
        <v>0</v>
      </c>
      <c r="E293" s="2">
        <f t="shared" si="79"/>
        <v>0</v>
      </c>
      <c r="F293" s="2">
        <f>IF(I292&gt;1, Assumptions!$E$19, 0)*-1</f>
        <v>0</v>
      </c>
      <c r="G293" s="24">
        <f t="shared" si="74"/>
        <v>1</v>
      </c>
      <c r="H293" s="20">
        <f t="shared" si="80"/>
        <v>339999.99999999988</v>
      </c>
      <c r="I293" s="2">
        <f>MAX(Assumptions!$D$8-SUM(Model_15y!H293), 0)</f>
        <v>1.1641532182693481E-10</v>
      </c>
      <c r="J293" s="2">
        <f>J292*(1+(Assumptions!$E$51))</f>
        <v>1387488.6286690352</v>
      </c>
      <c r="K293" s="22">
        <f t="shared" si="69"/>
        <v>1387488.6286690352</v>
      </c>
      <c r="L293" s="5">
        <f t="shared" si="81"/>
        <v>425000</v>
      </c>
      <c r="M293" s="63">
        <f>L293/Assumptions!$D$6</f>
        <v>1</v>
      </c>
      <c r="N293" s="24">
        <f t="shared" si="85"/>
        <v>0</v>
      </c>
      <c r="O293" s="22">
        <f>N293*Assumptions!$E$25*-1</f>
        <v>0</v>
      </c>
      <c r="P293" s="5">
        <f>Assumptions!$E$35*J293*-1</f>
        <v>-2857.9994013268451</v>
      </c>
      <c r="Q293" s="5">
        <f>J293*Assumptions!$E$36*-1</f>
        <v>-1150.9747007028539</v>
      </c>
      <c r="R293" s="5">
        <f>R281+R281*Assumptions!$D$51</f>
        <v>-1047.8887233783096</v>
      </c>
      <c r="S293" s="5">
        <f>S281+(S281*Assumptions!$D$51)</f>
        <v>0</v>
      </c>
      <c r="T293" s="5">
        <f t="shared" si="75"/>
        <v>0</v>
      </c>
      <c r="U293" s="22">
        <f t="shared" si="70"/>
        <v>-5056.8628254080086</v>
      </c>
      <c r="V293" s="5">
        <f>MAX(Assumptions!$E$18:$E$19)-U293</f>
        <v>7898.4958372067049</v>
      </c>
      <c r="W293" s="5">
        <f t="shared" si="71"/>
        <v>0</v>
      </c>
      <c r="X293" s="5">
        <f t="shared" si="76"/>
        <v>-5056.8628254080086</v>
      </c>
      <c r="Y293" s="5">
        <f>D293*Assumptions!$D$44*-1</f>
        <v>0</v>
      </c>
      <c r="Z293" s="5">
        <f t="shared" si="72"/>
        <v>2841.6330117986963</v>
      </c>
      <c r="AA293" s="5">
        <f t="shared" si="82"/>
        <v>587259.35970916192</v>
      </c>
      <c r="AB293" s="3">
        <f>Assumptions!$E$45</f>
        <v>6.9899151946608562E-3</v>
      </c>
      <c r="AC293" s="5">
        <f t="shared" si="83"/>
        <v>594205.88584259851</v>
      </c>
      <c r="AD293" s="4">
        <f>AC293*Assumptions!$E$43</f>
        <v>532.15623299341928</v>
      </c>
      <c r="AE293" s="2">
        <f>AD293*Assumptions!$D$44*-1</f>
        <v>-79.823434949012892</v>
      </c>
      <c r="AF293" s="2">
        <f>AC293*Assumptions!$E$46*-1</f>
        <v>-19.803232530993501</v>
      </c>
      <c r="AG293" s="5">
        <f t="shared" si="84"/>
        <v>594106.25917511852</v>
      </c>
      <c r="AH293" s="20">
        <f>Model_30y[[#This Row],[Mortgage Payment]]+Model_30y[[#This Row],[Total Upkeep]]+Model_30y[[#This Row],[Monthly Investment]]</f>
        <v>-6505.4462624436255</v>
      </c>
      <c r="AI293" s="5">
        <f>Model_Renter!D293*-1</f>
        <v>6652.563995532455</v>
      </c>
      <c r="AJ293" s="5">
        <f t="shared" si="77"/>
        <v>147.11773308882948</v>
      </c>
    </row>
    <row r="294" spans="1:36" x14ac:dyDescent="0.25">
      <c r="A294" s="17">
        <f t="shared" si="78"/>
        <v>292</v>
      </c>
      <c r="B294" s="17">
        <f t="shared" si="73"/>
        <v>25</v>
      </c>
      <c r="C294" s="23">
        <f>IFERROR(PPMT(Assumptions!$E$17, A294, 180, Assumptions!$D$8), 0)</f>
        <v>0</v>
      </c>
      <c r="D294" s="38">
        <f>IFERROR(IPMT(Assumptions!$E$17,A294,180,Assumptions!$D$8), 0)</f>
        <v>0</v>
      </c>
      <c r="E294" s="2">
        <f t="shared" si="79"/>
        <v>0</v>
      </c>
      <c r="F294" s="2">
        <f>IF(I293&gt;1, Assumptions!$E$19, 0)*-1</f>
        <v>0</v>
      </c>
      <c r="G294" s="24">
        <f t="shared" si="74"/>
        <v>1</v>
      </c>
      <c r="H294" s="20">
        <f t="shared" si="80"/>
        <v>339999.99999999988</v>
      </c>
      <c r="I294" s="2">
        <f>MAX(Assumptions!$D$8-SUM(Model_15y!H294), 0)</f>
        <v>1.1641532182693481E-10</v>
      </c>
      <c r="J294" s="2">
        <f>J293*(1+(Assumptions!$E$51))</f>
        <v>1393141.4290906372</v>
      </c>
      <c r="K294" s="22">
        <f t="shared" si="69"/>
        <v>1393141.4290906372</v>
      </c>
      <c r="L294" s="5">
        <f t="shared" si="81"/>
        <v>425000</v>
      </c>
      <c r="M294" s="63">
        <f>L294/Assumptions!$D$6</f>
        <v>1</v>
      </c>
      <c r="N294" s="24">
        <f t="shared" si="85"/>
        <v>0</v>
      </c>
      <c r="O294" s="22">
        <f>N294*Assumptions!$E$25*-1</f>
        <v>0</v>
      </c>
      <c r="P294" s="5">
        <f>Assumptions!$E$35*J294*-1</f>
        <v>-2869.6432446614435</v>
      </c>
      <c r="Q294" s="5">
        <f>J294*Assumptions!$E$36*-1</f>
        <v>-1155.6639141053649</v>
      </c>
      <c r="R294" s="5">
        <f>R282+R282*Assumptions!$D$51</f>
        <v>-1047.8887233783096</v>
      </c>
      <c r="S294" s="5">
        <f>S282+(S282*Assumptions!$D$51)</f>
        <v>0</v>
      </c>
      <c r="T294" s="5">
        <f t="shared" si="75"/>
        <v>0</v>
      </c>
      <c r="U294" s="22">
        <f t="shared" si="70"/>
        <v>-5073.195882145118</v>
      </c>
      <c r="V294" s="5">
        <f>MAX(Assumptions!$E$18:$E$19)-U294</f>
        <v>7914.8288939438153</v>
      </c>
      <c r="W294" s="5">
        <f t="shared" si="71"/>
        <v>0</v>
      </c>
      <c r="X294" s="5">
        <f t="shared" si="76"/>
        <v>-5073.195882145118</v>
      </c>
      <c r="Y294" s="5">
        <f>D294*Assumptions!$D$44*-1</f>
        <v>0</v>
      </c>
      <c r="Z294" s="5">
        <f t="shared" si="72"/>
        <v>2841.6330117986972</v>
      </c>
      <c r="AA294" s="5">
        <f t="shared" si="82"/>
        <v>594106.25917511852</v>
      </c>
      <c r="AB294" s="3">
        <f>Assumptions!$E$45</f>
        <v>6.9899151946608562E-3</v>
      </c>
      <c r="AC294" s="5">
        <f t="shared" si="83"/>
        <v>601100.64455516858</v>
      </c>
      <c r="AD294" s="4">
        <f>AC294*Assumptions!$E$43</f>
        <v>538.33100997106055</v>
      </c>
      <c r="AE294" s="2">
        <f>AD294*Assumptions!$D$44*-1</f>
        <v>-80.74965149565908</v>
      </c>
      <c r="AF294" s="2">
        <f>AC294*Assumptions!$E$46*-1</f>
        <v>-20.033015697541074</v>
      </c>
      <c r="AG294" s="5">
        <f t="shared" si="84"/>
        <v>600999.86188797536</v>
      </c>
      <c r="AH294" s="20">
        <f>Model_30y[[#This Row],[Mortgage Payment]]+Model_30y[[#This Row],[Total Upkeep]]+Model_30y[[#This Row],[Monthly Investment]]</f>
        <v>-6523.0285102170219</v>
      </c>
      <c r="AI294" s="5">
        <f>Model_Renter!D294*-1</f>
        <v>6652.563995532455</v>
      </c>
      <c r="AJ294" s="5">
        <f t="shared" si="77"/>
        <v>129.53548531543311</v>
      </c>
    </row>
    <row r="295" spans="1:36" x14ac:dyDescent="0.25">
      <c r="A295" s="17">
        <f t="shared" si="78"/>
        <v>293</v>
      </c>
      <c r="B295" s="17">
        <f t="shared" si="73"/>
        <v>25</v>
      </c>
      <c r="C295" s="23">
        <f>IFERROR(PPMT(Assumptions!$E$17, A295, 180, Assumptions!$D$8), 0)</f>
        <v>0</v>
      </c>
      <c r="D295" s="38">
        <f>IFERROR(IPMT(Assumptions!$E$17,A295,180,Assumptions!$D$8), 0)</f>
        <v>0</v>
      </c>
      <c r="E295" s="2">
        <f t="shared" si="79"/>
        <v>0</v>
      </c>
      <c r="F295" s="2">
        <f>IF(I294&gt;1, Assumptions!$E$19, 0)*-1</f>
        <v>0</v>
      </c>
      <c r="G295" s="24">
        <f t="shared" si="74"/>
        <v>1</v>
      </c>
      <c r="H295" s="20">
        <f t="shared" si="80"/>
        <v>339999.99999999988</v>
      </c>
      <c r="I295" s="2">
        <f>MAX(Assumptions!$D$8-SUM(Model_15y!H295), 0)</f>
        <v>1.1641532182693481E-10</v>
      </c>
      <c r="J295" s="2">
        <f>J294*(1+(Assumptions!$E$51))</f>
        <v>1398817.2597208812</v>
      </c>
      <c r="K295" s="22">
        <f t="shared" si="69"/>
        <v>1398817.259720881</v>
      </c>
      <c r="L295" s="5">
        <f t="shared" si="81"/>
        <v>425000</v>
      </c>
      <c r="M295" s="63">
        <f>L295/Assumptions!$D$6</f>
        <v>1</v>
      </c>
      <c r="N295" s="24">
        <f t="shared" si="85"/>
        <v>0</v>
      </c>
      <c r="O295" s="22">
        <f>N295*Assumptions!$E$25*-1</f>
        <v>0</v>
      </c>
      <c r="P295" s="5">
        <f>Assumptions!$E$35*J295*-1</f>
        <v>-2881.3345264551044</v>
      </c>
      <c r="Q295" s="5">
        <f>J295*Assumptions!$E$36*-1</f>
        <v>-1160.3722319437256</v>
      </c>
      <c r="R295" s="5">
        <f>R283+R283*Assumptions!$D$51</f>
        <v>-1047.8887233783096</v>
      </c>
      <c r="S295" s="5">
        <f>S283+(S283*Assumptions!$D$51)</f>
        <v>0</v>
      </c>
      <c r="T295" s="5">
        <f t="shared" si="75"/>
        <v>0</v>
      </c>
      <c r="U295" s="22">
        <f t="shared" si="70"/>
        <v>-5089.5954817771399</v>
      </c>
      <c r="V295" s="5">
        <f>MAX(Assumptions!$E$18:$E$19)-U295</f>
        <v>7931.2284935758362</v>
      </c>
      <c r="W295" s="5">
        <f t="shared" si="71"/>
        <v>0</v>
      </c>
      <c r="X295" s="5">
        <f t="shared" si="76"/>
        <v>-5089.5954817771399</v>
      </c>
      <c r="Y295" s="5">
        <f>D295*Assumptions!$D$44*-1</f>
        <v>0</v>
      </c>
      <c r="Z295" s="5">
        <f t="shared" si="72"/>
        <v>2841.6330117986963</v>
      </c>
      <c r="AA295" s="5">
        <f t="shared" si="82"/>
        <v>600999.86188797536</v>
      </c>
      <c r="AB295" s="3">
        <f>Assumptions!$E$45</f>
        <v>6.9899151946608562E-3</v>
      </c>
      <c r="AC295" s="5">
        <f t="shared" si="83"/>
        <v>608042.43296637398</v>
      </c>
      <c r="AD295" s="4">
        <f>AC295*Assumptions!$E$43</f>
        <v>544.54790559454648</v>
      </c>
      <c r="AE295" s="2">
        <f>AD295*Assumptions!$D$44*-1</f>
        <v>-81.682185839181969</v>
      </c>
      <c r="AF295" s="2">
        <f>AC295*Assumptions!$E$46*-1</f>
        <v>-20.264366233379544</v>
      </c>
      <c r="AG295" s="5">
        <f t="shared" si="84"/>
        <v>607940.48641430144</v>
      </c>
      <c r="AH295" s="20">
        <f>Model_30y[[#This Row],[Mortgage Payment]]+Model_30y[[#This Row],[Total Upkeep]]+Model_30y[[#This Row],[Monthly Investment]]</f>
        <v>-6540.6842963551335</v>
      </c>
      <c r="AI295" s="5">
        <f>Model_Renter!D295*-1</f>
        <v>6652.563995532455</v>
      </c>
      <c r="AJ295" s="5">
        <f t="shared" si="77"/>
        <v>111.87969917732153</v>
      </c>
    </row>
    <row r="296" spans="1:36" x14ac:dyDescent="0.25">
      <c r="A296" s="17">
        <f t="shared" si="78"/>
        <v>294</v>
      </c>
      <c r="B296" s="17">
        <f t="shared" si="73"/>
        <v>25</v>
      </c>
      <c r="C296" s="23">
        <f>IFERROR(PPMT(Assumptions!$E$17, A296, 180, Assumptions!$D$8), 0)</f>
        <v>0</v>
      </c>
      <c r="D296" s="38">
        <f>IFERROR(IPMT(Assumptions!$E$17,A296,180,Assumptions!$D$8), 0)</f>
        <v>0</v>
      </c>
      <c r="E296" s="2">
        <f t="shared" si="79"/>
        <v>0</v>
      </c>
      <c r="F296" s="2">
        <f>IF(I295&gt;1, Assumptions!$E$19, 0)*-1</f>
        <v>0</v>
      </c>
      <c r="G296" s="24">
        <f t="shared" si="74"/>
        <v>1</v>
      </c>
      <c r="H296" s="20">
        <f t="shared" si="80"/>
        <v>339999.99999999988</v>
      </c>
      <c r="I296" s="2">
        <f>MAX(Assumptions!$D$8-SUM(Model_15y!H296), 0)</f>
        <v>1.1641532182693481E-10</v>
      </c>
      <c r="J296" s="2">
        <f>J295*(1+(Assumptions!$E$51))</f>
        <v>1404516.2143876879</v>
      </c>
      <c r="K296" s="22">
        <f t="shared" si="69"/>
        <v>1404516.2143876879</v>
      </c>
      <c r="L296" s="5">
        <f t="shared" si="81"/>
        <v>425000</v>
      </c>
      <c r="M296" s="63">
        <f>L296/Assumptions!$D$6</f>
        <v>1</v>
      </c>
      <c r="N296" s="24">
        <f t="shared" si="85"/>
        <v>0</v>
      </c>
      <c r="O296" s="22">
        <f>N296*Assumptions!$E$25*-1</f>
        <v>0</v>
      </c>
      <c r="P296" s="5">
        <f>Assumptions!$E$35*J296*-1</f>
        <v>-2893.0734399779822</v>
      </c>
      <c r="Q296" s="5">
        <f>J296*Assumptions!$E$36*-1</f>
        <v>-1165.0997320517727</v>
      </c>
      <c r="R296" s="5">
        <f>R284+R284*Assumptions!$D$51</f>
        <v>-1047.8887233783096</v>
      </c>
      <c r="S296" s="5">
        <f>S284+(S284*Assumptions!$D$51)</f>
        <v>0</v>
      </c>
      <c r="T296" s="5">
        <f t="shared" si="75"/>
        <v>0</v>
      </c>
      <c r="U296" s="22">
        <f t="shared" si="70"/>
        <v>-5106.0618954080646</v>
      </c>
      <c r="V296" s="5">
        <f>MAX(Assumptions!$E$18:$E$19)-U296</f>
        <v>7947.6949072067619</v>
      </c>
      <c r="W296" s="5">
        <f t="shared" si="71"/>
        <v>0</v>
      </c>
      <c r="X296" s="5">
        <f t="shared" si="76"/>
        <v>-5106.0618954080646</v>
      </c>
      <c r="Y296" s="5">
        <f>D296*Assumptions!$D$44*-1</f>
        <v>0</v>
      </c>
      <c r="Z296" s="5">
        <f t="shared" si="72"/>
        <v>2841.6330117986972</v>
      </c>
      <c r="AA296" s="5">
        <f t="shared" si="82"/>
        <v>607940.48641430144</v>
      </c>
      <c r="AB296" s="3">
        <f>Assumptions!$E$45</f>
        <v>6.9899151946608562E-3</v>
      </c>
      <c r="AC296" s="5">
        <f t="shared" si="83"/>
        <v>615031.571869537</v>
      </c>
      <c r="AD296" s="4">
        <f>AC296*Assumptions!$E$43</f>
        <v>550.80720715851692</v>
      </c>
      <c r="AE296" s="2">
        <f>AD296*Assumptions!$D$44*-1</f>
        <v>-82.621081073777532</v>
      </c>
      <c r="AF296" s="2">
        <f>AC296*Assumptions!$E$46*-1</f>
        <v>-20.497294829659744</v>
      </c>
      <c r="AG296" s="5">
        <f t="shared" si="84"/>
        <v>614928.45349363354</v>
      </c>
      <c r="AH296" s="20">
        <f>Model_30y[[#This Row],[Mortgage Payment]]+Model_30y[[#This Row],[Total Upkeep]]+Model_30y[[#This Row],[Monthly Investment]]</f>
        <v>-6558.4139311365825</v>
      </c>
      <c r="AI296" s="5">
        <f>Model_Renter!D296*-1</f>
        <v>6652.563995532455</v>
      </c>
      <c r="AJ296" s="5">
        <f t="shared" si="77"/>
        <v>94.150064395872505</v>
      </c>
    </row>
    <row r="297" spans="1:36" x14ac:dyDescent="0.25">
      <c r="A297" s="17">
        <f t="shared" si="78"/>
        <v>295</v>
      </c>
      <c r="B297" s="17">
        <f t="shared" si="73"/>
        <v>25</v>
      </c>
      <c r="C297" s="23">
        <f>IFERROR(PPMT(Assumptions!$E$17, A297, 180, Assumptions!$D$8), 0)</f>
        <v>0</v>
      </c>
      <c r="D297" s="38">
        <f>IFERROR(IPMT(Assumptions!$E$17,A297,180,Assumptions!$D$8), 0)</f>
        <v>0</v>
      </c>
      <c r="E297" s="2">
        <f t="shared" si="79"/>
        <v>0</v>
      </c>
      <c r="F297" s="2">
        <f>IF(I296&gt;1, Assumptions!$E$19, 0)*-1</f>
        <v>0</v>
      </c>
      <c r="G297" s="24">
        <f t="shared" si="74"/>
        <v>1</v>
      </c>
      <c r="H297" s="20">
        <f t="shared" si="80"/>
        <v>339999.99999999988</v>
      </c>
      <c r="I297" s="2">
        <f>MAX(Assumptions!$D$8-SUM(Model_15y!H297), 0)</f>
        <v>1.1641532182693481E-10</v>
      </c>
      <c r="J297" s="2">
        <f>J296*(1+(Assumptions!$E$51))</f>
        <v>1410238.3873012445</v>
      </c>
      <c r="K297" s="22">
        <f t="shared" si="69"/>
        <v>1410238.3873012443</v>
      </c>
      <c r="L297" s="5">
        <f t="shared" si="81"/>
        <v>425000</v>
      </c>
      <c r="M297" s="63">
        <f>L297/Assumptions!$D$6</f>
        <v>1</v>
      </c>
      <c r="N297" s="24">
        <f t="shared" si="85"/>
        <v>0</v>
      </c>
      <c r="O297" s="22">
        <f>N297*Assumptions!$E$25*-1</f>
        <v>0</v>
      </c>
      <c r="P297" s="5">
        <f>Assumptions!$E$35*J297*-1</f>
        <v>-2904.8601792876379</v>
      </c>
      <c r="Q297" s="5">
        <f>J297*Assumptions!$E$36*-1</f>
        <v>-1169.8464925804471</v>
      </c>
      <c r="R297" s="5">
        <f>R285+R285*Assumptions!$D$51</f>
        <v>-1047.8887233783096</v>
      </c>
      <c r="S297" s="5">
        <f>S285+(S285*Assumptions!$D$51)</f>
        <v>0</v>
      </c>
      <c r="T297" s="5">
        <f t="shared" si="75"/>
        <v>0</v>
      </c>
      <c r="U297" s="22">
        <f t="shared" si="70"/>
        <v>-5122.5953952463951</v>
      </c>
      <c r="V297" s="5">
        <f>MAX(Assumptions!$E$18:$E$19)-U297</f>
        <v>7964.2284070450914</v>
      </c>
      <c r="W297" s="5">
        <f t="shared" si="71"/>
        <v>0</v>
      </c>
      <c r="X297" s="5">
        <f t="shared" si="76"/>
        <v>-5122.5953952463951</v>
      </c>
      <c r="Y297" s="5">
        <f>D297*Assumptions!$D$44*-1</f>
        <v>0</v>
      </c>
      <c r="Z297" s="5">
        <f t="shared" si="72"/>
        <v>2841.6330117986963</v>
      </c>
      <c r="AA297" s="5">
        <f t="shared" si="82"/>
        <v>614928.45349363354</v>
      </c>
      <c r="AB297" s="3">
        <f>Assumptions!$E$45</f>
        <v>6.9899151946608562E-3</v>
      </c>
      <c r="AC297" s="5">
        <f t="shared" si="83"/>
        <v>622068.38424613676</v>
      </c>
      <c r="AD297" s="4">
        <f>AC297*Assumptions!$E$43</f>
        <v>557.1092039172712</v>
      </c>
      <c r="AE297" s="2">
        <f>AD297*Assumptions!$D$44*-1</f>
        <v>-83.566380587590672</v>
      </c>
      <c r="AF297" s="2">
        <f>AC297*Assumptions!$E$46*-1</f>
        <v>-20.731812250457715</v>
      </c>
      <c r="AG297" s="5">
        <f t="shared" si="84"/>
        <v>621964.08605329867</v>
      </c>
      <c r="AH297" s="20">
        <f>Model_30y[[#This Row],[Mortgage Payment]]+Model_30y[[#This Row],[Total Upkeep]]+Model_30y[[#This Row],[Monthly Investment]]</f>
        <v>-6576.2177261638799</v>
      </c>
      <c r="AI297" s="5">
        <f>Model_Renter!D297*-1</f>
        <v>6652.563995532455</v>
      </c>
      <c r="AJ297" s="5">
        <f t="shared" si="77"/>
        <v>76.346269368575122</v>
      </c>
    </row>
    <row r="298" spans="1:36" x14ac:dyDescent="0.25">
      <c r="A298" s="17">
        <f t="shared" si="78"/>
        <v>296</v>
      </c>
      <c r="B298" s="17">
        <f t="shared" si="73"/>
        <v>25</v>
      </c>
      <c r="C298" s="23">
        <f>IFERROR(PPMT(Assumptions!$E$17, A298, 180, Assumptions!$D$8), 0)</f>
        <v>0</v>
      </c>
      <c r="D298" s="38">
        <f>IFERROR(IPMT(Assumptions!$E$17,A298,180,Assumptions!$D$8), 0)</f>
        <v>0</v>
      </c>
      <c r="E298" s="2">
        <f t="shared" si="79"/>
        <v>0</v>
      </c>
      <c r="F298" s="2">
        <f>IF(I297&gt;1, Assumptions!$E$19, 0)*-1</f>
        <v>0</v>
      </c>
      <c r="G298" s="24">
        <f t="shared" si="74"/>
        <v>1</v>
      </c>
      <c r="H298" s="20">
        <f t="shared" si="80"/>
        <v>339999.99999999988</v>
      </c>
      <c r="I298" s="2">
        <f>MAX(Assumptions!$D$8-SUM(Model_15y!H298), 0)</f>
        <v>1.1641532182693481E-10</v>
      </c>
      <c r="J298" s="2">
        <f>J297*(1+(Assumptions!$E$51))</f>
        <v>1415983.8730555624</v>
      </c>
      <c r="K298" s="22">
        <f t="shared" si="69"/>
        <v>1415983.8730555624</v>
      </c>
      <c r="L298" s="5">
        <f t="shared" si="81"/>
        <v>425000</v>
      </c>
      <c r="M298" s="63">
        <f>L298/Assumptions!$D$6</f>
        <v>1</v>
      </c>
      <c r="N298" s="24">
        <f t="shared" si="85"/>
        <v>0</v>
      </c>
      <c r="O298" s="22">
        <f>N298*Assumptions!$E$25*-1</f>
        <v>0</v>
      </c>
      <c r="P298" s="5">
        <f>Assumptions!$E$35*J298*-1</f>
        <v>-2916.6949392322467</v>
      </c>
      <c r="Q298" s="5">
        <f>J298*Assumptions!$E$36*-1</f>
        <v>-1174.6125919990868</v>
      </c>
      <c r="R298" s="5">
        <f>R286+R286*Assumptions!$D$51</f>
        <v>-1047.8887233783096</v>
      </c>
      <c r="S298" s="5">
        <f>S286+(S286*Assumptions!$D$51)</f>
        <v>0</v>
      </c>
      <c r="T298" s="5">
        <f t="shared" si="75"/>
        <v>0</v>
      </c>
      <c r="U298" s="22">
        <f t="shared" si="70"/>
        <v>-5139.1962546096429</v>
      </c>
      <c r="V298" s="5">
        <f>MAX(Assumptions!$E$18:$E$19)-U298</f>
        <v>7980.8292664083401</v>
      </c>
      <c r="W298" s="5">
        <f t="shared" si="71"/>
        <v>0</v>
      </c>
      <c r="X298" s="5">
        <f t="shared" si="76"/>
        <v>-5139.1962546096429</v>
      </c>
      <c r="Y298" s="5">
        <f>D298*Assumptions!$D$44*-1</f>
        <v>0</v>
      </c>
      <c r="Z298" s="5">
        <f t="shared" si="72"/>
        <v>2841.6330117986972</v>
      </c>
      <c r="AA298" s="5">
        <f t="shared" si="82"/>
        <v>621964.08605329867</v>
      </c>
      <c r="AB298" s="3">
        <f>Assumptions!$E$45</f>
        <v>6.9899151946608562E-3</v>
      </c>
      <c r="AC298" s="5">
        <f t="shared" si="83"/>
        <v>629153.19528073468</v>
      </c>
      <c r="AD298" s="4">
        <f>AC298*Assumptions!$E$43</f>
        <v>563.45418709813544</v>
      </c>
      <c r="AE298" s="2">
        <f>AD298*Assumptions!$D$44*-1</f>
        <v>-84.518128064720315</v>
      </c>
      <c r="AF298" s="2">
        <f>AC298*Assumptions!$E$46*-1</f>
        <v>-20.967929333272096</v>
      </c>
      <c r="AG298" s="5">
        <f t="shared" si="84"/>
        <v>629047.70922333666</v>
      </c>
      <c r="AH298" s="20">
        <f>Model_30y[[#This Row],[Mortgage Payment]]+Model_30y[[#This Row],[Total Upkeep]]+Model_30y[[#This Row],[Monthly Investment]]</f>
        <v>-6594.0959943691532</v>
      </c>
      <c r="AI298" s="5">
        <f>Model_Renter!D298*-1</f>
        <v>6652.563995532455</v>
      </c>
      <c r="AJ298" s="5">
        <f t="shared" si="77"/>
        <v>58.468001163301778</v>
      </c>
    </row>
    <row r="299" spans="1:36" x14ac:dyDescent="0.25">
      <c r="A299" s="17">
        <f t="shared" si="78"/>
        <v>297</v>
      </c>
      <c r="B299" s="17">
        <f t="shared" si="73"/>
        <v>25</v>
      </c>
      <c r="C299" s="23">
        <f>IFERROR(PPMT(Assumptions!$E$17, A299, 180, Assumptions!$D$8), 0)</f>
        <v>0</v>
      </c>
      <c r="D299" s="38">
        <f>IFERROR(IPMT(Assumptions!$E$17,A299,180,Assumptions!$D$8), 0)</f>
        <v>0</v>
      </c>
      <c r="E299" s="2">
        <f t="shared" si="79"/>
        <v>0</v>
      </c>
      <c r="F299" s="2">
        <f>IF(I298&gt;1, Assumptions!$E$19, 0)*-1</f>
        <v>0</v>
      </c>
      <c r="G299" s="24">
        <f t="shared" si="74"/>
        <v>1</v>
      </c>
      <c r="H299" s="20">
        <f t="shared" si="80"/>
        <v>339999.99999999988</v>
      </c>
      <c r="I299" s="2">
        <f>MAX(Assumptions!$D$8-SUM(Model_15y!H299), 0)</f>
        <v>1.1641532182693481E-10</v>
      </c>
      <c r="J299" s="2">
        <f>J298*(1+(Assumptions!$E$51))</f>
        <v>1421752.7666300405</v>
      </c>
      <c r="K299" s="22">
        <f t="shared" si="69"/>
        <v>1421752.7666300405</v>
      </c>
      <c r="L299" s="5">
        <f t="shared" si="81"/>
        <v>425000</v>
      </c>
      <c r="M299" s="63">
        <f>L299/Assumptions!$D$6</f>
        <v>1</v>
      </c>
      <c r="N299" s="24">
        <f t="shared" si="85"/>
        <v>0</v>
      </c>
      <c r="O299" s="22">
        <f>N299*Assumptions!$E$25*-1</f>
        <v>0</v>
      </c>
      <c r="P299" s="5">
        <f>Assumptions!$E$35*J299*-1</f>
        <v>-2928.5779154538195</v>
      </c>
      <c r="Q299" s="5">
        <f>J299*Assumptions!$E$36*-1</f>
        <v>-1179.3981090967229</v>
      </c>
      <c r="R299" s="5">
        <f>R287+R287*Assumptions!$D$51</f>
        <v>-1047.8887233783096</v>
      </c>
      <c r="S299" s="5">
        <f>S287+(S287*Assumptions!$D$51)</f>
        <v>0</v>
      </c>
      <c r="T299" s="5">
        <f t="shared" si="75"/>
        <v>0</v>
      </c>
      <c r="U299" s="22">
        <f t="shared" si="70"/>
        <v>-5155.864747928852</v>
      </c>
      <c r="V299" s="5">
        <f>MAX(Assumptions!$E$18:$E$19)-U299</f>
        <v>7997.4977597275483</v>
      </c>
      <c r="W299" s="5">
        <f t="shared" si="71"/>
        <v>0</v>
      </c>
      <c r="X299" s="5">
        <f t="shared" si="76"/>
        <v>-5155.864747928852</v>
      </c>
      <c r="Y299" s="5">
        <f>D299*Assumptions!$D$44*-1</f>
        <v>0</v>
      </c>
      <c r="Z299" s="5">
        <f t="shared" si="72"/>
        <v>2841.6330117986963</v>
      </c>
      <c r="AA299" s="5">
        <f t="shared" si="82"/>
        <v>629047.70922333666</v>
      </c>
      <c r="AB299" s="3">
        <f>Assumptions!$E$45</f>
        <v>6.9899151946608562E-3</v>
      </c>
      <c r="AC299" s="5">
        <f t="shared" si="83"/>
        <v>636286.33237600222</v>
      </c>
      <c r="AD299" s="4">
        <f>AC299*Assumptions!$E$43</f>
        <v>569.84244991492073</v>
      </c>
      <c r="AE299" s="2">
        <f>AD299*Assumptions!$D$44*-1</f>
        <v>-85.476367487238107</v>
      </c>
      <c r="AF299" s="2">
        <f>AC299*Assumptions!$E$46*-1</f>
        <v>-21.205656989524996</v>
      </c>
      <c r="AG299" s="5">
        <f t="shared" si="84"/>
        <v>636179.6503515254</v>
      </c>
      <c r="AH299" s="20">
        <f>Model_30y[[#This Row],[Mortgage Payment]]+Model_30y[[#This Row],[Total Upkeep]]+Model_30y[[#This Row],[Monthly Investment]]</f>
        <v>-6612.049050019903</v>
      </c>
      <c r="AI299" s="5">
        <f>Model_Renter!D299*-1</f>
        <v>6652.563995532455</v>
      </c>
      <c r="AJ299" s="5">
        <f t="shared" si="77"/>
        <v>40.514945512552003</v>
      </c>
    </row>
    <row r="300" spans="1:36" x14ac:dyDescent="0.25">
      <c r="A300" s="17">
        <f t="shared" si="78"/>
        <v>298</v>
      </c>
      <c r="B300" s="17">
        <f t="shared" si="73"/>
        <v>25</v>
      </c>
      <c r="C300" s="23">
        <f>IFERROR(PPMT(Assumptions!$E$17, A300, 180, Assumptions!$D$8), 0)</f>
        <v>0</v>
      </c>
      <c r="D300" s="38">
        <f>IFERROR(IPMT(Assumptions!$E$17,A300,180,Assumptions!$D$8), 0)</f>
        <v>0</v>
      </c>
      <c r="E300" s="2">
        <f t="shared" si="79"/>
        <v>0</v>
      </c>
      <c r="F300" s="2">
        <f>IF(I299&gt;1, Assumptions!$E$19, 0)*-1</f>
        <v>0</v>
      </c>
      <c r="G300" s="24">
        <f t="shared" si="74"/>
        <v>1</v>
      </c>
      <c r="H300" s="20">
        <f t="shared" si="80"/>
        <v>339999.99999999988</v>
      </c>
      <c r="I300" s="2">
        <f>MAX(Assumptions!$D$8-SUM(Model_15y!H300), 0)</f>
        <v>1.1641532182693481E-10</v>
      </c>
      <c r="J300" s="2">
        <f>J299*(1+(Assumptions!$E$51))</f>
        <v>1427545.1633910357</v>
      </c>
      <c r="K300" s="22">
        <f t="shared" si="69"/>
        <v>1427545.1633910355</v>
      </c>
      <c r="L300" s="5">
        <f t="shared" si="81"/>
        <v>425000</v>
      </c>
      <c r="M300" s="63">
        <f>L300/Assumptions!$D$6</f>
        <v>1</v>
      </c>
      <c r="N300" s="24">
        <f t="shared" si="85"/>
        <v>0</v>
      </c>
      <c r="O300" s="22">
        <f>N300*Assumptions!$E$25*-1</f>
        <v>0</v>
      </c>
      <c r="P300" s="5">
        <f>Assumptions!$E$35*J300*-1</f>
        <v>-2940.5093043914371</v>
      </c>
      <c r="Q300" s="5">
        <f>J300*Assumptions!$E$36*-1</f>
        <v>-1184.2031229833838</v>
      </c>
      <c r="R300" s="5">
        <f>R288+R288*Assumptions!$D$51</f>
        <v>-1047.8887233783096</v>
      </c>
      <c r="S300" s="5">
        <f>S288+(S288*Assumptions!$D$51)</f>
        <v>0</v>
      </c>
      <c r="T300" s="5">
        <f t="shared" si="75"/>
        <v>0</v>
      </c>
      <c r="U300" s="22">
        <f t="shared" si="70"/>
        <v>-5172.6011507531312</v>
      </c>
      <c r="V300" s="5">
        <f>MAX(Assumptions!$E$18:$E$19)-U300</f>
        <v>8014.2341625518275</v>
      </c>
      <c r="W300" s="5">
        <f t="shared" si="71"/>
        <v>0</v>
      </c>
      <c r="X300" s="5">
        <f t="shared" si="76"/>
        <v>-5172.6011507531312</v>
      </c>
      <c r="Y300" s="5">
        <f>D300*Assumptions!$D$44*-1</f>
        <v>0</v>
      </c>
      <c r="Z300" s="5">
        <f t="shared" si="72"/>
        <v>2841.6330117986963</v>
      </c>
      <c r="AA300" s="5">
        <f t="shared" si="82"/>
        <v>636179.6503515254</v>
      </c>
      <c r="AB300" s="3">
        <f>Assumptions!$E$45</f>
        <v>6.9899151946608562E-3</v>
      </c>
      <c r="AC300" s="5">
        <f t="shared" si="83"/>
        <v>643468.12516785029</v>
      </c>
      <c r="AD300" s="4">
        <f>AC300*Assumptions!$E$43</f>
        <v>576.27428758147244</v>
      </c>
      <c r="AE300" s="2">
        <f>AD300*Assumptions!$D$44*-1</f>
        <v>-86.441143137220863</v>
      </c>
      <c r="AF300" s="2">
        <f>AC300*Assumptions!$E$46*-1</f>
        <v>-21.445006205066182</v>
      </c>
      <c r="AG300" s="5">
        <f t="shared" si="84"/>
        <v>643360.239018508</v>
      </c>
      <c r="AH300" s="20">
        <f>Model_30y[[#This Row],[Mortgage Payment]]+Model_30y[[#This Row],[Total Upkeep]]+Model_30y[[#This Row],[Monthly Investment]]</f>
        <v>-6630.0772087247797</v>
      </c>
      <c r="AI300" s="5">
        <f>Model_Renter!D300*-1</f>
        <v>6652.563995532455</v>
      </c>
      <c r="AJ300" s="5">
        <f t="shared" si="77"/>
        <v>22.486786807675344</v>
      </c>
    </row>
    <row r="301" spans="1:36" x14ac:dyDescent="0.25">
      <c r="A301" s="17">
        <f t="shared" si="78"/>
        <v>299</v>
      </c>
      <c r="B301" s="17">
        <f t="shared" si="73"/>
        <v>25</v>
      </c>
      <c r="C301" s="23">
        <f>IFERROR(PPMT(Assumptions!$E$17, A301, 180, Assumptions!$D$8), 0)</f>
        <v>0</v>
      </c>
      <c r="D301" s="38">
        <f>IFERROR(IPMT(Assumptions!$E$17,A301,180,Assumptions!$D$8), 0)</f>
        <v>0</v>
      </c>
      <c r="E301" s="2">
        <f t="shared" si="79"/>
        <v>0</v>
      </c>
      <c r="F301" s="2">
        <f>IF(I300&gt;1, Assumptions!$E$19, 0)*-1</f>
        <v>0</v>
      </c>
      <c r="G301" s="24">
        <f t="shared" si="74"/>
        <v>1</v>
      </c>
      <c r="H301" s="20">
        <f t="shared" si="80"/>
        <v>339999.99999999988</v>
      </c>
      <c r="I301" s="2">
        <f>MAX(Assumptions!$D$8-SUM(Model_15y!H301), 0)</f>
        <v>1.1641532182693481E-10</v>
      </c>
      <c r="J301" s="2">
        <f>J300*(1+(Assumptions!$E$51))</f>
        <v>1433361.1590934393</v>
      </c>
      <c r="K301" s="22">
        <f t="shared" si="69"/>
        <v>1433361.1590934391</v>
      </c>
      <c r="L301" s="5">
        <f t="shared" si="81"/>
        <v>425000</v>
      </c>
      <c r="M301" s="63">
        <f>L301/Assumptions!$D$6</f>
        <v>1</v>
      </c>
      <c r="N301" s="24">
        <f t="shared" si="85"/>
        <v>0</v>
      </c>
      <c r="O301" s="22">
        <f>N301*Assumptions!$E$25*-1</f>
        <v>0</v>
      </c>
      <c r="P301" s="5">
        <f>Assumptions!$E$35*J301*-1</f>
        <v>-2952.4893032844975</v>
      </c>
      <c r="Q301" s="5">
        <f>J301*Assumptions!$E$36*-1</f>
        <v>-1189.027713091401</v>
      </c>
      <c r="R301" s="5">
        <f>R289+R289*Assumptions!$D$51</f>
        <v>-1047.8887233783096</v>
      </c>
      <c r="S301" s="5">
        <f>S289+(S289*Assumptions!$D$51)</f>
        <v>0</v>
      </c>
      <c r="T301" s="5">
        <f t="shared" si="75"/>
        <v>0</v>
      </c>
      <c r="U301" s="22">
        <f t="shared" si="70"/>
        <v>-5189.4057397542083</v>
      </c>
      <c r="V301" s="5">
        <f>MAX(Assumptions!$E$18:$E$19)-U301</f>
        <v>8031.0387515529055</v>
      </c>
      <c r="W301" s="5">
        <f t="shared" si="71"/>
        <v>0</v>
      </c>
      <c r="X301" s="5">
        <f t="shared" si="76"/>
        <v>-5189.4057397542083</v>
      </c>
      <c r="Y301" s="5">
        <f>D301*Assumptions!$D$44*-1</f>
        <v>0</v>
      </c>
      <c r="Z301" s="5">
        <f t="shared" si="72"/>
        <v>2841.6330117986972</v>
      </c>
      <c r="AA301" s="5">
        <f t="shared" si="82"/>
        <v>643360.239018508</v>
      </c>
      <c r="AB301" s="3">
        <f>Assumptions!$E$45</f>
        <v>6.9899151946608562E-3</v>
      </c>
      <c r="AC301" s="5">
        <f t="shared" si="83"/>
        <v>650698.90554066282</v>
      </c>
      <c r="AD301" s="4">
        <f>AC301*Assumptions!$E$43</f>
        <v>582.74999732531353</v>
      </c>
      <c r="AE301" s="2">
        <f>AD301*Assumptions!$D$44*-1</f>
        <v>-87.412499598797027</v>
      </c>
      <c r="AF301" s="2">
        <f>AC301*Assumptions!$E$46*-1</f>
        <v>-21.685988040680783</v>
      </c>
      <c r="AG301" s="5">
        <f t="shared" si="84"/>
        <v>650589.80705302337</v>
      </c>
      <c r="AH301" s="20">
        <f>Model_30y[[#This Row],[Mortgage Payment]]+Model_30y[[#This Row],[Total Upkeep]]+Model_30y[[#This Row],[Monthly Investment]]</f>
        <v>-6648.1807874393853</v>
      </c>
      <c r="AI301" s="5">
        <f>Model_Renter!D301*-1</f>
        <v>6652.563995532455</v>
      </c>
      <c r="AJ301" s="5">
        <f t="shared" si="77"/>
        <v>4.3832080930696975</v>
      </c>
    </row>
    <row r="302" spans="1:36" x14ac:dyDescent="0.25">
      <c r="A302" s="17">
        <f t="shared" si="78"/>
        <v>300</v>
      </c>
      <c r="B302" s="17">
        <f t="shared" si="73"/>
        <v>25</v>
      </c>
      <c r="C302" s="23">
        <f>IFERROR(PPMT(Assumptions!$E$17, A302, 180, Assumptions!$D$8), 0)</f>
        <v>0</v>
      </c>
      <c r="D302" s="38">
        <f>IFERROR(IPMT(Assumptions!$E$17,A302,180,Assumptions!$D$8), 0)</f>
        <v>0</v>
      </c>
      <c r="E302" s="2">
        <f t="shared" si="79"/>
        <v>0</v>
      </c>
      <c r="F302" s="2">
        <f>IF(I301&gt;1, Assumptions!$E$19, 0)*-1</f>
        <v>0</v>
      </c>
      <c r="G302" s="24">
        <f t="shared" si="74"/>
        <v>1</v>
      </c>
      <c r="H302" s="20">
        <f t="shared" si="80"/>
        <v>339999.99999999988</v>
      </c>
      <c r="I302" s="2">
        <f>MAX(Assumptions!$D$8-SUM(Model_15y!H302), 0)</f>
        <v>1.1641532182693481E-10</v>
      </c>
      <c r="J302" s="2">
        <f>J301*(1+(Assumptions!$E$51))</f>
        <v>1439200.8498822597</v>
      </c>
      <c r="K302" s="22">
        <f t="shared" si="69"/>
        <v>1439200.8498822595</v>
      </c>
      <c r="L302" s="5">
        <f t="shared" si="81"/>
        <v>425000</v>
      </c>
      <c r="M302" s="63">
        <f>L302/Assumptions!$D$6</f>
        <v>1</v>
      </c>
      <c r="N302" s="24">
        <f t="shared" si="85"/>
        <v>0</v>
      </c>
      <c r="O302" s="22">
        <f>N302*Assumptions!$E$25*-1</f>
        <v>0</v>
      </c>
      <c r="P302" s="5">
        <f>Assumptions!$E$35*J302*-1</f>
        <v>-2964.5181101759763</v>
      </c>
      <c r="Q302" s="5">
        <f>J302*Assumptions!$E$36*-1</f>
        <v>-1193.8719591767237</v>
      </c>
      <c r="R302" s="5">
        <f>R290+R290*Assumptions!$D$51</f>
        <v>-1047.8887233783096</v>
      </c>
      <c r="S302" s="5">
        <f>S290+(S290*Assumptions!$D$51)</f>
        <v>0</v>
      </c>
      <c r="T302" s="5">
        <f t="shared" si="75"/>
        <v>0</v>
      </c>
      <c r="U302" s="22">
        <f t="shared" si="70"/>
        <v>-5206.2787927310101</v>
      </c>
      <c r="V302" s="5">
        <f>MAX(Assumptions!$E$18:$E$19)-U302</f>
        <v>8047.9118045297073</v>
      </c>
      <c r="W302" s="5">
        <f t="shared" si="71"/>
        <v>0</v>
      </c>
      <c r="X302" s="5">
        <f t="shared" si="76"/>
        <v>-5206.2787927310101</v>
      </c>
      <c r="Y302" s="5">
        <f>D302*Assumptions!$D$44*-1</f>
        <v>0</v>
      </c>
      <c r="Z302" s="5">
        <f t="shared" si="72"/>
        <v>2841.6330117986972</v>
      </c>
      <c r="AA302" s="5">
        <f t="shared" si="82"/>
        <v>650589.80705302337</v>
      </c>
      <c r="AB302" s="3">
        <f>Assumptions!$E$45</f>
        <v>6.9899151946608562E-3</v>
      </c>
      <c r="AC302" s="5">
        <f t="shared" si="83"/>
        <v>657979.00764263351</v>
      </c>
      <c r="AD302" s="4">
        <f>AC302*Assumptions!$E$43</f>
        <v>589.26987840137951</v>
      </c>
      <c r="AE302" s="2">
        <f>AD302*Assumptions!$D$44*-1</f>
        <v>-88.390481760206924</v>
      </c>
      <c r="AF302" s="2">
        <f>AC302*Assumptions!$E$46*-1</f>
        <v>-21.928613632600435</v>
      </c>
      <c r="AG302" s="5">
        <f t="shared" si="84"/>
        <v>657868.68854724069</v>
      </c>
      <c r="AH302" s="20">
        <f>Model_30y[[#This Row],[Mortgage Payment]]+Model_30y[[#This Row],[Total Upkeep]]+Model_30y[[#This Row],[Monthly Investment]]</f>
        <v>-6666.3601044721117</v>
      </c>
      <c r="AI302" s="5">
        <f>Model_Renter!D302*-1</f>
        <v>6652.563995532455</v>
      </c>
      <c r="AJ302" s="5">
        <f t="shared" si="77"/>
        <v>-13.796108939656733</v>
      </c>
    </row>
    <row r="303" spans="1:36" x14ac:dyDescent="0.25">
      <c r="A303" s="17">
        <f t="shared" si="78"/>
        <v>301</v>
      </c>
      <c r="B303" s="17">
        <f t="shared" si="73"/>
        <v>26</v>
      </c>
      <c r="C303" s="23">
        <f>IFERROR(PPMT(Assumptions!$E$17, A303, 180, Assumptions!$D$8), 0)</f>
        <v>0</v>
      </c>
      <c r="D303" s="38">
        <f>IFERROR(IPMT(Assumptions!$E$17,A303,180,Assumptions!$D$8), 0)</f>
        <v>0</v>
      </c>
      <c r="E303" s="2">
        <f t="shared" si="79"/>
        <v>0</v>
      </c>
      <c r="F303" s="2">
        <f>IF(I302&gt;1, Assumptions!$E$19, 0)*-1</f>
        <v>0</v>
      </c>
      <c r="G303" s="24">
        <f t="shared" si="74"/>
        <v>1</v>
      </c>
      <c r="H303" s="20">
        <f t="shared" si="80"/>
        <v>339999.99999999988</v>
      </c>
      <c r="I303" s="2">
        <f>MAX(Assumptions!$D$8-SUM(Model_15y!H303), 0)</f>
        <v>1.1641532182693481E-10</v>
      </c>
      <c r="J303" s="2">
        <f>J302*(1+(Assumptions!$E$51))</f>
        <v>1445064.332294212</v>
      </c>
      <c r="K303" s="22">
        <f t="shared" si="69"/>
        <v>1445064.3322942117</v>
      </c>
      <c r="L303" s="5">
        <f t="shared" si="81"/>
        <v>425000</v>
      </c>
      <c r="M303" s="63">
        <f>L303/Assumptions!$D$6</f>
        <v>1</v>
      </c>
      <c r="N303" s="24">
        <f t="shared" si="85"/>
        <v>0</v>
      </c>
      <c r="O303" s="22">
        <f>N303*Assumptions!$E$25*-1</f>
        <v>0</v>
      </c>
      <c r="P303" s="5">
        <f>Assumptions!$E$35*J303*-1</f>
        <v>-2976.5959239157005</v>
      </c>
      <c r="Q303" s="5">
        <f>J303*Assumptions!$E$36*-1</f>
        <v>-1198.7359413202366</v>
      </c>
      <c r="R303" s="5">
        <f>R291+R291*Assumptions!$D$51</f>
        <v>-1100.2831595472251</v>
      </c>
      <c r="S303" s="5">
        <f>S291+(S291*Assumptions!$D$51)</f>
        <v>0</v>
      </c>
      <c r="T303" s="5">
        <f t="shared" si="75"/>
        <v>0</v>
      </c>
      <c r="U303" s="22">
        <f t="shared" si="70"/>
        <v>-5275.6150247831629</v>
      </c>
      <c r="V303" s="5">
        <f>MAX(Assumptions!$E$18:$E$19)-U303</f>
        <v>8117.2480365818592</v>
      </c>
      <c r="W303" s="5">
        <f t="shared" si="71"/>
        <v>0</v>
      </c>
      <c r="X303" s="5">
        <f t="shared" si="76"/>
        <v>-5275.6150247831629</v>
      </c>
      <c r="Y303" s="5">
        <f>D303*Assumptions!$D$44*-1</f>
        <v>0</v>
      </c>
      <c r="Z303" s="5">
        <f t="shared" si="72"/>
        <v>2841.6330117986963</v>
      </c>
      <c r="AA303" s="5">
        <f t="shared" si="82"/>
        <v>657868.68854724069</v>
      </c>
      <c r="AB303" s="3">
        <f>Assumptions!$E$45</f>
        <v>6.9899151946608562E-3</v>
      </c>
      <c r="AC303" s="5">
        <f t="shared" si="83"/>
        <v>665308.76790120732</v>
      </c>
      <c r="AD303" s="4">
        <f>AC303*Assumptions!$E$43</f>
        <v>595.83423210584749</v>
      </c>
      <c r="AE303" s="2">
        <f>AD303*Assumptions!$D$44*-1</f>
        <v>-89.375134815877118</v>
      </c>
      <c r="AF303" s="2">
        <f>AC303*Assumptions!$E$46*-1</f>
        <v>-22.172894193017875</v>
      </c>
      <c r="AG303" s="5">
        <f t="shared" si="84"/>
        <v>665197.21987219842</v>
      </c>
      <c r="AH303" s="20">
        <f>Model_30y[[#This Row],[Mortgage Payment]]+Model_30y[[#This Row],[Total Upkeep]]+Model_30y[[#This Row],[Monthly Investment]]</f>
        <v>-6737.0099156589022</v>
      </c>
      <c r="AI303" s="5">
        <f>Model_Renter!D303*-1</f>
        <v>6901.3698889653697</v>
      </c>
      <c r="AJ303" s="5">
        <f t="shared" si="77"/>
        <v>164.35997330646751</v>
      </c>
    </row>
    <row r="304" spans="1:36" x14ac:dyDescent="0.25">
      <c r="A304" s="17">
        <f t="shared" si="78"/>
        <v>302</v>
      </c>
      <c r="B304" s="17">
        <f t="shared" si="73"/>
        <v>26</v>
      </c>
      <c r="C304" s="23">
        <f>IFERROR(PPMT(Assumptions!$E$17, A304, 180, Assumptions!$D$8), 0)</f>
        <v>0</v>
      </c>
      <c r="D304" s="38">
        <f>IFERROR(IPMT(Assumptions!$E$17,A304,180,Assumptions!$D$8), 0)</f>
        <v>0</v>
      </c>
      <c r="E304" s="2">
        <f t="shared" si="79"/>
        <v>0</v>
      </c>
      <c r="F304" s="2">
        <f>IF(I303&gt;1, Assumptions!$E$19, 0)*-1</f>
        <v>0</v>
      </c>
      <c r="G304" s="24">
        <f t="shared" si="74"/>
        <v>1</v>
      </c>
      <c r="H304" s="20">
        <f t="shared" si="80"/>
        <v>339999.99999999988</v>
      </c>
      <c r="I304" s="2">
        <f>MAX(Assumptions!$D$8-SUM(Model_15y!H304), 0)</f>
        <v>1.1641532182693481E-10</v>
      </c>
      <c r="J304" s="2">
        <f>J303*(1+(Assumptions!$E$51))</f>
        <v>1450951.7032593137</v>
      </c>
      <c r="K304" s="22">
        <f t="shared" si="69"/>
        <v>1450951.7032593135</v>
      </c>
      <c r="L304" s="5">
        <f t="shared" si="81"/>
        <v>425000</v>
      </c>
      <c r="M304" s="63">
        <f>L304/Assumptions!$D$6</f>
        <v>1</v>
      </c>
      <c r="N304" s="24">
        <f t="shared" si="85"/>
        <v>0</v>
      </c>
      <c r="O304" s="22">
        <f>N304*Assumptions!$E$25*-1</f>
        <v>0</v>
      </c>
      <c r="P304" s="5">
        <f>Assumptions!$E$35*J304*-1</f>
        <v>-2988.7229441636359</v>
      </c>
      <c r="Q304" s="5">
        <f>J304*Assumptions!$E$36*-1</f>
        <v>-1203.6197399290834</v>
      </c>
      <c r="R304" s="5">
        <f>R292+R292*Assumptions!$D$51</f>
        <v>-1100.2831595472251</v>
      </c>
      <c r="S304" s="5">
        <f>S292+(S292*Assumptions!$D$51)</f>
        <v>0</v>
      </c>
      <c r="T304" s="5">
        <f t="shared" si="75"/>
        <v>0</v>
      </c>
      <c r="U304" s="22">
        <f t="shared" si="70"/>
        <v>-5292.6258436399448</v>
      </c>
      <c r="V304" s="5">
        <f>MAX(Assumptions!$E$18:$E$19)-U304</f>
        <v>8134.2588554386421</v>
      </c>
      <c r="W304" s="5">
        <f t="shared" si="71"/>
        <v>0</v>
      </c>
      <c r="X304" s="5">
        <f t="shared" si="76"/>
        <v>-5292.6258436399448</v>
      </c>
      <c r="Y304" s="5">
        <f>D304*Assumptions!$D$44*-1</f>
        <v>0</v>
      </c>
      <c r="Z304" s="5">
        <f t="shared" si="72"/>
        <v>2841.6330117986972</v>
      </c>
      <c r="AA304" s="5">
        <f t="shared" si="82"/>
        <v>665197.21987219842</v>
      </c>
      <c r="AB304" s="3">
        <f>Assumptions!$E$45</f>
        <v>6.9899151946608562E-3</v>
      </c>
      <c r="AC304" s="5">
        <f t="shared" si="83"/>
        <v>672688.52503862802</v>
      </c>
      <c r="AD304" s="4">
        <f>AC304*Assumptions!$E$43</f>
        <v>602.44336179005995</v>
      </c>
      <c r="AE304" s="2">
        <f>AD304*Assumptions!$D$44*-1</f>
        <v>-90.36650426850899</v>
      </c>
      <c r="AF304" s="2">
        <f>AC304*Assumptions!$E$46*-1</f>
        <v>-22.418841010605128</v>
      </c>
      <c r="AG304" s="5">
        <f t="shared" si="84"/>
        <v>672575.73969334888</v>
      </c>
      <c r="AH304" s="20">
        <f>Model_30y[[#This Row],[Mortgage Payment]]+Model_30y[[#This Row],[Total Upkeep]]+Model_30y[[#This Row],[Monthly Investment]]</f>
        <v>-6755.3416696934755</v>
      </c>
      <c r="AI304" s="5">
        <f>Model_Renter!D304*-1</f>
        <v>6901.3698889653697</v>
      </c>
      <c r="AJ304" s="5">
        <f t="shared" si="77"/>
        <v>146.02821927189416</v>
      </c>
    </row>
    <row r="305" spans="1:36" x14ac:dyDescent="0.25">
      <c r="A305" s="17">
        <f t="shared" si="78"/>
        <v>303</v>
      </c>
      <c r="B305" s="17">
        <f t="shared" si="73"/>
        <v>26</v>
      </c>
      <c r="C305" s="23">
        <f>IFERROR(PPMT(Assumptions!$E$17, A305, 180, Assumptions!$D$8), 0)</f>
        <v>0</v>
      </c>
      <c r="D305" s="38">
        <f>IFERROR(IPMT(Assumptions!$E$17,A305,180,Assumptions!$D$8), 0)</f>
        <v>0</v>
      </c>
      <c r="E305" s="2">
        <f t="shared" si="79"/>
        <v>0</v>
      </c>
      <c r="F305" s="2">
        <f>IF(I304&gt;1, Assumptions!$E$19, 0)*-1</f>
        <v>0</v>
      </c>
      <c r="G305" s="24">
        <f t="shared" si="74"/>
        <v>1</v>
      </c>
      <c r="H305" s="20">
        <f t="shared" si="80"/>
        <v>339999.99999999988</v>
      </c>
      <c r="I305" s="2">
        <f>MAX(Assumptions!$D$8-SUM(Model_15y!H305), 0)</f>
        <v>1.1641532182693481E-10</v>
      </c>
      <c r="J305" s="2">
        <f>J304*(1+(Assumptions!$E$51))</f>
        <v>1456863.0601024877</v>
      </c>
      <c r="K305" s="22">
        <f t="shared" si="69"/>
        <v>1456863.0601024874</v>
      </c>
      <c r="L305" s="5">
        <f t="shared" si="81"/>
        <v>425000</v>
      </c>
      <c r="M305" s="63">
        <f>L305/Assumptions!$D$6</f>
        <v>1</v>
      </c>
      <c r="N305" s="24">
        <f t="shared" si="85"/>
        <v>0</v>
      </c>
      <c r="O305" s="22">
        <f>N305*Assumptions!$E$25*-1</f>
        <v>0</v>
      </c>
      <c r="P305" s="5">
        <f>Assumptions!$E$35*J305*-1</f>
        <v>-3000.8993713931891</v>
      </c>
      <c r="Q305" s="5">
        <f>J305*Assumptions!$E$36*-1</f>
        <v>-1208.5234357379973</v>
      </c>
      <c r="R305" s="5">
        <f>R293+R293*Assumptions!$D$51</f>
        <v>-1100.2831595472251</v>
      </c>
      <c r="S305" s="5">
        <f>S293+(S293*Assumptions!$D$51)</f>
        <v>0</v>
      </c>
      <c r="T305" s="5">
        <f t="shared" si="75"/>
        <v>0</v>
      </c>
      <c r="U305" s="22">
        <f t="shared" si="70"/>
        <v>-5309.7059666784116</v>
      </c>
      <c r="V305" s="5">
        <f>MAX(Assumptions!$E$18:$E$19)-U305</f>
        <v>8151.338978477108</v>
      </c>
      <c r="W305" s="5">
        <f t="shared" si="71"/>
        <v>0</v>
      </c>
      <c r="X305" s="5">
        <f t="shared" si="76"/>
        <v>-5309.7059666784116</v>
      </c>
      <c r="Y305" s="5">
        <f>D305*Assumptions!$D$44*-1</f>
        <v>0</v>
      </c>
      <c r="Z305" s="5">
        <f t="shared" si="72"/>
        <v>2841.6330117986963</v>
      </c>
      <c r="AA305" s="5">
        <f t="shared" si="82"/>
        <v>672575.73969334888</v>
      </c>
      <c r="AB305" s="3">
        <f>Assumptions!$E$45</f>
        <v>6.9899151946608562E-3</v>
      </c>
      <c r="AC305" s="5">
        <f t="shared" si="83"/>
        <v>680118.62008759042</v>
      </c>
      <c r="AD305" s="4">
        <f>AC305*Assumptions!$E$43</f>
        <v>609.09757287454306</v>
      </c>
      <c r="AE305" s="2">
        <f>AD305*Assumptions!$D$44*-1</f>
        <v>-91.364635931181454</v>
      </c>
      <c r="AF305" s="2">
        <f>AC305*Assumptions!$E$46*-1</f>
        <v>-22.666465451035126</v>
      </c>
      <c r="AG305" s="5">
        <f t="shared" si="84"/>
        <v>680004.5889862082</v>
      </c>
      <c r="AH305" s="20">
        <f>Model_30y[[#This Row],[Mortgage Payment]]+Model_30y[[#This Row],[Total Upkeep]]+Model_30y[[#This Row],[Monthly Investment]]</f>
        <v>-6773.7501251467293</v>
      </c>
      <c r="AI305" s="5">
        <f>Model_Renter!D305*-1</f>
        <v>6901.3698889653697</v>
      </c>
      <c r="AJ305" s="5">
        <f t="shared" si="77"/>
        <v>127.61976381864042</v>
      </c>
    </row>
    <row r="306" spans="1:36" x14ac:dyDescent="0.25">
      <c r="A306" s="17">
        <f t="shared" si="78"/>
        <v>304</v>
      </c>
      <c r="B306" s="17">
        <f t="shared" si="73"/>
        <v>26</v>
      </c>
      <c r="C306" s="23">
        <f>IFERROR(PPMT(Assumptions!$E$17, A306, 180, Assumptions!$D$8), 0)</f>
        <v>0</v>
      </c>
      <c r="D306" s="38">
        <f>IFERROR(IPMT(Assumptions!$E$17,A306,180,Assumptions!$D$8), 0)</f>
        <v>0</v>
      </c>
      <c r="E306" s="2">
        <f t="shared" si="79"/>
        <v>0</v>
      </c>
      <c r="F306" s="2">
        <f>IF(I305&gt;1, Assumptions!$E$19, 0)*-1</f>
        <v>0</v>
      </c>
      <c r="G306" s="24">
        <f t="shared" si="74"/>
        <v>1</v>
      </c>
      <c r="H306" s="20">
        <f t="shared" si="80"/>
        <v>339999.99999999988</v>
      </c>
      <c r="I306" s="2">
        <f>MAX(Assumptions!$D$8-SUM(Model_15y!H306), 0)</f>
        <v>1.1641532182693481E-10</v>
      </c>
      <c r="J306" s="2">
        <f>J305*(1+(Assumptions!$E$51))</f>
        <v>1462798.5005451699</v>
      </c>
      <c r="K306" s="22">
        <f t="shared" si="69"/>
        <v>1462798.5005451697</v>
      </c>
      <c r="L306" s="5">
        <f t="shared" si="81"/>
        <v>425000</v>
      </c>
      <c r="M306" s="63">
        <f>L306/Assumptions!$D$6</f>
        <v>1</v>
      </c>
      <c r="N306" s="24">
        <f t="shared" si="85"/>
        <v>0</v>
      </c>
      <c r="O306" s="22">
        <f>N306*Assumptions!$E$25*-1</f>
        <v>0</v>
      </c>
      <c r="P306" s="5">
        <f>Assumptions!$E$35*J306*-1</f>
        <v>-3013.1254068945173</v>
      </c>
      <c r="Q306" s="5">
        <f>J306*Assumptions!$E$36*-1</f>
        <v>-1213.4471098106337</v>
      </c>
      <c r="R306" s="5">
        <f>R294+R294*Assumptions!$D$51</f>
        <v>-1100.2831595472251</v>
      </c>
      <c r="S306" s="5">
        <f>S294+(S294*Assumptions!$D$51)</f>
        <v>0</v>
      </c>
      <c r="T306" s="5">
        <f t="shared" si="75"/>
        <v>0</v>
      </c>
      <c r="U306" s="22">
        <f t="shared" si="70"/>
        <v>-5326.8556762523767</v>
      </c>
      <c r="V306" s="5">
        <f>MAX(Assumptions!$E$18:$E$19)-U306</f>
        <v>8168.488688051073</v>
      </c>
      <c r="W306" s="5">
        <f t="shared" si="71"/>
        <v>0</v>
      </c>
      <c r="X306" s="5">
        <f t="shared" si="76"/>
        <v>-5326.8556762523767</v>
      </c>
      <c r="Y306" s="5">
        <f>D306*Assumptions!$D$44*-1</f>
        <v>0</v>
      </c>
      <c r="Z306" s="5">
        <f t="shared" si="72"/>
        <v>2841.6330117986963</v>
      </c>
      <c r="AA306" s="5">
        <f t="shared" si="82"/>
        <v>680004.5889862082</v>
      </c>
      <c r="AB306" s="3">
        <f>Assumptions!$E$45</f>
        <v>6.9899151946608562E-3</v>
      </c>
      <c r="AC306" s="5">
        <f t="shared" si="83"/>
        <v>687599.39640700072</v>
      </c>
      <c r="AD306" s="4">
        <f>AC306*Assumptions!$E$43</f>
        <v>615.79717286312052</v>
      </c>
      <c r="AE306" s="2">
        <f>AD306*Assumptions!$D$44*-1</f>
        <v>-92.36957592946807</v>
      </c>
      <c r="AF306" s="2">
        <f>AC306*Assumptions!$E$46*-1</f>
        <v>-22.91577895750698</v>
      </c>
      <c r="AG306" s="5">
        <f t="shared" si="84"/>
        <v>687484.1110521137</v>
      </c>
      <c r="AH306" s="20">
        <f>Model_30y[[#This Row],[Mortgage Payment]]+Model_30y[[#This Row],[Total Upkeep]]+Model_30y[[#This Row],[Monthly Investment]]</f>
        <v>-6792.2356057970046</v>
      </c>
      <c r="AI306" s="5">
        <f>Model_Renter!D306*-1</f>
        <v>6901.3698889653697</v>
      </c>
      <c r="AJ306" s="5">
        <f t="shared" si="77"/>
        <v>109.13428316836507</v>
      </c>
    </row>
    <row r="307" spans="1:36" x14ac:dyDescent="0.25">
      <c r="A307" s="17">
        <f t="shared" si="78"/>
        <v>305</v>
      </c>
      <c r="B307" s="17">
        <f t="shared" si="73"/>
        <v>26</v>
      </c>
      <c r="C307" s="23">
        <f>IFERROR(PPMT(Assumptions!$E$17, A307, 180, Assumptions!$D$8), 0)</f>
        <v>0</v>
      </c>
      <c r="D307" s="38">
        <f>IFERROR(IPMT(Assumptions!$E$17,A307,180,Assumptions!$D$8), 0)</f>
        <v>0</v>
      </c>
      <c r="E307" s="2">
        <f t="shared" si="79"/>
        <v>0</v>
      </c>
      <c r="F307" s="2">
        <f>IF(I306&gt;1, Assumptions!$E$19, 0)*-1</f>
        <v>0</v>
      </c>
      <c r="G307" s="24">
        <f t="shared" si="74"/>
        <v>1</v>
      </c>
      <c r="H307" s="20">
        <f t="shared" si="80"/>
        <v>339999.99999999988</v>
      </c>
      <c r="I307" s="2">
        <f>MAX(Assumptions!$D$8-SUM(Model_15y!H307), 0)</f>
        <v>1.1641532182693481E-10</v>
      </c>
      <c r="J307" s="2">
        <f>J306*(1+(Assumptions!$E$51))</f>
        <v>1468758.1227069262</v>
      </c>
      <c r="K307" s="22">
        <f t="shared" si="69"/>
        <v>1468758.122706926</v>
      </c>
      <c r="L307" s="5">
        <f t="shared" si="81"/>
        <v>425000</v>
      </c>
      <c r="M307" s="63">
        <f>L307/Assumptions!$D$6</f>
        <v>1</v>
      </c>
      <c r="N307" s="24">
        <f t="shared" si="85"/>
        <v>0</v>
      </c>
      <c r="O307" s="22">
        <f>N307*Assumptions!$E$25*-1</f>
        <v>0</v>
      </c>
      <c r="P307" s="5">
        <f>Assumptions!$E$35*J307*-1</f>
        <v>-3025.4012527778614</v>
      </c>
      <c r="Q307" s="5">
        <f>J307*Assumptions!$E$36*-1</f>
        <v>-1218.3908435409128</v>
      </c>
      <c r="R307" s="5">
        <f>R295+R295*Assumptions!$D$51</f>
        <v>-1100.2831595472251</v>
      </c>
      <c r="S307" s="5">
        <f>S295+(S295*Assumptions!$D$51)</f>
        <v>0</v>
      </c>
      <c r="T307" s="5">
        <f t="shared" si="75"/>
        <v>0</v>
      </c>
      <c r="U307" s="22">
        <f t="shared" si="70"/>
        <v>-5344.0752558659997</v>
      </c>
      <c r="V307" s="5">
        <f>MAX(Assumptions!$E$18:$E$19)-U307</f>
        <v>8185.7082676646969</v>
      </c>
      <c r="W307" s="5">
        <f t="shared" si="71"/>
        <v>0</v>
      </c>
      <c r="X307" s="5">
        <f t="shared" si="76"/>
        <v>-5344.0752558659997</v>
      </c>
      <c r="Y307" s="5">
        <f>D307*Assumptions!$D$44*-1</f>
        <v>0</v>
      </c>
      <c r="Z307" s="5">
        <f t="shared" si="72"/>
        <v>2841.6330117986972</v>
      </c>
      <c r="AA307" s="5">
        <f t="shared" si="82"/>
        <v>687484.1110521137</v>
      </c>
      <c r="AB307" s="3">
        <f>Assumptions!$E$45</f>
        <v>6.9899151946608562E-3</v>
      </c>
      <c r="AC307" s="5">
        <f t="shared" si="83"/>
        <v>695131.19969784352</v>
      </c>
      <c r="AD307" s="4">
        <f>AC307*Assumptions!$E$43</f>
        <v>622.54247135712444</v>
      </c>
      <c r="AE307" s="2">
        <f>AD307*Assumptions!$D$44*-1</f>
        <v>-93.381370703568663</v>
      </c>
      <c r="AF307" s="2">
        <f>AC307*Assumptions!$E$46*-1</f>
        <v>-23.166793051274762</v>
      </c>
      <c r="AG307" s="5">
        <f t="shared" si="84"/>
        <v>695014.65153408865</v>
      </c>
      <c r="AH307" s="20">
        <f>Model_30y[[#This Row],[Mortgage Payment]]+Model_30y[[#This Row],[Total Upkeep]]+Model_30y[[#This Row],[Monthly Investment]]</f>
        <v>-6810.7984368049656</v>
      </c>
      <c r="AI307" s="5">
        <f>Model_Renter!D307*-1</f>
        <v>6901.3698889653697</v>
      </c>
      <c r="AJ307" s="5">
        <f t="shared" si="77"/>
        <v>90.571452160404078</v>
      </c>
    </row>
    <row r="308" spans="1:36" x14ac:dyDescent="0.25">
      <c r="A308" s="17">
        <f t="shared" si="78"/>
        <v>306</v>
      </c>
      <c r="B308" s="17">
        <f t="shared" si="73"/>
        <v>26</v>
      </c>
      <c r="C308" s="23">
        <f>IFERROR(PPMT(Assumptions!$E$17, A308, 180, Assumptions!$D$8), 0)</f>
        <v>0</v>
      </c>
      <c r="D308" s="38">
        <f>IFERROR(IPMT(Assumptions!$E$17,A308,180,Assumptions!$D$8), 0)</f>
        <v>0</v>
      </c>
      <c r="E308" s="2">
        <f t="shared" si="79"/>
        <v>0</v>
      </c>
      <c r="F308" s="2">
        <f>IF(I307&gt;1, Assumptions!$E$19, 0)*-1</f>
        <v>0</v>
      </c>
      <c r="G308" s="24">
        <f t="shared" si="74"/>
        <v>1</v>
      </c>
      <c r="H308" s="20">
        <f t="shared" si="80"/>
        <v>339999.99999999988</v>
      </c>
      <c r="I308" s="2">
        <f>MAX(Assumptions!$D$8-SUM(Model_15y!H308), 0)</f>
        <v>1.1641532182693481E-10</v>
      </c>
      <c r="J308" s="2">
        <f>J307*(1+(Assumptions!$E$51))</f>
        <v>1474742.0251070731</v>
      </c>
      <c r="K308" s="22">
        <f t="shared" si="69"/>
        <v>1474742.0251070731</v>
      </c>
      <c r="L308" s="5">
        <f t="shared" si="81"/>
        <v>425000</v>
      </c>
      <c r="M308" s="63">
        <f>L308/Assumptions!$D$6</f>
        <v>1</v>
      </c>
      <c r="N308" s="24">
        <f t="shared" si="85"/>
        <v>0</v>
      </c>
      <c r="O308" s="22">
        <f>N308*Assumptions!$E$25*-1</f>
        <v>0</v>
      </c>
      <c r="P308" s="5">
        <f>Assumptions!$E$35*J308*-1</f>
        <v>-3037.727111976883</v>
      </c>
      <c r="Q308" s="5">
        <f>J308*Assumptions!$E$36*-1</f>
        <v>-1223.3547186543619</v>
      </c>
      <c r="R308" s="5">
        <f>R296+R296*Assumptions!$D$51</f>
        <v>-1100.2831595472251</v>
      </c>
      <c r="S308" s="5">
        <f>S296+(S296*Assumptions!$D$51)</f>
        <v>0</v>
      </c>
      <c r="T308" s="5">
        <f t="shared" si="75"/>
        <v>0</v>
      </c>
      <c r="U308" s="22">
        <f t="shared" si="70"/>
        <v>-5361.3649901784702</v>
      </c>
      <c r="V308" s="5">
        <f>MAX(Assumptions!$E$18:$E$19)-U308</f>
        <v>8202.9980019771665</v>
      </c>
      <c r="W308" s="5">
        <f t="shared" si="71"/>
        <v>0</v>
      </c>
      <c r="X308" s="5">
        <f t="shared" si="76"/>
        <v>-5361.3649901784702</v>
      </c>
      <c r="Y308" s="5">
        <f>D308*Assumptions!$D$44*-1</f>
        <v>0</v>
      </c>
      <c r="Z308" s="5">
        <f t="shared" si="72"/>
        <v>2841.6330117986963</v>
      </c>
      <c r="AA308" s="5">
        <f t="shared" si="82"/>
        <v>695014.65153408865</v>
      </c>
      <c r="AB308" s="3">
        <f>Assumptions!$E$45</f>
        <v>6.9899151946608562E-3</v>
      </c>
      <c r="AC308" s="5">
        <f t="shared" si="83"/>
        <v>702714.37801915745</v>
      </c>
      <c r="AD308" s="4">
        <f>AC308*Assumptions!$E$43</f>
        <v>629.33378006970213</v>
      </c>
      <c r="AE308" s="2">
        <f>AD308*Assumptions!$D$44*-1</f>
        <v>-94.400067010455317</v>
      </c>
      <c r="AF308" s="2">
        <f>AC308*Assumptions!$E$46*-1</f>
        <v>-23.419519332179942</v>
      </c>
      <c r="AG308" s="5">
        <f t="shared" si="84"/>
        <v>702596.55843281478</v>
      </c>
      <c r="AH308" s="20">
        <f>Model_30y[[#This Row],[Mortgage Payment]]+Model_30y[[#This Row],[Total Upkeep]]+Model_30y[[#This Row],[Monthly Investment]]</f>
        <v>-6829.4389447195808</v>
      </c>
      <c r="AI308" s="5">
        <f>Model_Renter!D308*-1</f>
        <v>6901.3698889653697</v>
      </c>
      <c r="AJ308" s="5">
        <f t="shared" si="77"/>
        <v>71.930944245788851</v>
      </c>
    </row>
    <row r="309" spans="1:36" x14ac:dyDescent="0.25">
      <c r="A309" s="17">
        <f t="shared" si="78"/>
        <v>307</v>
      </c>
      <c r="B309" s="17">
        <f t="shared" si="73"/>
        <v>26</v>
      </c>
      <c r="C309" s="23">
        <f>IFERROR(PPMT(Assumptions!$E$17, A309, 180, Assumptions!$D$8), 0)</f>
        <v>0</v>
      </c>
      <c r="D309" s="38">
        <f>IFERROR(IPMT(Assumptions!$E$17,A309,180,Assumptions!$D$8), 0)</f>
        <v>0</v>
      </c>
      <c r="E309" s="2">
        <f t="shared" si="79"/>
        <v>0</v>
      </c>
      <c r="F309" s="2">
        <f>IF(I308&gt;1, Assumptions!$E$19, 0)*-1</f>
        <v>0</v>
      </c>
      <c r="G309" s="24">
        <f t="shared" si="74"/>
        <v>1</v>
      </c>
      <c r="H309" s="20">
        <f t="shared" si="80"/>
        <v>339999.99999999988</v>
      </c>
      <c r="I309" s="2">
        <f>MAX(Assumptions!$D$8-SUM(Model_15y!H309), 0)</f>
        <v>1.1641532182693481E-10</v>
      </c>
      <c r="J309" s="2">
        <f>J308*(1+(Assumptions!$E$51))</f>
        <v>1480750.3066663076</v>
      </c>
      <c r="K309" s="22">
        <f t="shared" si="69"/>
        <v>1480750.3066663076</v>
      </c>
      <c r="L309" s="5">
        <f t="shared" si="81"/>
        <v>425000</v>
      </c>
      <c r="M309" s="63">
        <f>L309/Assumptions!$D$6</f>
        <v>1</v>
      </c>
      <c r="N309" s="24">
        <f t="shared" si="85"/>
        <v>0</v>
      </c>
      <c r="O309" s="22">
        <f>N309*Assumptions!$E$25*-1</f>
        <v>0</v>
      </c>
      <c r="P309" s="5">
        <f>Assumptions!$E$35*J309*-1</f>
        <v>-3050.1031882520215</v>
      </c>
      <c r="Q309" s="5">
        <f>J309*Assumptions!$E$36*-1</f>
        <v>-1228.3388172094703</v>
      </c>
      <c r="R309" s="5">
        <f>R297+R297*Assumptions!$D$51</f>
        <v>-1100.2831595472251</v>
      </c>
      <c r="S309" s="5">
        <f>S297+(S297*Assumptions!$D$51)</f>
        <v>0</v>
      </c>
      <c r="T309" s="5">
        <f t="shared" si="75"/>
        <v>0</v>
      </c>
      <c r="U309" s="22">
        <f t="shared" si="70"/>
        <v>-5378.7251650087173</v>
      </c>
      <c r="V309" s="5">
        <f>MAX(Assumptions!$E$18:$E$19)-U309</f>
        <v>8220.3581768074146</v>
      </c>
      <c r="W309" s="5">
        <f t="shared" si="71"/>
        <v>0</v>
      </c>
      <c r="X309" s="5">
        <f t="shared" si="76"/>
        <v>-5378.7251650087173</v>
      </c>
      <c r="Y309" s="5">
        <f>D309*Assumptions!$D$44*-1</f>
        <v>0</v>
      </c>
      <c r="Z309" s="5">
        <f t="shared" si="72"/>
        <v>2841.6330117986972</v>
      </c>
      <c r="AA309" s="5">
        <f t="shared" si="82"/>
        <v>702596.55843281478</v>
      </c>
      <c r="AB309" s="3">
        <f>Assumptions!$E$45</f>
        <v>6.9899151946608562E-3</v>
      </c>
      <c r="AC309" s="5">
        <f t="shared" si="83"/>
        <v>710349.28180411947</v>
      </c>
      <c r="AD309" s="4">
        <f>AC309*Assumptions!$E$43</f>
        <v>636.17141284022102</v>
      </c>
      <c r="AE309" s="2">
        <f>AD309*Assumptions!$D$44*-1</f>
        <v>-95.425711926033145</v>
      </c>
      <c r="AF309" s="2">
        <f>AC309*Assumptions!$E$46*-1</f>
        <v>-23.673969479187434</v>
      </c>
      <c r="AG309" s="5">
        <f t="shared" si="84"/>
        <v>710230.18212271424</v>
      </c>
      <c r="AH309" s="20">
        <f>Model_30y[[#This Row],[Mortgage Payment]]+Model_30y[[#This Row],[Total Upkeep]]+Model_30y[[#This Row],[Monthly Investment]]</f>
        <v>-6848.1574574841461</v>
      </c>
      <c r="AI309" s="5">
        <f>Model_Renter!D309*-1</f>
        <v>6901.3698889653697</v>
      </c>
      <c r="AJ309" s="5">
        <f t="shared" si="77"/>
        <v>53.212431481223575</v>
      </c>
    </row>
    <row r="310" spans="1:36" x14ac:dyDescent="0.25">
      <c r="A310" s="17">
        <f t="shared" si="78"/>
        <v>308</v>
      </c>
      <c r="B310" s="17">
        <f t="shared" si="73"/>
        <v>26</v>
      </c>
      <c r="C310" s="23">
        <f>IFERROR(PPMT(Assumptions!$E$17, A310, 180, Assumptions!$D$8), 0)</f>
        <v>0</v>
      </c>
      <c r="D310" s="38">
        <f>IFERROR(IPMT(Assumptions!$E$17,A310,180,Assumptions!$D$8), 0)</f>
        <v>0</v>
      </c>
      <c r="E310" s="2">
        <f t="shared" si="79"/>
        <v>0</v>
      </c>
      <c r="F310" s="2">
        <f>IF(I309&gt;1, Assumptions!$E$19, 0)*-1</f>
        <v>0</v>
      </c>
      <c r="G310" s="24">
        <f t="shared" si="74"/>
        <v>1</v>
      </c>
      <c r="H310" s="20">
        <f t="shared" si="80"/>
        <v>339999.99999999988</v>
      </c>
      <c r="I310" s="2">
        <f>MAX(Assumptions!$D$8-SUM(Model_15y!H310), 0)</f>
        <v>1.1641532182693481E-10</v>
      </c>
      <c r="J310" s="2">
        <f>J309*(1+(Assumptions!$E$51))</f>
        <v>1486783.0667083415</v>
      </c>
      <c r="K310" s="22">
        <f t="shared" si="69"/>
        <v>1486783.0667083412</v>
      </c>
      <c r="L310" s="5">
        <f t="shared" si="81"/>
        <v>425000</v>
      </c>
      <c r="M310" s="63">
        <f>L310/Assumptions!$D$6</f>
        <v>1</v>
      </c>
      <c r="N310" s="24">
        <f t="shared" si="85"/>
        <v>0</v>
      </c>
      <c r="O310" s="22">
        <f>N310*Assumptions!$E$25*-1</f>
        <v>0</v>
      </c>
      <c r="P310" s="5">
        <f>Assumptions!$E$35*J310*-1</f>
        <v>-3062.5296861938609</v>
      </c>
      <c r="Q310" s="5">
        <f>J310*Assumptions!$E$36*-1</f>
        <v>-1233.343221599042</v>
      </c>
      <c r="R310" s="5">
        <f>R298+R298*Assumptions!$D$51</f>
        <v>-1100.2831595472251</v>
      </c>
      <c r="S310" s="5">
        <f>S298+(S298*Assumptions!$D$51)</f>
        <v>0</v>
      </c>
      <c r="T310" s="5">
        <f t="shared" si="75"/>
        <v>0</v>
      </c>
      <c r="U310" s="22">
        <f t="shared" si="70"/>
        <v>-5396.1560673401282</v>
      </c>
      <c r="V310" s="5">
        <f>MAX(Assumptions!$E$18:$E$19)-U310</f>
        <v>8237.7890791388254</v>
      </c>
      <c r="W310" s="5">
        <f t="shared" si="71"/>
        <v>0</v>
      </c>
      <c r="X310" s="5">
        <f t="shared" si="76"/>
        <v>-5396.1560673401282</v>
      </c>
      <c r="Y310" s="5">
        <f>D310*Assumptions!$D$44*-1</f>
        <v>0</v>
      </c>
      <c r="Z310" s="5">
        <f t="shared" si="72"/>
        <v>2841.6330117986972</v>
      </c>
      <c r="AA310" s="5">
        <f t="shared" si="82"/>
        <v>710230.18212271424</v>
      </c>
      <c r="AB310" s="3">
        <f>Assumptions!$E$45</f>
        <v>6.9899151946608562E-3</v>
      </c>
      <c r="AC310" s="5">
        <f t="shared" si="83"/>
        <v>718036.2638762393</v>
      </c>
      <c r="AD310" s="4">
        <f>AC310*Assumptions!$E$43</f>
        <v>643.05568564877217</v>
      </c>
      <c r="AE310" s="2">
        <f>AD310*Assumptions!$D$44*-1</f>
        <v>-96.458352847315822</v>
      </c>
      <c r="AF310" s="2">
        <f>AC310*Assumptions!$E$46*-1</f>
        <v>-23.930155250925299</v>
      </c>
      <c r="AG310" s="5">
        <f t="shared" si="84"/>
        <v>717915.8753681411</v>
      </c>
      <c r="AH310" s="20">
        <f>Model_30y[[#This Row],[Mortgage Payment]]+Model_30y[[#This Row],[Total Upkeep]]+Model_30y[[#This Row],[Monthly Investment]]</f>
        <v>-6866.9543044423071</v>
      </c>
      <c r="AI310" s="5">
        <f>Model_Renter!D310*-1</f>
        <v>6901.3698889653697</v>
      </c>
      <c r="AJ310" s="5">
        <f t="shared" si="77"/>
        <v>34.415584523062535</v>
      </c>
    </row>
    <row r="311" spans="1:36" x14ac:dyDescent="0.25">
      <c r="A311" s="17">
        <f t="shared" si="78"/>
        <v>309</v>
      </c>
      <c r="B311" s="17">
        <f t="shared" si="73"/>
        <v>26</v>
      </c>
      <c r="C311" s="23">
        <f>IFERROR(PPMT(Assumptions!$E$17, A311, 180, Assumptions!$D$8), 0)</f>
        <v>0</v>
      </c>
      <c r="D311" s="38">
        <f>IFERROR(IPMT(Assumptions!$E$17,A311,180,Assumptions!$D$8), 0)</f>
        <v>0</v>
      </c>
      <c r="E311" s="2">
        <f t="shared" si="79"/>
        <v>0</v>
      </c>
      <c r="F311" s="2">
        <f>IF(I310&gt;1, Assumptions!$E$19, 0)*-1</f>
        <v>0</v>
      </c>
      <c r="G311" s="24">
        <f t="shared" si="74"/>
        <v>1</v>
      </c>
      <c r="H311" s="20">
        <f t="shared" si="80"/>
        <v>339999.99999999988</v>
      </c>
      <c r="I311" s="2">
        <f>MAX(Assumptions!$D$8-SUM(Model_15y!H311), 0)</f>
        <v>1.1641532182693481E-10</v>
      </c>
      <c r="J311" s="2">
        <f>J310*(1+(Assumptions!$E$51))</f>
        <v>1492840.4049615436</v>
      </c>
      <c r="K311" s="22">
        <f t="shared" si="69"/>
        <v>1492840.4049615436</v>
      </c>
      <c r="L311" s="5">
        <f t="shared" si="81"/>
        <v>425000</v>
      </c>
      <c r="M311" s="63">
        <f>L311/Assumptions!$D$6</f>
        <v>1</v>
      </c>
      <c r="N311" s="24">
        <f t="shared" si="85"/>
        <v>0</v>
      </c>
      <c r="O311" s="22">
        <f>N311*Assumptions!$E$25*-1</f>
        <v>0</v>
      </c>
      <c r="P311" s="5">
        <f>Assumptions!$E$35*J311*-1</f>
        <v>-3075.0068112265126</v>
      </c>
      <c r="Q311" s="5">
        <f>J311*Assumptions!$E$36*-1</f>
        <v>-1238.36801455156</v>
      </c>
      <c r="R311" s="5">
        <f>R299+R299*Assumptions!$D$51</f>
        <v>-1100.2831595472251</v>
      </c>
      <c r="S311" s="5">
        <f>S299+(S299*Assumptions!$D$51)</f>
        <v>0</v>
      </c>
      <c r="T311" s="5">
        <f t="shared" si="75"/>
        <v>0</v>
      </c>
      <c r="U311" s="22">
        <f t="shared" si="70"/>
        <v>-5413.6579853252979</v>
      </c>
      <c r="V311" s="5">
        <f>MAX(Assumptions!$E$18:$E$19)-U311</f>
        <v>8255.2909971239951</v>
      </c>
      <c r="W311" s="5">
        <f t="shared" si="71"/>
        <v>0</v>
      </c>
      <c r="X311" s="5">
        <f t="shared" si="76"/>
        <v>-5413.6579853252979</v>
      </c>
      <c r="Y311" s="5">
        <f>D311*Assumptions!$D$44*-1</f>
        <v>0</v>
      </c>
      <c r="Z311" s="5">
        <f t="shared" si="72"/>
        <v>2841.6330117986972</v>
      </c>
      <c r="AA311" s="5">
        <f t="shared" si="82"/>
        <v>717915.8753681411</v>
      </c>
      <c r="AB311" s="3">
        <f>Assumptions!$E$45</f>
        <v>6.9899151946608562E-3</v>
      </c>
      <c r="AC311" s="5">
        <f t="shared" si="83"/>
        <v>725775.67946566385</v>
      </c>
      <c r="AD311" s="4">
        <f>AC311*Assumptions!$E$43</f>
        <v>649.98691663077182</v>
      </c>
      <c r="AE311" s="2">
        <f>AD311*Assumptions!$D$44*-1</f>
        <v>-97.498037494615772</v>
      </c>
      <c r="AF311" s="2">
        <f>AC311*Assumptions!$E$46*-1</f>
        <v>-24.188088486228136</v>
      </c>
      <c r="AG311" s="5">
        <f t="shared" si="84"/>
        <v>725653.99333968305</v>
      </c>
      <c r="AH311" s="20">
        <f>Model_30y[[#This Row],[Mortgage Payment]]+Model_30y[[#This Row],[Total Upkeep]]+Model_30y[[#This Row],[Monthly Investment]]</f>
        <v>-6885.8298163441359</v>
      </c>
      <c r="AI311" s="5">
        <f>Model_Renter!D311*-1</f>
        <v>6901.3698889653697</v>
      </c>
      <c r="AJ311" s="5">
        <f t="shared" si="77"/>
        <v>15.540072621233776</v>
      </c>
    </row>
    <row r="312" spans="1:36" x14ac:dyDescent="0.25">
      <c r="A312" s="17">
        <f t="shared" si="78"/>
        <v>310</v>
      </c>
      <c r="B312" s="17">
        <f t="shared" si="73"/>
        <v>26</v>
      </c>
      <c r="C312" s="23">
        <f>IFERROR(PPMT(Assumptions!$E$17, A312, 180, Assumptions!$D$8), 0)</f>
        <v>0</v>
      </c>
      <c r="D312" s="38">
        <f>IFERROR(IPMT(Assumptions!$E$17,A312,180,Assumptions!$D$8), 0)</f>
        <v>0</v>
      </c>
      <c r="E312" s="2">
        <f t="shared" si="79"/>
        <v>0</v>
      </c>
      <c r="F312" s="2">
        <f>IF(I311&gt;1, Assumptions!$E$19, 0)*-1</f>
        <v>0</v>
      </c>
      <c r="G312" s="24">
        <f t="shared" si="74"/>
        <v>1</v>
      </c>
      <c r="H312" s="20">
        <f t="shared" si="80"/>
        <v>339999.99999999988</v>
      </c>
      <c r="I312" s="2">
        <f>MAX(Assumptions!$D$8-SUM(Model_15y!H312), 0)</f>
        <v>1.1641532182693481E-10</v>
      </c>
      <c r="J312" s="2">
        <f>J311*(1+(Assumptions!$E$51))</f>
        <v>1498922.4215605888</v>
      </c>
      <c r="K312" s="22">
        <f t="shared" si="69"/>
        <v>1498922.4215605888</v>
      </c>
      <c r="L312" s="5">
        <f t="shared" si="81"/>
        <v>425000</v>
      </c>
      <c r="M312" s="63">
        <f>L312/Assumptions!$D$6</f>
        <v>1</v>
      </c>
      <c r="N312" s="24">
        <f t="shared" si="85"/>
        <v>0</v>
      </c>
      <c r="O312" s="22">
        <f>N312*Assumptions!$E$25*-1</f>
        <v>0</v>
      </c>
      <c r="P312" s="5">
        <f>Assumptions!$E$35*J312*-1</f>
        <v>-3087.5347696110116</v>
      </c>
      <c r="Q312" s="5">
        <f>J312*Assumptions!$E$36*-1</f>
        <v>-1243.413279132554</v>
      </c>
      <c r="R312" s="5">
        <f>R300+R300*Assumptions!$D$51</f>
        <v>-1100.2831595472251</v>
      </c>
      <c r="S312" s="5">
        <f>S300+(S300*Assumptions!$D$51)</f>
        <v>0</v>
      </c>
      <c r="T312" s="5">
        <f t="shared" si="75"/>
        <v>0</v>
      </c>
      <c r="U312" s="22">
        <f t="shared" si="70"/>
        <v>-5431.2312082907911</v>
      </c>
      <c r="V312" s="5">
        <f>MAX(Assumptions!$E$18:$E$19)-U312</f>
        <v>8272.8642200894883</v>
      </c>
      <c r="W312" s="5">
        <f t="shared" si="71"/>
        <v>0</v>
      </c>
      <c r="X312" s="5">
        <f t="shared" si="76"/>
        <v>-5431.2312082907911</v>
      </c>
      <c r="Y312" s="5">
        <f>D312*Assumptions!$D$44*-1</f>
        <v>0</v>
      </c>
      <c r="Z312" s="5">
        <f t="shared" si="72"/>
        <v>2841.6330117986972</v>
      </c>
      <c r="AA312" s="5">
        <f t="shared" si="82"/>
        <v>725653.99333968305</v>
      </c>
      <c r="AB312" s="3">
        <f>Assumptions!$E$45</f>
        <v>6.9899151946608562E-3</v>
      </c>
      <c r="AC312" s="5">
        <f t="shared" si="83"/>
        <v>733567.88622559316</v>
      </c>
      <c r="AD312" s="4">
        <f>AC312*Assumptions!$E$43</f>
        <v>656.96542609166306</v>
      </c>
      <c r="AE312" s="2">
        <f>AD312*Assumptions!$D$44*-1</f>
        <v>-98.544813913749451</v>
      </c>
      <c r="AF312" s="2">
        <f>AC312*Assumptions!$E$46*-1</f>
        <v>-24.447781104684182</v>
      </c>
      <c r="AG312" s="5">
        <f t="shared" si="84"/>
        <v>733444.89363057469</v>
      </c>
      <c r="AH312" s="20">
        <f>Model_30y[[#This Row],[Mortgage Payment]]+Model_30y[[#This Row],[Total Upkeep]]+Model_30y[[#This Row],[Monthly Investment]]</f>
        <v>-6904.7843253522224</v>
      </c>
      <c r="AI312" s="5">
        <f>Model_Renter!D312*-1</f>
        <v>6901.3698889653697</v>
      </c>
      <c r="AJ312" s="5">
        <f t="shared" si="77"/>
        <v>-3.4144363868526852</v>
      </c>
    </row>
    <row r="313" spans="1:36" x14ac:dyDescent="0.25">
      <c r="A313" s="17">
        <f t="shared" si="78"/>
        <v>311</v>
      </c>
      <c r="B313" s="17">
        <f t="shared" si="73"/>
        <v>26</v>
      </c>
      <c r="C313" s="23">
        <f>IFERROR(PPMT(Assumptions!$E$17, A313, 180, Assumptions!$D$8), 0)</f>
        <v>0</v>
      </c>
      <c r="D313" s="38">
        <f>IFERROR(IPMT(Assumptions!$E$17,A313,180,Assumptions!$D$8), 0)</f>
        <v>0</v>
      </c>
      <c r="E313" s="2">
        <f t="shared" si="79"/>
        <v>0</v>
      </c>
      <c r="F313" s="2">
        <f>IF(I312&gt;1, Assumptions!$E$19, 0)*-1</f>
        <v>0</v>
      </c>
      <c r="G313" s="24">
        <f t="shared" si="74"/>
        <v>1</v>
      </c>
      <c r="H313" s="20">
        <f t="shared" si="80"/>
        <v>339999.99999999988</v>
      </c>
      <c r="I313" s="2">
        <f>MAX(Assumptions!$D$8-SUM(Model_15y!H313), 0)</f>
        <v>1.1641532182693481E-10</v>
      </c>
      <c r="J313" s="2">
        <f>J312*(1+(Assumptions!$E$51))</f>
        <v>1505029.2170481125</v>
      </c>
      <c r="K313" s="22">
        <f t="shared" si="69"/>
        <v>1505029.2170481123</v>
      </c>
      <c r="L313" s="5">
        <f t="shared" si="81"/>
        <v>425000</v>
      </c>
      <c r="M313" s="63">
        <f>L313/Assumptions!$D$6</f>
        <v>1</v>
      </c>
      <c r="N313" s="24">
        <f t="shared" si="85"/>
        <v>0</v>
      </c>
      <c r="O313" s="22">
        <f>N313*Assumptions!$E$25*-1</f>
        <v>0</v>
      </c>
      <c r="P313" s="5">
        <f>Assumptions!$E$35*J313*-1</f>
        <v>-3100.1137684487248</v>
      </c>
      <c r="Q313" s="5">
        <f>J313*Assumptions!$E$36*-1</f>
        <v>-1248.4790987459721</v>
      </c>
      <c r="R313" s="5">
        <f>R301+R301*Assumptions!$D$51</f>
        <v>-1100.2831595472251</v>
      </c>
      <c r="S313" s="5">
        <f>S301+(S301*Assumptions!$D$51)</f>
        <v>0</v>
      </c>
      <c r="T313" s="5">
        <f t="shared" si="75"/>
        <v>0</v>
      </c>
      <c r="U313" s="22">
        <f t="shared" si="70"/>
        <v>-5448.876026741922</v>
      </c>
      <c r="V313" s="5">
        <f>MAX(Assumptions!$E$18:$E$19)-U313</f>
        <v>8290.5090385406183</v>
      </c>
      <c r="W313" s="5">
        <f t="shared" si="71"/>
        <v>0</v>
      </c>
      <c r="X313" s="5">
        <f t="shared" si="76"/>
        <v>-5448.876026741922</v>
      </c>
      <c r="Y313" s="5">
        <f>D313*Assumptions!$D$44*-1</f>
        <v>0</v>
      </c>
      <c r="Z313" s="5">
        <f t="shared" si="72"/>
        <v>2841.6330117986963</v>
      </c>
      <c r="AA313" s="5">
        <f t="shared" si="82"/>
        <v>733444.89363057469</v>
      </c>
      <c r="AB313" s="3">
        <f>Assumptions!$E$45</f>
        <v>6.9899151946608562E-3</v>
      </c>
      <c r="AC313" s="5">
        <f t="shared" si="83"/>
        <v>741413.24424880813</v>
      </c>
      <c r="AD313" s="4">
        <f>AC313*Assumptions!$E$43</f>
        <v>663.9915365217181</v>
      </c>
      <c r="AE313" s="2">
        <f>AD313*Assumptions!$D$44*-1</f>
        <v>-99.598730478257707</v>
      </c>
      <c r="AF313" s="2">
        <f>AC313*Assumptions!$E$46*-1</f>
        <v>-24.709245107186131</v>
      </c>
      <c r="AG313" s="5">
        <f t="shared" si="84"/>
        <v>741288.93627322267</v>
      </c>
      <c r="AH313" s="20">
        <f>Model_30y[[#This Row],[Mortgage Payment]]+Model_30y[[#This Row],[Total Upkeep]]+Model_30y[[#This Row],[Monthly Investment]]</f>
        <v>-6923.8181650477845</v>
      </c>
      <c r="AI313" s="5">
        <f>Model_Renter!D313*-1</f>
        <v>6901.3698889653697</v>
      </c>
      <c r="AJ313" s="5">
        <f t="shared" si="77"/>
        <v>-22.44827608241485</v>
      </c>
    </row>
    <row r="314" spans="1:36" x14ac:dyDescent="0.25">
      <c r="A314" s="17">
        <f t="shared" si="78"/>
        <v>312</v>
      </c>
      <c r="B314" s="17">
        <f t="shared" si="73"/>
        <v>26</v>
      </c>
      <c r="C314" s="23">
        <f>IFERROR(PPMT(Assumptions!$E$17, A314, 180, Assumptions!$D$8), 0)</f>
        <v>0</v>
      </c>
      <c r="D314" s="38">
        <f>IFERROR(IPMT(Assumptions!$E$17,A314,180,Assumptions!$D$8), 0)</f>
        <v>0</v>
      </c>
      <c r="E314" s="2">
        <f t="shared" si="79"/>
        <v>0</v>
      </c>
      <c r="F314" s="2">
        <f>IF(I313&gt;1, Assumptions!$E$19, 0)*-1</f>
        <v>0</v>
      </c>
      <c r="G314" s="24">
        <f t="shared" si="74"/>
        <v>1</v>
      </c>
      <c r="H314" s="20">
        <f t="shared" si="80"/>
        <v>339999.99999999988</v>
      </c>
      <c r="I314" s="2">
        <f>MAX(Assumptions!$D$8-SUM(Model_15y!H314), 0)</f>
        <v>1.1641532182693481E-10</v>
      </c>
      <c r="J314" s="2">
        <f>J313*(1+(Assumptions!$E$51))</f>
        <v>1511160.892376374</v>
      </c>
      <c r="K314" s="22">
        <f t="shared" si="69"/>
        <v>1511160.892376374</v>
      </c>
      <c r="L314" s="5">
        <f t="shared" si="81"/>
        <v>425000</v>
      </c>
      <c r="M314" s="63">
        <f>L314/Assumptions!$D$6</f>
        <v>1</v>
      </c>
      <c r="N314" s="24">
        <f t="shared" si="85"/>
        <v>0</v>
      </c>
      <c r="O314" s="22">
        <f>N314*Assumptions!$E$25*-1</f>
        <v>0</v>
      </c>
      <c r="P314" s="5">
        <f>Assumptions!$E$35*J314*-1</f>
        <v>-3112.7440156847779</v>
      </c>
      <c r="Q314" s="5">
        <f>J314*Assumptions!$E$36*-1</f>
        <v>-1253.565557135561</v>
      </c>
      <c r="R314" s="5">
        <f>R302+R302*Assumptions!$D$51</f>
        <v>-1100.2831595472251</v>
      </c>
      <c r="S314" s="5">
        <f>S302+(S302*Assumptions!$D$51)</f>
        <v>0</v>
      </c>
      <c r="T314" s="5">
        <f t="shared" si="75"/>
        <v>0</v>
      </c>
      <c r="U314" s="22">
        <f t="shared" si="70"/>
        <v>-5466.5927323675642</v>
      </c>
      <c r="V314" s="5">
        <f>MAX(Assumptions!$E$18:$E$19)-U314</f>
        <v>8308.2257441662605</v>
      </c>
      <c r="W314" s="5">
        <f t="shared" si="71"/>
        <v>0</v>
      </c>
      <c r="X314" s="5">
        <f t="shared" si="76"/>
        <v>-5466.5927323675642</v>
      </c>
      <c r="Y314" s="5">
        <f>D314*Assumptions!$D$44*-1</f>
        <v>0</v>
      </c>
      <c r="Z314" s="5">
        <f t="shared" si="72"/>
        <v>2841.6330117986963</v>
      </c>
      <c r="AA314" s="5">
        <f t="shared" si="82"/>
        <v>741288.93627322267</v>
      </c>
      <c r="AB314" s="3">
        <f>Assumptions!$E$45</f>
        <v>6.9899151946608562E-3</v>
      </c>
      <c r="AC314" s="5">
        <f t="shared" si="83"/>
        <v>749312.11608431162</v>
      </c>
      <c r="AD314" s="4">
        <f>AC314*Assumptions!$E$43</f>
        <v>671.06557261094122</v>
      </c>
      <c r="AE314" s="2">
        <f>AD314*Assumptions!$D$44*-1</f>
        <v>-100.65983589164118</v>
      </c>
      <c r="AF314" s="2">
        <f>AC314*Assumptions!$E$46*-1</f>
        <v>-24.972492576485731</v>
      </c>
      <c r="AG314" s="5">
        <f t="shared" si="84"/>
        <v>749186.48375584348</v>
      </c>
      <c r="AH314" s="20">
        <f>Model_30y[[#This Row],[Mortgage Payment]]+Model_30y[[#This Row],[Total Upkeep]]+Model_30y[[#This Row],[Monthly Investment]]</f>
        <v>-6942.9316704368275</v>
      </c>
      <c r="AI314" s="5">
        <f>Model_Renter!D314*-1</f>
        <v>6901.3698889653697</v>
      </c>
      <c r="AJ314" s="5">
        <f t="shared" si="77"/>
        <v>-41.561781471457834</v>
      </c>
    </row>
    <row r="315" spans="1:36" x14ac:dyDescent="0.25">
      <c r="A315" s="17">
        <f t="shared" si="78"/>
        <v>313</v>
      </c>
      <c r="B315" s="17">
        <f t="shared" si="73"/>
        <v>27</v>
      </c>
      <c r="C315" s="23">
        <f>IFERROR(PPMT(Assumptions!$E$17, A315, 180, Assumptions!$D$8), 0)</f>
        <v>0</v>
      </c>
      <c r="D315" s="38">
        <f>IFERROR(IPMT(Assumptions!$E$17,A315,180,Assumptions!$D$8), 0)</f>
        <v>0</v>
      </c>
      <c r="E315" s="2">
        <f t="shared" si="79"/>
        <v>0</v>
      </c>
      <c r="F315" s="2">
        <f>IF(I314&gt;1, Assumptions!$E$19, 0)*-1</f>
        <v>0</v>
      </c>
      <c r="G315" s="24">
        <f t="shared" si="74"/>
        <v>1</v>
      </c>
      <c r="H315" s="20">
        <f t="shared" si="80"/>
        <v>339999.99999999988</v>
      </c>
      <c r="I315" s="2">
        <f>MAX(Assumptions!$D$8-SUM(Model_15y!H315), 0)</f>
        <v>1.1641532182693481E-10</v>
      </c>
      <c r="J315" s="2">
        <f>J314*(1+(Assumptions!$E$51))</f>
        <v>1517317.5489089238</v>
      </c>
      <c r="K315" s="22">
        <f t="shared" si="69"/>
        <v>1517317.5489089238</v>
      </c>
      <c r="L315" s="5">
        <f t="shared" si="81"/>
        <v>425000</v>
      </c>
      <c r="M315" s="63">
        <f>L315/Assumptions!$D$6</f>
        <v>1</v>
      </c>
      <c r="N315" s="24">
        <f t="shared" si="85"/>
        <v>0</v>
      </c>
      <c r="O315" s="22">
        <f>N315*Assumptions!$E$25*-1</f>
        <v>0</v>
      </c>
      <c r="P315" s="5">
        <f>Assumptions!$E$35*J315*-1</f>
        <v>-3125.4257201114879</v>
      </c>
      <c r="Q315" s="5">
        <f>J315*Assumptions!$E$36*-1</f>
        <v>-1258.6727383862494</v>
      </c>
      <c r="R315" s="5">
        <f>R303+R303*Assumptions!$D$51</f>
        <v>-1155.2973175245863</v>
      </c>
      <c r="S315" s="5">
        <f>S303+(S303*Assumptions!$D$51)</f>
        <v>0</v>
      </c>
      <c r="T315" s="5">
        <f t="shared" si="75"/>
        <v>0</v>
      </c>
      <c r="U315" s="22">
        <f t="shared" si="70"/>
        <v>-5539.3957760223238</v>
      </c>
      <c r="V315" s="5">
        <f>MAX(Assumptions!$E$18:$E$19)-U315</f>
        <v>8381.0287878210202</v>
      </c>
      <c r="W315" s="5">
        <f t="shared" si="71"/>
        <v>0</v>
      </c>
      <c r="X315" s="5">
        <f t="shared" si="76"/>
        <v>-5539.3957760223238</v>
      </c>
      <c r="Y315" s="5">
        <f>D315*Assumptions!$D$44*-1</f>
        <v>0</v>
      </c>
      <c r="Z315" s="5">
        <f t="shared" si="72"/>
        <v>2841.6330117986963</v>
      </c>
      <c r="AA315" s="5">
        <f t="shared" si="82"/>
        <v>749186.48375584348</v>
      </c>
      <c r="AB315" s="3">
        <f>Assumptions!$E$45</f>
        <v>6.9899151946608562E-3</v>
      </c>
      <c r="AC315" s="5">
        <f t="shared" si="83"/>
        <v>757264.86675408168</v>
      </c>
      <c r="AD315" s="4">
        <f>AC315*Assumptions!$E$43</f>
        <v>678.18786126407281</v>
      </c>
      <c r="AE315" s="2">
        <f>AD315*Assumptions!$D$44*-1</f>
        <v>-101.72817918961091</v>
      </c>
      <c r="AF315" s="2">
        <f>AC315*Assumptions!$E$46*-1</f>
        <v>-25.237535677752131</v>
      </c>
      <c r="AG315" s="5">
        <f t="shared" si="84"/>
        <v>757137.90103921434</v>
      </c>
      <c r="AH315" s="20">
        <f>Model_30y[[#This Row],[Mortgage Payment]]+Model_30y[[#This Row],[Total Upkeep]]+Model_30y[[#This Row],[Monthly Investment]]</f>
        <v>-7017.1393359336626</v>
      </c>
      <c r="AI315" s="5">
        <f>Model_Renter!D315*-1</f>
        <v>7159.4811228126755</v>
      </c>
      <c r="AJ315" s="5">
        <f t="shared" si="77"/>
        <v>142.34178687901294</v>
      </c>
    </row>
    <row r="316" spans="1:36" x14ac:dyDescent="0.25">
      <c r="A316" s="17">
        <f t="shared" si="78"/>
        <v>314</v>
      </c>
      <c r="B316" s="17">
        <f t="shared" si="73"/>
        <v>27</v>
      </c>
      <c r="C316" s="23">
        <f>IFERROR(PPMT(Assumptions!$E$17, A316, 180, Assumptions!$D$8), 0)</f>
        <v>0</v>
      </c>
      <c r="D316" s="38">
        <f>IFERROR(IPMT(Assumptions!$E$17,A316,180,Assumptions!$D$8), 0)</f>
        <v>0</v>
      </c>
      <c r="E316" s="2">
        <f t="shared" si="79"/>
        <v>0</v>
      </c>
      <c r="F316" s="2">
        <f>IF(I315&gt;1, Assumptions!$E$19, 0)*-1</f>
        <v>0</v>
      </c>
      <c r="G316" s="24">
        <f t="shared" si="74"/>
        <v>1</v>
      </c>
      <c r="H316" s="20">
        <f t="shared" si="80"/>
        <v>339999.99999999988</v>
      </c>
      <c r="I316" s="2">
        <f>MAX(Assumptions!$D$8-SUM(Model_15y!H316), 0)</f>
        <v>1.1641532182693481E-10</v>
      </c>
      <c r="J316" s="2">
        <f>J315*(1+(Assumptions!$E$51))</f>
        <v>1523499.2884222807</v>
      </c>
      <c r="K316" s="22">
        <f t="shared" si="69"/>
        <v>1523499.2884222805</v>
      </c>
      <c r="L316" s="5">
        <f t="shared" si="81"/>
        <v>425000</v>
      </c>
      <c r="M316" s="63">
        <f>L316/Assumptions!$D$6</f>
        <v>1</v>
      </c>
      <c r="N316" s="24">
        <f t="shared" si="85"/>
        <v>0</v>
      </c>
      <c r="O316" s="22">
        <f>N316*Assumptions!$E$25*-1</f>
        <v>0</v>
      </c>
      <c r="P316" s="5">
        <f>Assumptions!$E$35*J316*-1</f>
        <v>-3138.1590913718205</v>
      </c>
      <c r="Q316" s="5">
        <f>J316*Assumptions!$E$36*-1</f>
        <v>-1263.8007269255386</v>
      </c>
      <c r="R316" s="5">
        <f>R304+R304*Assumptions!$D$51</f>
        <v>-1155.2973175245863</v>
      </c>
      <c r="S316" s="5">
        <f>S304+(S304*Assumptions!$D$51)</f>
        <v>0</v>
      </c>
      <c r="T316" s="5">
        <f t="shared" si="75"/>
        <v>0</v>
      </c>
      <c r="U316" s="22">
        <f t="shared" si="70"/>
        <v>-5557.2571358219448</v>
      </c>
      <c r="V316" s="5">
        <f>MAX(Assumptions!$E$18:$E$19)-U316</f>
        <v>8398.8901476206411</v>
      </c>
      <c r="W316" s="5">
        <f t="shared" si="71"/>
        <v>0</v>
      </c>
      <c r="X316" s="5">
        <f t="shared" si="76"/>
        <v>-5557.2571358219448</v>
      </c>
      <c r="Y316" s="5">
        <f>D316*Assumptions!$D$44*-1</f>
        <v>0</v>
      </c>
      <c r="Z316" s="5">
        <f t="shared" si="72"/>
        <v>2841.6330117986963</v>
      </c>
      <c r="AA316" s="5">
        <f t="shared" si="82"/>
        <v>757137.90103921434</v>
      </c>
      <c r="AB316" s="3">
        <f>Assumptions!$E$45</f>
        <v>6.9899151946608562E-3</v>
      </c>
      <c r="AC316" s="5">
        <f t="shared" si="83"/>
        <v>765271.86376994068</v>
      </c>
      <c r="AD316" s="4">
        <f>AC316*Assumptions!$E$43</f>
        <v>685.35873161569657</v>
      </c>
      <c r="AE316" s="2">
        <f>AD316*Assumptions!$D$44*-1</f>
        <v>-102.80380974235449</v>
      </c>
      <c r="AF316" s="2">
        <f>AC316*Assumptions!$E$46*-1</f>
        <v>-25.504386659134081</v>
      </c>
      <c r="AG316" s="5">
        <f t="shared" si="84"/>
        <v>765143.55557353923</v>
      </c>
      <c r="AH316" s="20">
        <f>Model_30y[[#This Row],[Mortgage Payment]]+Model_30y[[#This Row],[Total Upkeep]]+Model_30y[[#This Row],[Monthly Investment]]</f>
        <v>-7036.4131834576738</v>
      </c>
      <c r="AI316" s="5">
        <f>Model_Renter!D316*-1</f>
        <v>7159.4811228126755</v>
      </c>
      <c r="AJ316" s="5">
        <f t="shared" si="77"/>
        <v>123.06793935500173</v>
      </c>
    </row>
    <row r="317" spans="1:36" x14ac:dyDescent="0.25">
      <c r="A317" s="17">
        <f t="shared" si="78"/>
        <v>315</v>
      </c>
      <c r="B317" s="17">
        <f t="shared" si="73"/>
        <v>27</v>
      </c>
      <c r="C317" s="23">
        <f>IFERROR(PPMT(Assumptions!$E$17, A317, 180, Assumptions!$D$8), 0)</f>
        <v>0</v>
      </c>
      <c r="D317" s="38">
        <f>IFERROR(IPMT(Assumptions!$E$17,A317,180,Assumptions!$D$8), 0)</f>
        <v>0</v>
      </c>
      <c r="E317" s="2">
        <f t="shared" si="79"/>
        <v>0</v>
      </c>
      <c r="F317" s="2">
        <f>IF(I316&gt;1, Assumptions!$E$19, 0)*-1</f>
        <v>0</v>
      </c>
      <c r="G317" s="24">
        <f t="shared" si="74"/>
        <v>1</v>
      </c>
      <c r="H317" s="20">
        <f t="shared" si="80"/>
        <v>339999.99999999988</v>
      </c>
      <c r="I317" s="2">
        <f>MAX(Assumptions!$D$8-SUM(Model_15y!H317), 0)</f>
        <v>1.1641532182693481E-10</v>
      </c>
      <c r="J317" s="2">
        <f>J316*(1+(Assumptions!$E$51))</f>
        <v>1529706.2131076131</v>
      </c>
      <c r="K317" s="22">
        <f t="shared" si="69"/>
        <v>1529706.2131076129</v>
      </c>
      <c r="L317" s="5">
        <f t="shared" si="81"/>
        <v>425000</v>
      </c>
      <c r="M317" s="63">
        <f>L317/Assumptions!$D$6</f>
        <v>1</v>
      </c>
      <c r="N317" s="24">
        <f t="shared" si="85"/>
        <v>0</v>
      </c>
      <c r="O317" s="22">
        <f>N317*Assumptions!$E$25*-1</f>
        <v>0</v>
      </c>
      <c r="P317" s="5">
        <f>Assumptions!$E$35*J317*-1</f>
        <v>-3150.9443399628508</v>
      </c>
      <c r="Q317" s="5">
        <f>J317*Assumptions!$E$36*-1</f>
        <v>-1268.9496075248981</v>
      </c>
      <c r="R317" s="5">
        <f>R305+R305*Assumptions!$D$51</f>
        <v>-1155.2973175245863</v>
      </c>
      <c r="S317" s="5">
        <f>S305+(S305*Assumptions!$D$51)</f>
        <v>0</v>
      </c>
      <c r="T317" s="5">
        <f t="shared" si="75"/>
        <v>0</v>
      </c>
      <c r="U317" s="22">
        <f t="shared" si="70"/>
        <v>-5575.191265012335</v>
      </c>
      <c r="V317" s="5">
        <f>MAX(Assumptions!$E$18:$E$19)-U317</f>
        <v>8416.8242768110322</v>
      </c>
      <c r="W317" s="5">
        <f t="shared" si="71"/>
        <v>0</v>
      </c>
      <c r="X317" s="5">
        <f t="shared" si="76"/>
        <v>-5575.191265012335</v>
      </c>
      <c r="Y317" s="5">
        <f>D317*Assumptions!$D$44*-1</f>
        <v>0</v>
      </c>
      <c r="Z317" s="5">
        <f t="shared" si="72"/>
        <v>2841.6330117986972</v>
      </c>
      <c r="AA317" s="5">
        <f t="shared" si="82"/>
        <v>765143.55557353923</v>
      </c>
      <c r="AB317" s="3">
        <f>Assumptions!$E$45</f>
        <v>6.9899151946608562E-3</v>
      </c>
      <c r="AC317" s="5">
        <f t="shared" si="83"/>
        <v>773333.47715053824</v>
      </c>
      <c r="AD317" s="4">
        <f>AC317*Assumptions!$E$43</f>
        <v>692.57851504544965</v>
      </c>
      <c r="AE317" s="2">
        <f>AD317*Assumptions!$D$44*-1</f>
        <v>-103.88677725681744</v>
      </c>
      <c r="AF317" s="2">
        <f>AC317*Assumptions!$E$46*-1</f>
        <v>-25.773057852325913</v>
      </c>
      <c r="AG317" s="5">
        <f t="shared" si="84"/>
        <v>773203.8173154291</v>
      </c>
      <c r="AH317" s="20">
        <f>Model_30y[[#This Row],[Mortgage Payment]]+Model_30y[[#This Row],[Total Upkeep]]+Model_30y[[#This Row],[Monthly Investment]]</f>
        <v>-7055.7677103037122</v>
      </c>
      <c r="AI317" s="5">
        <f>Model_Renter!D317*-1</f>
        <v>7159.4811228126755</v>
      </c>
      <c r="AJ317" s="5">
        <f t="shared" si="77"/>
        <v>103.7134125089633</v>
      </c>
    </row>
    <row r="318" spans="1:36" x14ac:dyDescent="0.25">
      <c r="A318" s="17">
        <f t="shared" si="78"/>
        <v>316</v>
      </c>
      <c r="B318" s="17">
        <f t="shared" si="73"/>
        <v>27</v>
      </c>
      <c r="C318" s="23">
        <f>IFERROR(PPMT(Assumptions!$E$17, A318, 180, Assumptions!$D$8), 0)</f>
        <v>0</v>
      </c>
      <c r="D318" s="38">
        <f>IFERROR(IPMT(Assumptions!$E$17,A318,180,Assumptions!$D$8), 0)</f>
        <v>0</v>
      </c>
      <c r="E318" s="2">
        <f t="shared" si="79"/>
        <v>0</v>
      </c>
      <c r="F318" s="2">
        <f>IF(I317&gt;1, Assumptions!$E$19, 0)*-1</f>
        <v>0</v>
      </c>
      <c r="G318" s="24">
        <f t="shared" si="74"/>
        <v>1</v>
      </c>
      <c r="H318" s="20">
        <f t="shared" si="80"/>
        <v>339999.99999999988</v>
      </c>
      <c r="I318" s="2">
        <f>MAX(Assumptions!$D$8-SUM(Model_15y!H318), 0)</f>
        <v>1.1641532182693481E-10</v>
      </c>
      <c r="J318" s="2">
        <f>J317*(1+(Assumptions!$E$51))</f>
        <v>1535938.4255724296</v>
      </c>
      <c r="K318" s="22">
        <f t="shared" si="69"/>
        <v>1535938.4255724293</v>
      </c>
      <c r="L318" s="5">
        <f t="shared" si="81"/>
        <v>425000</v>
      </c>
      <c r="M318" s="63">
        <f>L318/Assumptions!$D$6</f>
        <v>1</v>
      </c>
      <c r="N318" s="24">
        <f t="shared" si="85"/>
        <v>0</v>
      </c>
      <c r="O318" s="22">
        <f>N318*Assumptions!$E$25*-1</f>
        <v>0</v>
      </c>
      <c r="P318" s="5">
        <f>Assumptions!$E$35*J318*-1</f>
        <v>-3163.7816772392453</v>
      </c>
      <c r="Q318" s="5">
        <f>J318*Assumptions!$E$36*-1</f>
        <v>-1274.1194653011664</v>
      </c>
      <c r="R318" s="5">
        <f>R306+R306*Assumptions!$D$51</f>
        <v>-1155.2973175245863</v>
      </c>
      <c r="S318" s="5">
        <f>S306+(S306*Assumptions!$D$51)</f>
        <v>0</v>
      </c>
      <c r="T318" s="5">
        <f t="shared" si="75"/>
        <v>0</v>
      </c>
      <c r="U318" s="22">
        <f t="shared" si="70"/>
        <v>-5593.1984600649976</v>
      </c>
      <c r="V318" s="5">
        <f>MAX(Assumptions!$E$18:$E$19)-U318</f>
        <v>8434.8314718636939</v>
      </c>
      <c r="W318" s="5">
        <f t="shared" si="71"/>
        <v>0</v>
      </c>
      <c r="X318" s="5">
        <f t="shared" si="76"/>
        <v>-5593.1984600649976</v>
      </c>
      <c r="Y318" s="5">
        <f>D318*Assumptions!$D$44*-1</f>
        <v>0</v>
      </c>
      <c r="Z318" s="5">
        <f t="shared" si="72"/>
        <v>2841.6330117986963</v>
      </c>
      <c r="AA318" s="5">
        <f t="shared" si="82"/>
        <v>773203.8173154291</v>
      </c>
      <c r="AB318" s="3">
        <f>Assumptions!$E$45</f>
        <v>6.9899151946608562E-3</v>
      </c>
      <c r="AC318" s="5">
        <f t="shared" si="83"/>
        <v>781450.07943845075</v>
      </c>
      <c r="AD318" s="4">
        <f>AC318*Assumptions!$E$43</f>
        <v>699.84754519333592</v>
      </c>
      <c r="AE318" s="2">
        <f>AD318*Assumptions!$D$44*-1</f>
        <v>-104.97713177900039</v>
      </c>
      <c r="AF318" s="2">
        <f>AC318*Assumptions!$E$46*-1</f>
        <v>-26.043561673137447</v>
      </c>
      <c r="AG318" s="5">
        <f t="shared" si="84"/>
        <v>781319.05874499865</v>
      </c>
      <c r="AH318" s="20">
        <f>Model_30y[[#This Row],[Mortgage Payment]]+Model_30y[[#This Row],[Total Upkeep]]+Model_30y[[#This Row],[Monthly Investment]]</f>
        <v>-7075.2032572388935</v>
      </c>
      <c r="AI318" s="5">
        <f>Model_Renter!D318*-1</f>
        <v>7159.4811228126755</v>
      </c>
      <c r="AJ318" s="5">
        <f t="shared" si="77"/>
        <v>84.277865573782037</v>
      </c>
    </row>
    <row r="319" spans="1:36" x14ac:dyDescent="0.25">
      <c r="A319" s="17">
        <f t="shared" si="78"/>
        <v>317</v>
      </c>
      <c r="B319" s="17">
        <f t="shared" si="73"/>
        <v>27</v>
      </c>
      <c r="C319" s="23">
        <f>IFERROR(PPMT(Assumptions!$E$17, A319, 180, Assumptions!$D$8), 0)</f>
        <v>0</v>
      </c>
      <c r="D319" s="38">
        <f>IFERROR(IPMT(Assumptions!$E$17,A319,180,Assumptions!$D$8), 0)</f>
        <v>0</v>
      </c>
      <c r="E319" s="2">
        <f t="shared" si="79"/>
        <v>0</v>
      </c>
      <c r="F319" s="2">
        <f>IF(I318&gt;1, Assumptions!$E$19, 0)*-1</f>
        <v>0</v>
      </c>
      <c r="G319" s="24">
        <f t="shared" si="74"/>
        <v>1</v>
      </c>
      <c r="H319" s="20">
        <f t="shared" si="80"/>
        <v>339999.99999999988</v>
      </c>
      <c r="I319" s="2">
        <f>MAX(Assumptions!$D$8-SUM(Model_15y!H319), 0)</f>
        <v>1.1641532182693481E-10</v>
      </c>
      <c r="J319" s="2">
        <f>J318*(1+(Assumptions!$E$51))</f>
        <v>1542196.0288422736</v>
      </c>
      <c r="K319" s="22">
        <f t="shared" si="69"/>
        <v>1542196.0288422736</v>
      </c>
      <c r="L319" s="5">
        <f t="shared" si="81"/>
        <v>425000</v>
      </c>
      <c r="M319" s="63">
        <f>L319/Assumptions!$D$6</f>
        <v>1</v>
      </c>
      <c r="N319" s="24">
        <f t="shared" si="85"/>
        <v>0</v>
      </c>
      <c r="O319" s="22">
        <f>N319*Assumptions!$E$25*-1</f>
        <v>0</v>
      </c>
      <c r="P319" s="5">
        <f>Assumptions!$E$35*J319*-1</f>
        <v>-3176.6713154167569</v>
      </c>
      <c r="Q319" s="5">
        <f>J319*Assumptions!$E$36*-1</f>
        <v>-1279.3103857179592</v>
      </c>
      <c r="R319" s="5">
        <f>R307+R307*Assumptions!$D$51</f>
        <v>-1155.2973175245863</v>
      </c>
      <c r="S319" s="5">
        <f>S307+(S307*Assumptions!$D$51)</f>
        <v>0</v>
      </c>
      <c r="T319" s="5">
        <f t="shared" si="75"/>
        <v>0</v>
      </c>
      <c r="U319" s="22">
        <f t="shared" si="70"/>
        <v>-5611.279018659302</v>
      </c>
      <c r="V319" s="5">
        <f>MAX(Assumptions!$E$18:$E$19)-U319</f>
        <v>8452.9120304579992</v>
      </c>
      <c r="W319" s="5">
        <f t="shared" si="71"/>
        <v>0</v>
      </c>
      <c r="X319" s="5">
        <f t="shared" si="76"/>
        <v>-5611.279018659302</v>
      </c>
      <c r="Y319" s="5">
        <f>D319*Assumptions!$D$44*-1</f>
        <v>0</v>
      </c>
      <c r="Z319" s="5">
        <f t="shared" si="72"/>
        <v>2841.6330117986972</v>
      </c>
      <c r="AA319" s="5">
        <f t="shared" si="82"/>
        <v>781319.05874499865</v>
      </c>
      <c r="AB319" s="3">
        <f>Assumptions!$E$45</f>
        <v>6.9899151946608562E-3</v>
      </c>
      <c r="AC319" s="5">
        <f t="shared" si="83"/>
        <v>789622.04571739712</v>
      </c>
      <c r="AD319" s="4">
        <f>AC319*Assumptions!$E$43</f>
        <v>707.16615797514419</v>
      </c>
      <c r="AE319" s="2">
        <f>AD319*Assumptions!$D$44*-1</f>
        <v>-106.07492369627163</v>
      </c>
      <c r="AF319" s="2">
        <f>AC319*Assumptions!$E$46*-1</f>
        <v>-26.315910622067719</v>
      </c>
      <c r="AG319" s="5">
        <f t="shared" si="84"/>
        <v>789489.65488307877</v>
      </c>
      <c r="AH319" s="20">
        <f>Model_30y[[#This Row],[Mortgage Payment]]+Model_30y[[#This Row],[Total Upkeep]]+Model_30y[[#This Row],[Monthly Investment]]</f>
        <v>-7094.7201664862596</v>
      </c>
      <c r="AI319" s="5">
        <f>Model_Renter!D319*-1</f>
        <v>7159.4811228126755</v>
      </c>
      <c r="AJ319" s="5">
        <f t="shared" si="77"/>
        <v>64.760956326415908</v>
      </c>
    </row>
    <row r="320" spans="1:36" x14ac:dyDescent="0.25">
      <c r="A320" s="17">
        <f t="shared" si="78"/>
        <v>318</v>
      </c>
      <c r="B320" s="17">
        <f t="shared" si="73"/>
        <v>27</v>
      </c>
      <c r="C320" s="23">
        <f>IFERROR(PPMT(Assumptions!$E$17, A320, 180, Assumptions!$D$8), 0)</f>
        <v>0</v>
      </c>
      <c r="D320" s="38">
        <f>IFERROR(IPMT(Assumptions!$E$17,A320,180,Assumptions!$D$8), 0)</f>
        <v>0</v>
      </c>
      <c r="E320" s="2">
        <f t="shared" si="79"/>
        <v>0</v>
      </c>
      <c r="F320" s="2">
        <f>IF(I319&gt;1, Assumptions!$E$19, 0)*-1</f>
        <v>0</v>
      </c>
      <c r="G320" s="24">
        <f t="shared" si="74"/>
        <v>1</v>
      </c>
      <c r="H320" s="20">
        <f t="shared" si="80"/>
        <v>339999.99999999988</v>
      </c>
      <c r="I320" s="2">
        <f>MAX(Assumptions!$D$8-SUM(Model_15y!H320), 0)</f>
        <v>1.1641532182693481E-10</v>
      </c>
      <c r="J320" s="2">
        <f>J319*(1+(Assumptions!$E$51))</f>
        <v>1548479.1263624281</v>
      </c>
      <c r="K320" s="22">
        <f t="shared" si="69"/>
        <v>1548479.1263624281</v>
      </c>
      <c r="L320" s="5">
        <f t="shared" si="81"/>
        <v>425000</v>
      </c>
      <c r="M320" s="63">
        <f>L320/Assumptions!$D$6</f>
        <v>1</v>
      </c>
      <c r="N320" s="24">
        <f t="shared" si="85"/>
        <v>0</v>
      </c>
      <c r="O320" s="22">
        <f>N320*Assumptions!$E$25*-1</f>
        <v>0</v>
      </c>
      <c r="P320" s="5">
        <f>Assumptions!$E$35*J320*-1</f>
        <v>-3189.6134675757298</v>
      </c>
      <c r="Q320" s="5">
        <f>J320*Assumptions!$E$36*-1</f>
        <v>-1284.5224545870813</v>
      </c>
      <c r="R320" s="5">
        <f>R308+R308*Assumptions!$D$51</f>
        <v>-1155.2973175245863</v>
      </c>
      <c r="S320" s="5">
        <f>S308+(S308*Assumptions!$D$51)</f>
        <v>0</v>
      </c>
      <c r="T320" s="5">
        <f t="shared" si="75"/>
        <v>0</v>
      </c>
      <c r="U320" s="22">
        <f t="shared" si="70"/>
        <v>-5629.433239687397</v>
      </c>
      <c r="V320" s="5">
        <f>MAX(Assumptions!$E$18:$E$19)-U320</f>
        <v>8471.0662514860942</v>
      </c>
      <c r="W320" s="5">
        <f t="shared" si="71"/>
        <v>0</v>
      </c>
      <c r="X320" s="5">
        <f t="shared" si="76"/>
        <v>-5629.433239687397</v>
      </c>
      <c r="Y320" s="5">
        <f>D320*Assumptions!$D$44*-1</f>
        <v>0</v>
      </c>
      <c r="Z320" s="5">
        <f t="shared" si="72"/>
        <v>2841.6330117986972</v>
      </c>
      <c r="AA320" s="5">
        <f t="shared" si="82"/>
        <v>789489.65488307877</v>
      </c>
      <c r="AB320" s="3">
        <f>Assumptions!$E$45</f>
        <v>6.9899151946608562E-3</v>
      </c>
      <c r="AC320" s="5">
        <f t="shared" si="83"/>
        <v>797849.75362957222</v>
      </c>
      <c r="AD320" s="4">
        <f>AC320*Assumptions!$E$43</f>
        <v>714.5346915979718</v>
      </c>
      <c r="AE320" s="2">
        <f>AD320*Assumptions!$D$44*-1</f>
        <v>-107.18020373969577</v>
      </c>
      <c r="AF320" s="2">
        <f>AC320*Assumptions!$E$46*-1</f>
        <v>-26.590117284882666</v>
      </c>
      <c r="AG320" s="5">
        <f t="shared" si="84"/>
        <v>797715.98330854764</v>
      </c>
      <c r="AH320" s="20">
        <f>Model_30y[[#This Row],[Mortgage Payment]]+Model_30y[[#This Row],[Total Upkeep]]+Model_30y[[#This Row],[Monthly Investment]]</f>
        <v>-7114.3187817310727</v>
      </c>
      <c r="AI320" s="5">
        <f>Model_Renter!D320*-1</f>
        <v>7159.4811228126755</v>
      </c>
      <c r="AJ320" s="5">
        <f t="shared" si="77"/>
        <v>45.16234108160279</v>
      </c>
    </row>
    <row r="321" spans="1:36" x14ac:dyDescent="0.25">
      <c r="A321" s="17">
        <f t="shared" si="78"/>
        <v>319</v>
      </c>
      <c r="B321" s="17">
        <f t="shared" si="73"/>
        <v>27</v>
      </c>
      <c r="C321" s="23">
        <f>IFERROR(PPMT(Assumptions!$E$17, A321, 180, Assumptions!$D$8), 0)</f>
        <v>0</v>
      </c>
      <c r="D321" s="38">
        <f>IFERROR(IPMT(Assumptions!$E$17,A321,180,Assumptions!$D$8), 0)</f>
        <v>0</v>
      </c>
      <c r="E321" s="2">
        <f t="shared" si="79"/>
        <v>0</v>
      </c>
      <c r="F321" s="2">
        <f>IF(I320&gt;1, Assumptions!$E$19, 0)*-1</f>
        <v>0</v>
      </c>
      <c r="G321" s="24">
        <f t="shared" si="74"/>
        <v>1</v>
      </c>
      <c r="H321" s="20">
        <f t="shared" si="80"/>
        <v>339999.99999999988</v>
      </c>
      <c r="I321" s="2">
        <f>MAX(Assumptions!$D$8-SUM(Model_15y!H321), 0)</f>
        <v>1.1641532182693481E-10</v>
      </c>
      <c r="J321" s="2">
        <f>J320*(1+(Assumptions!$E$51))</f>
        <v>1554787.8219996244</v>
      </c>
      <c r="K321" s="22">
        <f t="shared" si="69"/>
        <v>1554787.8219996244</v>
      </c>
      <c r="L321" s="5">
        <f t="shared" si="81"/>
        <v>425000</v>
      </c>
      <c r="M321" s="63">
        <f>L321/Assumptions!$D$6</f>
        <v>1</v>
      </c>
      <c r="N321" s="24">
        <f t="shared" si="85"/>
        <v>0</v>
      </c>
      <c r="O321" s="22">
        <f>N321*Assumptions!$E$25*-1</f>
        <v>0</v>
      </c>
      <c r="P321" s="5">
        <f>Assumptions!$E$35*J321*-1</f>
        <v>-3202.6083476646254</v>
      </c>
      <c r="Q321" s="5">
        <f>J321*Assumptions!$E$36*-1</f>
        <v>-1289.7557580699449</v>
      </c>
      <c r="R321" s="5">
        <f>R309+R309*Assumptions!$D$51</f>
        <v>-1155.2973175245863</v>
      </c>
      <c r="S321" s="5">
        <f>S309+(S309*Assumptions!$D$51)</f>
        <v>0</v>
      </c>
      <c r="T321" s="5">
        <f t="shared" si="75"/>
        <v>0</v>
      </c>
      <c r="U321" s="22">
        <f t="shared" si="70"/>
        <v>-5647.6614232591564</v>
      </c>
      <c r="V321" s="5">
        <f>MAX(Assumptions!$E$18:$E$19)-U321</f>
        <v>8489.2944350578528</v>
      </c>
      <c r="W321" s="5">
        <f t="shared" si="71"/>
        <v>0</v>
      </c>
      <c r="X321" s="5">
        <f t="shared" si="76"/>
        <v>-5647.6614232591564</v>
      </c>
      <c r="Y321" s="5">
        <f>D321*Assumptions!$D$44*-1</f>
        <v>0</v>
      </c>
      <c r="Z321" s="5">
        <f t="shared" si="72"/>
        <v>2841.6330117986963</v>
      </c>
      <c r="AA321" s="5">
        <f t="shared" si="82"/>
        <v>797715.98330854764</v>
      </c>
      <c r="AB321" s="3">
        <f>Assumptions!$E$45</f>
        <v>6.9899151946608562E-3</v>
      </c>
      <c r="AC321" s="5">
        <f t="shared" si="83"/>
        <v>806133.58339309855</v>
      </c>
      <c r="AD321" s="4">
        <f>AC321*Assumptions!$E$43</f>
        <v>721.95348657585373</v>
      </c>
      <c r="AE321" s="2">
        <f>AD321*Assumptions!$D$44*-1</f>
        <v>-108.29302298637806</v>
      </c>
      <c r="AF321" s="2">
        <f>AC321*Assumptions!$E$46*-1</f>
        <v>-26.866194333196745</v>
      </c>
      <c r="AG321" s="5">
        <f t="shared" si="84"/>
        <v>805998.42417577899</v>
      </c>
      <c r="AH321" s="20">
        <f>Model_30y[[#This Row],[Mortgage Payment]]+Model_30y[[#This Row],[Total Upkeep]]+Model_30y[[#This Row],[Monthly Investment]]</f>
        <v>-7133.9994481271642</v>
      </c>
      <c r="AI321" s="5">
        <f>Model_Renter!D321*-1</f>
        <v>7159.4811228126755</v>
      </c>
      <c r="AJ321" s="5">
        <f t="shared" si="77"/>
        <v>25.48167468551128</v>
      </c>
    </row>
    <row r="322" spans="1:36" x14ac:dyDescent="0.25">
      <c r="A322" s="17">
        <f t="shared" si="78"/>
        <v>320</v>
      </c>
      <c r="B322" s="17">
        <f t="shared" si="73"/>
        <v>27</v>
      </c>
      <c r="C322" s="23">
        <f>IFERROR(PPMT(Assumptions!$E$17, A322, 180, Assumptions!$D$8), 0)</f>
        <v>0</v>
      </c>
      <c r="D322" s="38">
        <f>IFERROR(IPMT(Assumptions!$E$17,A322,180,Assumptions!$D$8), 0)</f>
        <v>0</v>
      </c>
      <c r="E322" s="2">
        <f t="shared" si="79"/>
        <v>0</v>
      </c>
      <c r="F322" s="2">
        <f>IF(I321&gt;1, Assumptions!$E$19, 0)*-1</f>
        <v>0</v>
      </c>
      <c r="G322" s="24">
        <f t="shared" si="74"/>
        <v>1</v>
      </c>
      <c r="H322" s="20">
        <f t="shared" si="80"/>
        <v>339999.99999999988</v>
      </c>
      <c r="I322" s="2">
        <f>MAX(Assumptions!$D$8-SUM(Model_15y!H322), 0)</f>
        <v>1.1641532182693481E-10</v>
      </c>
      <c r="J322" s="2">
        <f>J321*(1+(Assumptions!$E$51))</f>
        <v>1561122.2200437598</v>
      </c>
      <c r="K322" s="22">
        <f t="shared" ref="K322:K385" si="86">J322-I322</f>
        <v>1561122.2200437598</v>
      </c>
      <c r="L322" s="5">
        <f t="shared" si="81"/>
        <v>425000</v>
      </c>
      <c r="M322" s="63">
        <f>L322/Assumptions!$D$6</f>
        <v>1</v>
      </c>
      <c r="N322" s="24">
        <f t="shared" si="85"/>
        <v>0</v>
      </c>
      <c r="O322" s="22">
        <f>N322*Assumptions!$E$25*-1</f>
        <v>0</v>
      </c>
      <c r="P322" s="5">
        <f>Assumptions!$E$35*J322*-1</f>
        <v>-3215.6561705035565</v>
      </c>
      <c r="Q322" s="5">
        <f>J322*Assumptions!$E$36*-1</f>
        <v>-1295.010382678995</v>
      </c>
      <c r="R322" s="5">
        <f>R310+R310*Assumptions!$D$51</f>
        <v>-1155.2973175245863</v>
      </c>
      <c r="S322" s="5">
        <f>S310+(S310*Assumptions!$D$51)</f>
        <v>0</v>
      </c>
      <c r="T322" s="5">
        <f t="shared" si="75"/>
        <v>0</v>
      </c>
      <c r="U322" s="22">
        <f t="shared" ref="U322:U385" si="87">SUM(P322:T322)</f>
        <v>-5665.9638707071372</v>
      </c>
      <c r="V322" s="5">
        <f>MAX(Assumptions!$E$18:$E$19)-U322</f>
        <v>8507.5968825058335</v>
      </c>
      <c r="W322" s="5">
        <f t="shared" ref="W322:W385" si="88">F322</f>
        <v>0</v>
      </c>
      <c r="X322" s="5">
        <f t="shared" si="76"/>
        <v>-5665.9638707071372</v>
      </c>
      <c r="Y322" s="5">
        <f>D322*Assumptions!$D$44*-1</f>
        <v>0</v>
      </c>
      <c r="Z322" s="5">
        <f t="shared" ref="Z322:Z385" si="89">SUM(V322:Y322)</f>
        <v>2841.6330117986963</v>
      </c>
      <c r="AA322" s="5">
        <f t="shared" si="82"/>
        <v>805998.42417577899</v>
      </c>
      <c r="AB322" s="3">
        <f>Assumptions!$E$45</f>
        <v>6.9899151946608562E-3</v>
      </c>
      <c r="AC322" s="5">
        <f t="shared" si="83"/>
        <v>814473.91781959671</v>
      </c>
      <c r="AD322" s="4">
        <f>AC322*Assumptions!$E$43</f>
        <v>729.42288574549821</v>
      </c>
      <c r="AE322" s="2">
        <f>AD322*Assumptions!$D$44*-1</f>
        <v>-109.41343286182473</v>
      </c>
      <c r="AF322" s="2">
        <f>AC322*Assumptions!$E$46*-1</f>
        <v>-27.1441545250585</v>
      </c>
      <c r="AG322" s="5">
        <f t="shared" si="84"/>
        <v>814337.36023220979</v>
      </c>
      <c r="AH322" s="20">
        <f>Model_30y[[#This Row],[Mortgage Payment]]+Model_30y[[#This Row],[Total Upkeep]]+Model_30y[[#This Row],[Monthly Investment]]</f>
        <v>-7153.7625123032931</v>
      </c>
      <c r="AI322" s="5">
        <f>Model_Renter!D322*-1</f>
        <v>7159.4811228126755</v>
      </c>
      <c r="AJ322" s="5">
        <f t="shared" si="77"/>
        <v>5.7186105093824153</v>
      </c>
    </row>
    <row r="323" spans="1:36" x14ac:dyDescent="0.25">
      <c r="A323" s="17">
        <f t="shared" si="78"/>
        <v>321</v>
      </c>
      <c r="B323" s="17">
        <f t="shared" ref="B323:B386" si="90">ROUNDUP(A323/12,0)</f>
        <v>27</v>
      </c>
      <c r="C323" s="23">
        <f>IFERROR(PPMT(Assumptions!$E$17, A323, 180, Assumptions!$D$8), 0)</f>
        <v>0</v>
      </c>
      <c r="D323" s="38">
        <f>IFERROR(IPMT(Assumptions!$E$17,A323,180,Assumptions!$D$8), 0)</f>
        <v>0</v>
      </c>
      <c r="E323" s="2">
        <f t="shared" si="79"/>
        <v>0</v>
      </c>
      <c r="F323" s="2">
        <f>IF(I322&gt;1, Assumptions!$E$19, 0)*-1</f>
        <v>0</v>
      </c>
      <c r="G323" s="24">
        <f t="shared" ref="G323:G386" si="91">IF(E323-F323&lt;1, 1, 0)</f>
        <v>1</v>
      </c>
      <c r="H323" s="20">
        <f t="shared" si="80"/>
        <v>339999.99999999988</v>
      </c>
      <c r="I323" s="2">
        <f>MAX(Assumptions!$D$8-SUM(Model_15y!H323), 0)</f>
        <v>1.1641532182693481E-10</v>
      </c>
      <c r="J323" s="2">
        <f>J322*(1+(Assumptions!$E$51))</f>
        <v>1567482.4252096219</v>
      </c>
      <c r="K323" s="22">
        <f t="shared" si="86"/>
        <v>1567482.4252096219</v>
      </c>
      <c r="L323" s="5">
        <f t="shared" si="81"/>
        <v>425000</v>
      </c>
      <c r="M323" s="63">
        <f>L323/Assumptions!$D$6</f>
        <v>1</v>
      </c>
      <c r="N323" s="24">
        <f t="shared" si="85"/>
        <v>0</v>
      </c>
      <c r="O323" s="22">
        <f>N323*Assumptions!$E$25*-1</f>
        <v>0</v>
      </c>
      <c r="P323" s="5">
        <f>Assumptions!$E$35*J323*-1</f>
        <v>-3228.7571517878405</v>
      </c>
      <c r="Q323" s="5">
        <f>J323*Assumptions!$E$36*-1</f>
        <v>-1300.286415279139</v>
      </c>
      <c r="R323" s="5">
        <f>R311+R311*Assumptions!$D$51</f>
        <v>-1155.2973175245863</v>
      </c>
      <c r="S323" s="5">
        <f>S311+(S311*Assumptions!$D$51)</f>
        <v>0</v>
      </c>
      <c r="T323" s="5">
        <f t="shared" ref="T323:T386" si="92">O323</f>
        <v>0</v>
      </c>
      <c r="U323" s="22">
        <f t="shared" si="87"/>
        <v>-5684.3408845915656</v>
      </c>
      <c r="V323" s="5">
        <f>MAX(Assumptions!$E$18:$E$19)-U323</f>
        <v>8525.9738963902619</v>
      </c>
      <c r="W323" s="5">
        <f t="shared" si="88"/>
        <v>0</v>
      </c>
      <c r="X323" s="5">
        <f t="shared" ref="X323:X386" si="93">U323</f>
        <v>-5684.3408845915656</v>
      </c>
      <c r="Y323" s="5">
        <f>D323*Assumptions!$D$44*-1</f>
        <v>0</v>
      </c>
      <c r="Z323" s="5">
        <f t="shared" si="89"/>
        <v>2841.6330117986963</v>
      </c>
      <c r="AA323" s="5">
        <f t="shared" si="82"/>
        <v>814337.36023220979</v>
      </c>
      <c r="AB323" s="3">
        <f>Assumptions!$E$45</f>
        <v>6.9899151946608562E-3</v>
      </c>
      <c r="AC323" s="5">
        <f t="shared" si="83"/>
        <v>822871.14233187563</v>
      </c>
      <c r="AD323" s="4">
        <f>AC323*Assumptions!$E$43</f>
        <v>736.94323428212999</v>
      </c>
      <c r="AE323" s="2">
        <f>AD323*Assumptions!$D$44*-1</f>
        <v>-110.5414851423195</v>
      </c>
      <c r="AF323" s="2">
        <f>AC323*Assumptions!$E$46*-1</f>
        <v>-27.424010705540141</v>
      </c>
      <c r="AG323" s="5">
        <f t="shared" si="84"/>
        <v>822733.17683602776</v>
      </c>
      <c r="AH323" s="20">
        <f>Model_30y[[#This Row],[Mortgage Payment]]+Model_30y[[#This Row],[Total Upkeep]]+Model_30y[[#This Row],[Monthly Investment]]</f>
        <v>-7173.6083223695477</v>
      </c>
      <c r="AI323" s="5">
        <f>Model_Renter!D323*-1</f>
        <v>7159.4811228126755</v>
      </c>
      <c r="AJ323" s="5">
        <f t="shared" ref="AJ323:AJ386" si="94">SUM(AH323:AI323)</f>
        <v>-14.127199556872256</v>
      </c>
    </row>
    <row r="324" spans="1:36" x14ac:dyDescent="0.25">
      <c r="A324" s="17">
        <f t="shared" ref="A324:A387" si="95">A323+1</f>
        <v>322</v>
      </c>
      <c r="B324" s="17">
        <f t="shared" si="90"/>
        <v>27</v>
      </c>
      <c r="C324" s="23">
        <f>IFERROR(PPMT(Assumptions!$E$17, A324, 180, Assumptions!$D$8), 0)</f>
        <v>0</v>
      </c>
      <c r="D324" s="38">
        <f>IFERROR(IPMT(Assumptions!$E$17,A324,180,Assumptions!$D$8), 0)</f>
        <v>0</v>
      </c>
      <c r="E324" s="2">
        <f t="shared" ref="E324:E387" si="96">SUM(C324:D324)</f>
        <v>0</v>
      </c>
      <c r="F324" s="2">
        <f>IF(I323&gt;1, Assumptions!$E$19, 0)*-1</f>
        <v>0</v>
      </c>
      <c r="G324" s="24">
        <f t="shared" si="91"/>
        <v>1</v>
      </c>
      <c r="H324" s="20">
        <f t="shared" ref="H324:H387" si="97">H323+C324*-1</f>
        <v>339999.99999999988</v>
      </c>
      <c r="I324" s="2">
        <f>MAX(Assumptions!$D$8-SUM(Model_15y!H324), 0)</f>
        <v>1.1641532182693481E-10</v>
      </c>
      <c r="J324" s="2">
        <f>J323*(1+(Assumptions!$E$51))</f>
        <v>1573868.5426386192</v>
      </c>
      <c r="K324" s="22">
        <f t="shared" si="86"/>
        <v>1573868.542638619</v>
      </c>
      <c r="L324" s="5">
        <f t="shared" ref="L324:L387" si="98">L323+C324*-1</f>
        <v>425000</v>
      </c>
      <c r="M324" s="63">
        <f>L324/Assumptions!$D$6</f>
        <v>1</v>
      </c>
      <c r="N324" s="24">
        <f t="shared" si="85"/>
        <v>0</v>
      </c>
      <c r="O324" s="22">
        <f>N324*Assumptions!$E$25*-1</f>
        <v>0</v>
      </c>
      <c r="P324" s="5">
        <f>Assumptions!$E$35*J324*-1</f>
        <v>-3241.911508091564</v>
      </c>
      <c r="Q324" s="5">
        <f>J324*Assumptions!$E$36*-1</f>
        <v>-1305.5839430891826</v>
      </c>
      <c r="R324" s="5">
        <f>R312+R312*Assumptions!$D$51</f>
        <v>-1155.2973175245863</v>
      </c>
      <c r="S324" s="5">
        <f>S312+(S312*Assumptions!$D$51)</f>
        <v>0</v>
      </c>
      <c r="T324" s="5">
        <f t="shared" si="92"/>
        <v>0</v>
      </c>
      <c r="U324" s="22">
        <f t="shared" si="87"/>
        <v>-5702.7927687053325</v>
      </c>
      <c r="V324" s="5">
        <f>MAX(Assumptions!$E$18:$E$19)-U324</f>
        <v>8544.4257805040288</v>
      </c>
      <c r="W324" s="5">
        <f t="shared" si="88"/>
        <v>0</v>
      </c>
      <c r="X324" s="5">
        <f t="shared" si="93"/>
        <v>-5702.7927687053325</v>
      </c>
      <c r="Y324" s="5">
        <f>D324*Assumptions!$D$44*-1</f>
        <v>0</v>
      </c>
      <c r="Z324" s="5">
        <f t="shared" si="89"/>
        <v>2841.6330117986963</v>
      </c>
      <c r="AA324" s="5">
        <f t="shared" ref="AA324:AA387" si="99">AG323</f>
        <v>822733.17683602776</v>
      </c>
      <c r="AB324" s="3">
        <f>Assumptions!$E$45</f>
        <v>6.9899151946608562E-3</v>
      </c>
      <c r="AC324" s="5">
        <f t="shared" ref="AC324:AC387" si="100">(AA324+Z324)+(AA324*AB324)</f>
        <v>831325.64498174423</v>
      </c>
      <c r="AD324" s="4">
        <f>AC324*Assumptions!$E$43</f>
        <v>744.51487971544157</v>
      </c>
      <c r="AE324" s="2">
        <f>AD324*Assumptions!$D$44*-1</f>
        <v>-111.67723195731624</v>
      </c>
      <c r="AF324" s="2">
        <f>AC324*Assumptions!$E$46*-1</f>
        <v>-27.705775807331136</v>
      </c>
      <c r="AG324" s="5">
        <f t="shared" ref="AG324:AG387" si="101">AC324+SUM(AE324:AF324)</f>
        <v>831186.26197397953</v>
      </c>
      <c r="AH324" s="20">
        <f>Model_30y[[#This Row],[Mortgage Payment]]+Model_30y[[#This Row],[Total Upkeep]]+Model_30y[[#This Row],[Monthly Investment]]</f>
        <v>-7193.537227923759</v>
      </c>
      <c r="AI324" s="5">
        <f>Model_Renter!D324*-1</f>
        <v>7159.4811228126755</v>
      </c>
      <c r="AJ324" s="5">
        <f t="shared" si="94"/>
        <v>-34.056105111083525</v>
      </c>
    </row>
    <row r="325" spans="1:36" x14ac:dyDescent="0.25">
      <c r="A325" s="17">
        <f t="shared" si="95"/>
        <v>323</v>
      </c>
      <c r="B325" s="17">
        <f t="shared" si="90"/>
        <v>27</v>
      </c>
      <c r="C325" s="23">
        <f>IFERROR(PPMT(Assumptions!$E$17, A325, 180, Assumptions!$D$8), 0)</f>
        <v>0</v>
      </c>
      <c r="D325" s="38">
        <f>IFERROR(IPMT(Assumptions!$E$17,A325,180,Assumptions!$D$8), 0)</f>
        <v>0</v>
      </c>
      <c r="E325" s="2">
        <f t="shared" si="96"/>
        <v>0</v>
      </c>
      <c r="F325" s="2">
        <f>IF(I324&gt;1, Assumptions!$E$19, 0)*-1</f>
        <v>0</v>
      </c>
      <c r="G325" s="24">
        <f t="shared" si="91"/>
        <v>1</v>
      </c>
      <c r="H325" s="20">
        <f t="shared" si="97"/>
        <v>339999.99999999988</v>
      </c>
      <c r="I325" s="2">
        <f>MAX(Assumptions!$D$8-SUM(Model_15y!H325), 0)</f>
        <v>1.1641532182693481E-10</v>
      </c>
      <c r="J325" s="2">
        <f>J324*(1+(Assumptions!$E$51))</f>
        <v>1580280.6779005192</v>
      </c>
      <c r="K325" s="22">
        <f t="shared" si="86"/>
        <v>1580280.6779005192</v>
      </c>
      <c r="L325" s="5">
        <f t="shared" si="98"/>
        <v>425000</v>
      </c>
      <c r="M325" s="63">
        <f>L325/Assumptions!$D$6</f>
        <v>1</v>
      </c>
      <c r="N325" s="24">
        <f t="shared" si="85"/>
        <v>0</v>
      </c>
      <c r="O325" s="22">
        <f>N325*Assumptions!$E$25*-1</f>
        <v>0</v>
      </c>
      <c r="P325" s="5">
        <f>Assumptions!$E$35*J325*-1</f>
        <v>-3255.1194568711635</v>
      </c>
      <c r="Q325" s="5">
        <f>J325*Assumptions!$E$36*-1</f>
        <v>-1310.9030536832715</v>
      </c>
      <c r="R325" s="5">
        <f>R313+R313*Assumptions!$D$51</f>
        <v>-1155.2973175245863</v>
      </c>
      <c r="S325" s="5">
        <f>S313+(S313*Assumptions!$D$51)</f>
        <v>0</v>
      </c>
      <c r="T325" s="5">
        <f t="shared" si="92"/>
        <v>0</v>
      </c>
      <c r="U325" s="22">
        <f t="shared" si="87"/>
        <v>-5721.3198280790211</v>
      </c>
      <c r="V325" s="5">
        <f>MAX(Assumptions!$E$18:$E$19)-U325</f>
        <v>8562.9528398777184</v>
      </c>
      <c r="W325" s="5">
        <f t="shared" si="88"/>
        <v>0</v>
      </c>
      <c r="X325" s="5">
        <f t="shared" si="93"/>
        <v>-5721.3198280790211</v>
      </c>
      <c r="Y325" s="5">
        <f>D325*Assumptions!$D$44*-1</f>
        <v>0</v>
      </c>
      <c r="Z325" s="5">
        <f t="shared" si="89"/>
        <v>2841.6330117986972</v>
      </c>
      <c r="AA325" s="5">
        <f t="shared" si="99"/>
        <v>831186.26197397953</v>
      </c>
      <c r="AB325" s="3">
        <f>Assumptions!$E$45</f>
        <v>6.9899151946608562E-3</v>
      </c>
      <c r="AC325" s="5">
        <f t="shared" si="100"/>
        <v>839837.81646794348</v>
      </c>
      <c r="AD325" s="4">
        <f>AC325*Assumptions!$E$43</f>
        <v>752.13817194565297</v>
      </c>
      <c r="AE325" s="2">
        <f>AD325*Assumptions!$D$44*-1</f>
        <v>-112.82072579184795</v>
      </c>
      <c r="AF325" s="2">
        <f>AC325*Assumptions!$E$46*-1</f>
        <v>-27.989462851335862</v>
      </c>
      <c r="AG325" s="5">
        <f t="shared" si="101"/>
        <v>839697.00627930032</v>
      </c>
      <c r="AH325" s="20">
        <f>Model_30y[[#This Row],[Mortgage Payment]]+Model_30y[[#This Row],[Total Upkeep]]+Model_30y[[#This Row],[Monthly Investment]]</f>
        <v>-7213.5495800579583</v>
      </c>
      <c r="AI325" s="5">
        <f>Model_Renter!D325*-1</f>
        <v>7159.4811228126755</v>
      </c>
      <c r="AJ325" s="5">
        <f t="shared" si="94"/>
        <v>-54.068457245282843</v>
      </c>
    </row>
    <row r="326" spans="1:36" x14ac:dyDescent="0.25">
      <c r="A326" s="17">
        <f t="shared" si="95"/>
        <v>324</v>
      </c>
      <c r="B326" s="17">
        <f t="shared" si="90"/>
        <v>27</v>
      </c>
      <c r="C326" s="23">
        <f>IFERROR(PPMT(Assumptions!$E$17, A326, 180, Assumptions!$D$8), 0)</f>
        <v>0</v>
      </c>
      <c r="D326" s="38">
        <f>IFERROR(IPMT(Assumptions!$E$17,A326,180,Assumptions!$D$8), 0)</f>
        <v>0</v>
      </c>
      <c r="E326" s="2">
        <f t="shared" si="96"/>
        <v>0</v>
      </c>
      <c r="F326" s="2">
        <f>IF(I325&gt;1, Assumptions!$E$19, 0)*-1</f>
        <v>0</v>
      </c>
      <c r="G326" s="24">
        <f t="shared" si="91"/>
        <v>1</v>
      </c>
      <c r="H326" s="20">
        <f t="shared" si="97"/>
        <v>339999.99999999988</v>
      </c>
      <c r="I326" s="2">
        <f>MAX(Assumptions!$D$8-SUM(Model_15y!H326), 0)</f>
        <v>1.1641532182693481E-10</v>
      </c>
      <c r="J326" s="2">
        <f>J325*(1+(Assumptions!$E$51))</f>
        <v>1586718.9369951936</v>
      </c>
      <c r="K326" s="22">
        <f t="shared" si="86"/>
        <v>1586718.9369951934</v>
      </c>
      <c r="L326" s="5">
        <f t="shared" si="98"/>
        <v>425000</v>
      </c>
      <c r="M326" s="63">
        <f>L326/Assumptions!$D$6</f>
        <v>1</v>
      </c>
      <c r="N326" s="24">
        <f t="shared" si="85"/>
        <v>0</v>
      </c>
      <c r="O326" s="22">
        <f>N326*Assumptions!$E$25*-1</f>
        <v>0</v>
      </c>
      <c r="P326" s="5">
        <f>Assumptions!$E$35*J326*-1</f>
        <v>-3268.3812164690185</v>
      </c>
      <c r="Q326" s="5">
        <f>J326*Assumptions!$E$36*-1</f>
        <v>-1316.2438349923398</v>
      </c>
      <c r="R326" s="5">
        <f>R314+R314*Assumptions!$D$51</f>
        <v>-1155.2973175245863</v>
      </c>
      <c r="S326" s="5">
        <f>S314+(S314*Assumptions!$D$51)</f>
        <v>0</v>
      </c>
      <c r="T326" s="5">
        <f t="shared" si="92"/>
        <v>0</v>
      </c>
      <c r="U326" s="22">
        <f t="shared" si="87"/>
        <v>-5739.9223689859446</v>
      </c>
      <c r="V326" s="5">
        <f>MAX(Assumptions!$E$18:$E$19)-U326</f>
        <v>8581.5553807846409</v>
      </c>
      <c r="W326" s="5">
        <f t="shared" si="88"/>
        <v>0</v>
      </c>
      <c r="X326" s="5">
        <f t="shared" si="93"/>
        <v>-5739.9223689859446</v>
      </c>
      <c r="Y326" s="5">
        <f>D326*Assumptions!$D$44*-1</f>
        <v>0</v>
      </c>
      <c r="Z326" s="5">
        <f t="shared" si="89"/>
        <v>2841.6330117986963</v>
      </c>
      <c r="AA326" s="5">
        <f t="shared" si="99"/>
        <v>839697.00627930032</v>
      </c>
      <c r="AB326" s="3">
        <f>Assumptions!$E$45</f>
        <v>6.9899151946608562E-3</v>
      </c>
      <c r="AC326" s="5">
        <f t="shared" si="100"/>
        <v>848408.05015420192</v>
      </c>
      <c r="AD326" s="4">
        <f>AC326*Assumptions!$E$43</f>
        <v>759.81346325968195</v>
      </c>
      <c r="AE326" s="2">
        <f>AD326*Assumptions!$D$44*-1</f>
        <v>-113.97201948895228</v>
      </c>
      <c r="AF326" s="2">
        <f>AC326*Assumptions!$E$46*-1</f>
        <v>-28.275084947275328</v>
      </c>
      <c r="AG326" s="5">
        <f t="shared" si="101"/>
        <v>848265.80304976564</v>
      </c>
      <c r="AH326" s="20">
        <f>Model_30y[[#This Row],[Mortgage Payment]]+Model_30y[[#This Row],[Total Upkeep]]+Model_30y[[#This Row],[Monthly Investment]]</f>
        <v>-7233.6457313648507</v>
      </c>
      <c r="AI326" s="5">
        <f>Model_Renter!D326*-1</f>
        <v>7159.4811228126755</v>
      </c>
      <c r="AJ326" s="5">
        <f t="shared" si="94"/>
        <v>-74.164608552175196</v>
      </c>
    </row>
    <row r="327" spans="1:36" x14ac:dyDescent="0.25">
      <c r="A327" s="17">
        <f t="shared" si="95"/>
        <v>325</v>
      </c>
      <c r="B327" s="17">
        <f t="shared" si="90"/>
        <v>28</v>
      </c>
      <c r="C327" s="23">
        <f>IFERROR(PPMT(Assumptions!$E$17, A327, 180, Assumptions!$D$8), 0)</f>
        <v>0</v>
      </c>
      <c r="D327" s="38">
        <f>IFERROR(IPMT(Assumptions!$E$17,A327,180,Assumptions!$D$8), 0)</f>
        <v>0</v>
      </c>
      <c r="E327" s="2">
        <f t="shared" si="96"/>
        <v>0</v>
      </c>
      <c r="F327" s="2">
        <f>IF(I326&gt;1, Assumptions!$E$19, 0)*-1</f>
        <v>0</v>
      </c>
      <c r="G327" s="24">
        <f t="shared" si="91"/>
        <v>1</v>
      </c>
      <c r="H327" s="20">
        <f t="shared" si="97"/>
        <v>339999.99999999988</v>
      </c>
      <c r="I327" s="2">
        <f>MAX(Assumptions!$D$8-SUM(Model_15y!H327), 0)</f>
        <v>1.1641532182693481E-10</v>
      </c>
      <c r="J327" s="2">
        <f>J326*(1+(Assumptions!$E$51))</f>
        <v>1593183.426354371</v>
      </c>
      <c r="K327" s="22">
        <f t="shared" si="86"/>
        <v>1593183.426354371</v>
      </c>
      <c r="L327" s="5">
        <f t="shared" si="98"/>
        <v>425000</v>
      </c>
      <c r="M327" s="63">
        <f>L327/Assumptions!$D$6</f>
        <v>1</v>
      </c>
      <c r="N327" s="24">
        <f t="shared" si="85"/>
        <v>0</v>
      </c>
      <c r="O327" s="22">
        <f>N327*Assumptions!$E$25*-1</f>
        <v>0</v>
      </c>
      <c r="P327" s="5">
        <f>Assumptions!$E$35*J327*-1</f>
        <v>-3281.6970061170646</v>
      </c>
      <c r="Q327" s="5">
        <f>J327*Assumptions!$E$36*-1</f>
        <v>-1321.6063753055628</v>
      </c>
      <c r="R327" s="5">
        <f>R315+R315*Assumptions!$D$51</f>
        <v>-1213.0621834008157</v>
      </c>
      <c r="S327" s="5">
        <f>S315+(S315*Assumptions!$D$51)</f>
        <v>0</v>
      </c>
      <c r="T327" s="5">
        <f t="shared" si="92"/>
        <v>0</v>
      </c>
      <c r="U327" s="22">
        <f t="shared" si="87"/>
        <v>-5816.3655648234435</v>
      </c>
      <c r="V327" s="5">
        <f>MAX(Assumptions!$E$18:$E$19)-U327</f>
        <v>8657.9985766221398</v>
      </c>
      <c r="W327" s="5">
        <f t="shared" si="88"/>
        <v>0</v>
      </c>
      <c r="X327" s="5">
        <f t="shared" si="93"/>
        <v>-5816.3655648234435</v>
      </c>
      <c r="Y327" s="5">
        <f>D327*Assumptions!$D$44*-1</f>
        <v>0</v>
      </c>
      <c r="Z327" s="5">
        <f t="shared" si="89"/>
        <v>2841.6330117986963</v>
      </c>
      <c r="AA327" s="5">
        <f t="shared" si="99"/>
        <v>848265.80304976564</v>
      </c>
      <c r="AB327" s="3">
        <f>Assumptions!$E$45</f>
        <v>6.9899151946608562E-3</v>
      </c>
      <c r="AC327" s="5">
        <f t="shared" si="100"/>
        <v>857036.74208741309</v>
      </c>
      <c r="AD327" s="4">
        <f>AC327*Assumptions!$E$43</f>
        <v>767.54110834742301</v>
      </c>
      <c r="AE327" s="2">
        <f>AD327*Assumptions!$D$44*-1</f>
        <v>-115.13116625211345</v>
      </c>
      <c r="AF327" s="2">
        <f>AC327*Assumptions!$E$46*-1</f>
        <v>-28.562655294292981</v>
      </c>
      <c r="AG327" s="5">
        <f t="shared" si="101"/>
        <v>856893.0482658667</v>
      </c>
      <c r="AH327" s="20">
        <f>Model_30y[[#This Row],[Mortgage Payment]]+Model_30y[[#This Row],[Total Upkeep]]+Model_30y[[#This Row],[Monthly Investment]]</f>
        <v>-7311.5909018205593</v>
      </c>
      <c r="AI327" s="5">
        <f>Model_Renter!D327*-1</f>
        <v>7427.24571680587</v>
      </c>
      <c r="AJ327" s="5">
        <f t="shared" si="94"/>
        <v>115.65481498531062</v>
      </c>
    </row>
    <row r="328" spans="1:36" x14ac:dyDescent="0.25">
      <c r="A328" s="17">
        <f t="shared" si="95"/>
        <v>326</v>
      </c>
      <c r="B328" s="17">
        <f t="shared" si="90"/>
        <v>28</v>
      </c>
      <c r="C328" s="23">
        <f>IFERROR(PPMT(Assumptions!$E$17, A328, 180, Assumptions!$D$8), 0)</f>
        <v>0</v>
      </c>
      <c r="D328" s="38">
        <f>IFERROR(IPMT(Assumptions!$E$17,A328,180,Assumptions!$D$8), 0)</f>
        <v>0</v>
      </c>
      <c r="E328" s="2">
        <f t="shared" si="96"/>
        <v>0</v>
      </c>
      <c r="F328" s="2">
        <f>IF(I327&gt;1, Assumptions!$E$19, 0)*-1</f>
        <v>0</v>
      </c>
      <c r="G328" s="24">
        <f t="shared" si="91"/>
        <v>1</v>
      </c>
      <c r="H328" s="20">
        <f t="shared" si="97"/>
        <v>339999.99999999988</v>
      </c>
      <c r="I328" s="2">
        <f>MAX(Assumptions!$D$8-SUM(Model_15y!H328), 0)</f>
        <v>1.1641532182693481E-10</v>
      </c>
      <c r="J328" s="2">
        <f>J327*(1+(Assumptions!$E$51))</f>
        <v>1599674.2528433958</v>
      </c>
      <c r="K328" s="22">
        <f t="shared" si="86"/>
        <v>1599674.2528433958</v>
      </c>
      <c r="L328" s="5">
        <f t="shared" si="98"/>
        <v>425000</v>
      </c>
      <c r="M328" s="63">
        <f>L328/Assumptions!$D$6</f>
        <v>1</v>
      </c>
      <c r="N328" s="24">
        <f t="shared" si="85"/>
        <v>0</v>
      </c>
      <c r="O328" s="22">
        <f>N328*Assumptions!$E$25*-1</f>
        <v>0</v>
      </c>
      <c r="P328" s="5">
        <f>Assumptions!$E$35*J328*-1</f>
        <v>-3295.0670459404137</v>
      </c>
      <c r="Q328" s="5">
        <f>J328*Assumptions!$E$36*-1</f>
        <v>-1326.9907632718164</v>
      </c>
      <c r="R328" s="5">
        <f>R316+R316*Assumptions!$D$51</f>
        <v>-1213.0621834008157</v>
      </c>
      <c r="S328" s="5">
        <f>S316+(S316*Assumptions!$D$51)</f>
        <v>0</v>
      </c>
      <c r="T328" s="5">
        <f t="shared" si="92"/>
        <v>0</v>
      </c>
      <c r="U328" s="22">
        <f t="shared" si="87"/>
        <v>-5835.1199926130466</v>
      </c>
      <c r="V328" s="5">
        <f>MAX(Assumptions!$E$18:$E$19)-U328</f>
        <v>8676.7530044117429</v>
      </c>
      <c r="W328" s="5">
        <f t="shared" si="88"/>
        <v>0</v>
      </c>
      <c r="X328" s="5">
        <f t="shared" si="93"/>
        <v>-5835.1199926130466</v>
      </c>
      <c r="Y328" s="5">
        <f>D328*Assumptions!$D$44*-1</f>
        <v>0</v>
      </c>
      <c r="Z328" s="5">
        <f t="shared" si="89"/>
        <v>2841.6330117986963</v>
      </c>
      <c r="AA328" s="5">
        <f t="shared" si="99"/>
        <v>856893.0482658667</v>
      </c>
      <c r="AB328" s="3">
        <f>Assumptions!$E$45</f>
        <v>6.9899151946608562E-3</v>
      </c>
      <c r="AC328" s="5">
        <f t="shared" si="100"/>
        <v>865724.29101593827</v>
      </c>
      <c r="AD328" s="4">
        <f>AC328*Assumptions!$E$43</f>
        <v>775.32146431813885</v>
      </c>
      <c r="AE328" s="2">
        <f>AD328*Assumptions!$D$44*-1</f>
        <v>-116.29821964772083</v>
      </c>
      <c r="AF328" s="2">
        <f>AC328*Assumptions!$E$46*-1</f>
        <v>-28.852187181564695</v>
      </c>
      <c r="AG328" s="5">
        <f t="shared" si="101"/>
        <v>865579.14060910896</v>
      </c>
      <c r="AH328" s="20">
        <f>Model_30y[[#This Row],[Mortgage Payment]]+Model_30y[[#This Row],[Total Upkeep]]+Model_30y[[#This Row],[Monthly Investment]]</f>
        <v>-7331.855715286234</v>
      </c>
      <c r="AI328" s="5">
        <f>Model_Renter!D328*-1</f>
        <v>7427.24571680587</v>
      </c>
      <c r="AJ328" s="5">
        <f t="shared" si="94"/>
        <v>95.390001519635916</v>
      </c>
    </row>
    <row r="329" spans="1:36" x14ac:dyDescent="0.25">
      <c r="A329" s="17">
        <f t="shared" si="95"/>
        <v>327</v>
      </c>
      <c r="B329" s="17">
        <f t="shared" si="90"/>
        <v>28</v>
      </c>
      <c r="C329" s="23">
        <f>IFERROR(PPMT(Assumptions!$E$17, A329, 180, Assumptions!$D$8), 0)</f>
        <v>0</v>
      </c>
      <c r="D329" s="38">
        <f>IFERROR(IPMT(Assumptions!$E$17,A329,180,Assumptions!$D$8), 0)</f>
        <v>0</v>
      </c>
      <c r="E329" s="2">
        <f t="shared" si="96"/>
        <v>0</v>
      </c>
      <c r="F329" s="2">
        <f>IF(I328&gt;1, Assumptions!$E$19, 0)*-1</f>
        <v>0</v>
      </c>
      <c r="G329" s="24">
        <f t="shared" si="91"/>
        <v>1</v>
      </c>
      <c r="H329" s="20">
        <f t="shared" si="97"/>
        <v>339999.99999999988</v>
      </c>
      <c r="I329" s="2">
        <f>MAX(Assumptions!$D$8-SUM(Model_15y!H329), 0)</f>
        <v>1.1641532182693481E-10</v>
      </c>
      <c r="J329" s="2">
        <f>J328*(1+(Assumptions!$E$51))</f>
        <v>1606191.5237629949</v>
      </c>
      <c r="K329" s="22">
        <f t="shared" si="86"/>
        <v>1606191.5237629949</v>
      </c>
      <c r="L329" s="5">
        <f t="shared" si="98"/>
        <v>425000</v>
      </c>
      <c r="M329" s="63">
        <f>L329/Assumptions!$D$6</f>
        <v>1</v>
      </c>
      <c r="N329" s="24">
        <f t="shared" si="85"/>
        <v>0</v>
      </c>
      <c r="O329" s="22">
        <f>N329*Assumptions!$E$25*-1</f>
        <v>0</v>
      </c>
      <c r="P329" s="5">
        <f>Assumptions!$E$35*J329*-1</f>
        <v>-3308.4915569609952</v>
      </c>
      <c r="Q329" s="5">
        <f>J329*Assumptions!$E$36*-1</f>
        <v>-1332.3970879011438</v>
      </c>
      <c r="R329" s="5">
        <f>R317+R317*Assumptions!$D$51</f>
        <v>-1213.0621834008157</v>
      </c>
      <c r="S329" s="5">
        <f>S317+(S317*Assumptions!$D$51)</f>
        <v>0</v>
      </c>
      <c r="T329" s="5">
        <f t="shared" si="92"/>
        <v>0</v>
      </c>
      <c r="U329" s="22">
        <f t="shared" si="87"/>
        <v>-5853.950828262954</v>
      </c>
      <c r="V329" s="5">
        <f>MAX(Assumptions!$E$18:$E$19)-U329</f>
        <v>8695.5838400616503</v>
      </c>
      <c r="W329" s="5">
        <f t="shared" si="88"/>
        <v>0</v>
      </c>
      <c r="X329" s="5">
        <f t="shared" si="93"/>
        <v>-5853.950828262954</v>
      </c>
      <c r="Y329" s="5">
        <f>D329*Assumptions!$D$44*-1</f>
        <v>0</v>
      </c>
      <c r="Z329" s="5">
        <f t="shared" si="89"/>
        <v>2841.6330117986963</v>
      </c>
      <c r="AA329" s="5">
        <f t="shared" si="99"/>
        <v>865579.14060910896</v>
      </c>
      <c r="AB329" s="3">
        <f>Assumptions!$E$45</f>
        <v>6.9899151946608562E-3</v>
      </c>
      <c r="AC329" s="5">
        <f t="shared" si="100"/>
        <v>874471.09840803279</v>
      </c>
      <c r="AD329" s="4">
        <f>AC329*Assumptions!$E$43</f>
        <v>783.15489071696288</v>
      </c>
      <c r="AE329" s="2">
        <f>AD329*Assumptions!$D$44*-1</f>
        <v>-117.47323360754443</v>
      </c>
      <c r="AF329" s="2">
        <f>AC329*Assumptions!$E$46*-1</f>
        <v>-29.143693988912855</v>
      </c>
      <c r="AG329" s="5">
        <f t="shared" si="101"/>
        <v>874324.48148043628</v>
      </c>
      <c r="AH329" s="20">
        <f>Model_30y[[#This Row],[Mortgage Payment]]+Model_30y[[#This Row],[Total Upkeep]]+Model_30y[[#This Row],[Monthly Investment]]</f>
        <v>-7352.2053947719987</v>
      </c>
      <c r="AI329" s="5">
        <f>Model_Renter!D329*-1</f>
        <v>7427.24571680587</v>
      </c>
      <c r="AJ329" s="5">
        <f t="shared" si="94"/>
        <v>75.040322033871234</v>
      </c>
    </row>
    <row r="330" spans="1:36" x14ac:dyDescent="0.25">
      <c r="A330" s="17">
        <f t="shared" si="95"/>
        <v>328</v>
      </c>
      <c r="B330" s="17">
        <f t="shared" si="90"/>
        <v>28</v>
      </c>
      <c r="C330" s="23">
        <f>IFERROR(PPMT(Assumptions!$E$17, A330, 180, Assumptions!$D$8), 0)</f>
        <v>0</v>
      </c>
      <c r="D330" s="38">
        <f>IFERROR(IPMT(Assumptions!$E$17,A330,180,Assumptions!$D$8), 0)</f>
        <v>0</v>
      </c>
      <c r="E330" s="2">
        <f t="shared" si="96"/>
        <v>0</v>
      </c>
      <c r="F330" s="2">
        <f>IF(I329&gt;1, Assumptions!$E$19, 0)*-1</f>
        <v>0</v>
      </c>
      <c r="G330" s="24">
        <f t="shared" si="91"/>
        <v>1</v>
      </c>
      <c r="H330" s="20">
        <f t="shared" si="97"/>
        <v>339999.99999999988</v>
      </c>
      <c r="I330" s="2">
        <f>MAX(Assumptions!$D$8-SUM(Model_15y!H330), 0)</f>
        <v>1.1641532182693481E-10</v>
      </c>
      <c r="J330" s="2">
        <f>J329*(1+(Assumptions!$E$51))</f>
        <v>1612735.346851052</v>
      </c>
      <c r="K330" s="22">
        <f t="shared" si="86"/>
        <v>1612735.3468510518</v>
      </c>
      <c r="L330" s="5">
        <f t="shared" si="98"/>
        <v>425000</v>
      </c>
      <c r="M330" s="63">
        <f>L330/Assumptions!$D$6</f>
        <v>1</v>
      </c>
      <c r="N330" s="24">
        <f t="shared" si="85"/>
        <v>0</v>
      </c>
      <c r="O330" s="22">
        <f>N330*Assumptions!$E$25*-1</f>
        <v>0</v>
      </c>
      <c r="P330" s="5">
        <f>Assumptions!$E$35*J330*-1</f>
        <v>-3321.97076110121</v>
      </c>
      <c r="Q330" s="5">
        <f>J330*Assumptions!$E$36*-1</f>
        <v>-1337.8254385662256</v>
      </c>
      <c r="R330" s="5">
        <f>R318+R318*Assumptions!$D$51</f>
        <v>-1213.0621834008157</v>
      </c>
      <c r="S330" s="5">
        <f>S318+(S318*Assumptions!$D$51)</f>
        <v>0</v>
      </c>
      <c r="T330" s="5">
        <f t="shared" si="92"/>
        <v>0</v>
      </c>
      <c r="U330" s="22">
        <f t="shared" si="87"/>
        <v>-5872.858383068251</v>
      </c>
      <c r="V330" s="5">
        <f>MAX(Assumptions!$E$18:$E$19)-U330</f>
        <v>8714.4913948669473</v>
      </c>
      <c r="W330" s="5">
        <f t="shared" si="88"/>
        <v>0</v>
      </c>
      <c r="X330" s="5">
        <f t="shared" si="93"/>
        <v>-5872.858383068251</v>
      </c>
      <c r="Y330" s="5">
        <f>D330*Assumptions!$D$44*-1</f>
        <v>0</v>
      </c>
      <c r="Z330" s="5">
        <f t="shared" si="89"/>
        <v>2841.6330117986963</v>
      </c>
      <c r="AA330" s="5">
        <f t="shared" si="99"/>
        <v>874324.48148043628</v>
      </c>
      <c r="AB330" s="3">
        <f>Assumptions!$E$45</f>
        <v>6.9899151946608562E-3</v>
      </c>
      <c r="AC330" s="5">
        <f t="shared" si="100"/>
        <v>883277.56847039913</v>
      </c>
      <c r="AD330" s="4">
        <f>AC330*Assumptions!$E$43</f>
        <v>791.04174954151438</v>
      </c>
      <c r="AE330" s="2">
        <f>AD330*Assumptions!$D$44*-1</f>
        <v>-118.65626243122715</v>
      </c>
      <c r="AF330" s="2">
        <f>AC330*Assumptions!$E$46*-1</f>
        <v>-29.437189187424686</v>
      </c>
      <c r="AG330" s="5">
        <f t="shared" si="101"/>
        <v>883129.47501878045</v>
      </c>
      <c r="AH330" s="20">
        <f>Model_30y[[#This Row],[Mortgage Payment]]+Model_30y[[#This Row],[Total Upkeep]]+Model_30y[[#This Row],[Monthly Investment]]</f>
        <v>-7372.6402989386334</v>
      </c>
      <c r="AI330" s="5">
        <f>Model_Renter!D330*-1</f>
        <v>7427.24571680587</v>
      </c>
      <c r="AJ330" s="5">
        <f t="shared" si="94"/>
        <v>54.605417867236611</v>
      </c>
    </row>
    <row r="331" spans="1:36" x14ac:dyDescent="0.25">
      <c r="A331" s="17">
        <f t="shared" si="95"/>
        <v>329</v>
      </c>
      <c r="B331" s="17">
        <f t="shared" si="90"/>
        <v>28</v>
      </c>
      <c r="C331" s="23">
        <f>IFERROR(PPMT(Assumptions!$E$17, A331, 180, Assumptions!$D$8), 0)</f>
        <v>0</v>
      </c>
      <c r="D331" s="38">
        <f>IFERROR(IPMT(Assumptions!$E$17,A331,180,Assumptions!$D$8), 0)</f>
        <v>0</v>
      </c>
      <c r="E331" s="2">
        <f t="shared" si="96"/>
        <v>0</v>
      </c>
      <c r="F331" s="2">
        <f>IF(I330&gt;1, Assumptions!$E$19, 0)*-1</f>
        <v>0</v>
      </c>
      <c r="G331" s="24">
        <f t="shared" si="91"/>
        <v>1</v>
      </c>
      <c r="H331" s="20">
        <f t="shared" si="97"/>
        <v>339999.99999999988</v>
      </c>
      <c r="I331" s="2">
        <f>MAX(Assumptions!$D$8-SUM(Model_15y!H331), 0)</f>
        <v>1.1641532182693481E-10</v>
      </c>
      <c r="J331" s="2">
        <f>J330*(1+(Assumptions!$E$51))</f>
        <v>1619305.8302843883</v>
      </c>
      <c r="K331" s="22">
        <f t="shared" si="86"/>
        <v>1619305.8302843883</v>
      </c>
      <c r="L331" s="5">
        <f t="shared" si="98"/>
        <v>425000</v>
      </c>
      <c r="M331" s="63">
        <f>L331/Assumptions!$D$6</f>
        <v>1</v>
      </c>
      <c r="N331" s="24">
        <f t="shared" si="85"/>
        <v>0</v>
      </c>
      <c r="O331" s="22">
        <f>N331*Assumptions!$E$25*-1</f>
        <v>0</v>
      </c>
      <c r="P331" s="5">
        <f>Assumptions!$E$35*J331*-1</f>
        <v>-3335.5048811875968</v>
      </c>
      <c r="Q331" s="5">
        <f>J331*Assumptions!$E$36*-1</f>
        <v>-1343.275905003858</v>
      </c>
      <c r="R331" s="5">
        <f>R319+R319*Assumptions!$D$51</f>
        <v>-1213.0621834008157</v>
      </c>
      <c r="S331" s="5">
        <f>S319+(S319*Assumptions!$D$51)</f>
        <v>0</v>
      </c>
      <c r="T331" s="5">
        <f t="shared" si="92"/>
        <v>0</v>
      </c>
      <c r="U331" s="22">
        <f t="shared" si="87"/>
        <v>-5891.8429695922714</v>
      </c>
      <c r="V331" s="5">
        <f>MAX(Assumptions!$E$18:$E$19)-U331</f>
        <v>8733.4759813909677</v>
      </c>
      <c r="W331" s="5">
        <f t="shared" si="88"/>
        <v>0</v>
      </c>
      <c r="X331" s="5">
        <f t="shared" si="93"/>
        <v>-5891.8429695922714</v>
      </c>
      <c r="Y331" s="5">
        <f>D331*Assumptions!$D$44*-1</f>
        <v>0</v>
      </c>
      <c r="Z331" s="5">
        <f t="shared" si="89"/>
        <v>2841.6330117986963</v>
      </c>
      <c r="AA331" s="5">
        <f t="shared" si="99"/>
        <v>883129.47501878045</v>
      </c>
      <c r="AB331" s="3">
        <f>Assumptions!$E$45</f>
        <v>6.9899151946608562E-3</v>
      </c>
      <c r="AC331" s="5">
        <f t="shared" si="100"/>
        <v>892144.10816686577</v>
      </c>
      <c r="AD331" s="4">
        <f>AC331*Assumptions!$E$43</f>
        <v>798.98240525862752</v>
      </c>
      <c r="AE331" s="2">
        <f>AD331*Assumptions!$D$44*-1</f>
        <v>-119.84736078879412</v>
      </c>
      <c r="AF331" s="2">
        <f>AC331*Assumptions!$E$46*-1</f>
        <v>-29.732686340074778</v>
      </c>
      <c r="AG331" s="5">
        <f t="shared" si="101"/>
        <v>891994.52811973693</v>
      </c>
      <c r="AH331" s="20">
        <f>Model_30y[[#This Row],[Mortgage Payment]]+Model_30y[[#This Row],[Total Upkeep]]+Model_30y[[#This Row],[Monthly Investment]]</f>
        <v>-7393.160787980416</v>
      </c>
      <c r="AI331" s="5">
        <f>Model_Renter!D331*-1</f>
        <v>7427.24571680587</v>
      </c>
      <c r="AJ331" s="5">
        <f t="shared" si="94"/>
        <v>34.084928825453972</v>
      </c>
    </row>
    <row r="332" spans="1:36" x14ac:dyDescent="0.25">
      <c r="A332" s="17">
        <f t="shared" si="95"/>
        <v>330</v>
      </c>
      <c r="B332" s="17">
        <f t="shared" si="90"/>
        <v>28</v>
      </c>
      <c r="C332" s="23">
        <f>IFERROR(PPMT(Assumptions!$E$17, A332, 180, Assumptions!$D$8), 0)</f>
        <v>0</v>
      </c>
      <c r="D332" s="38">
        <f>IFERROR(IPMT(Assumptions!$E$17,A332,180,Assumptions!$D$8), 0)</f>
        <v>0</v>
      </c>
      <c r="E332" s="2">
        <f t="shared" si="96"/>
        <v>0</v>
      </c>
      <c r="F332" s="2">
        <f>IF(I331&gt;1, Assumptions!$E$19, 0)*-1</f>
        <v>0</v>
      </c>
      <c r="G332" s="24">
        <f t="shared" si="91"/>
        <v>1</v>
      </c>
      <c r="H332" s="20">
        <f t="shared" si="97"/>
        <v>339999.99999999988</v>
      </c>
      <c r="I332" s="2">
        <f>MAX(Assumptions!$D$8-SUM(Model_15y!H332), 0)</f>
        <v>1.1641532182693481E-10</v>
      </c>
      <c r="J332" s="2">
        <f>J331*(1+(Assumptions!$E$51))</f>
        <v>1625903.0826805504</v>
      </c>
      <c r="K332" s="22">
        <f t="shared" si="86"/>
        <v>1625903.0826805504</v>
      </c>
      <c r="L332" s="5">
        <f t="shared" si="98"/>
        <v>425000</v>
      </c>
      <c r="M332" s="63">
        <f>L332/Assumptions!$D$6</f>
        <v>1</v>
      </c>
      <c r="N332" s="24">
        <f t="shared" si="85"/>
        <v>0</v>
      </c>
      <c r="O332" s="22">
        <f>N332*Assumptions!$E$25*-1</f>
        <v>0</v>
      </c>
      <c r="P332" s="5">
        <f>Assumptions!$E$35*J332*-1</f>
        <v>-3349.0941409545185</v>
      </c>
      <c r="Q332" s="5">
        <f>J332*Assumptions!$E$36*-1</f>
        <v>-1348.748577316436</v>
      </c>
      <c r="R332" s="5">
        <f>R320+R320*Assumptions!$D$51</f>
        <v>-1213.0621834008157</v>
      </c>
      <c r="S332" s="5">
        <f>S320+(S320*Assumptions!$D$51)</f>
        <v>0</v>
      </c>
      <c r="T332" s="5">
        <f t="shared" si="92"/>
        <v>0</v>
      </c>
      <c r="U332" s="22">
        <f t="shared" si="87"/>
        <v>-5910.9049016717709</v>
      </c>
      <c r="V332" s="5">
        <f>MAX(Assumptions!$E$18:$E$19)-U332</f>
        <v>8752.5379134704672</v>
      </c>
      <c r="W332" s="5">
        <f t="shared" si="88"/>
        <v>0</v>
      </c>
      <c r="X332" s="5">
        <f t="shared" si="93"/>
        <v>-5910.9049016717709</v>
      </c>
      <c r="Y332" s="5">
        <f>D332*Assumptions!$D$44*-1</f>
        <v>0</v>
      </c>
      <c r="Z332" s="5">
        <f t="shared" si="89"/>
        <v>2841.6330117986963</v>
      </c>
      <c r="AA332" s="5">
        <f t="shared" si="99"/>
        <v>891994.52811973693</v>
      </c>
      <c r="AB332" s="3">
        <f>Assumptions!$E$45</f>
        <v>6.9899151946608562E-3</v>
      </c>
      <c r="AC332" s="5">
        <f t="shared" si="100"/>
        <v>901071.1272371941</v>
      </c>
      <c r="AD332" s="4">
        <f>AC332*Assumptions!$E$43</f>
        <v>806.97722482119366</v>
      </c>
      <c r="AE332" s="2">
        <f>AD332*Assumptions!$D$44*-1</f>
        <v>-121.04658372317904</v>
      </c>
      <c r="AF332" s="2">
        <f>AC332*Assumptions!$E$46*-1</f>
        <v>-30.030199102351851</v>
      </c>
      <c r="AG332" s="5">
        <f t="shared" si="101"/>
        <v>900920.05045436858</v>
      </c>
      <c r="AH332" s="20">
        <f>Model_30y[[#This Row],[Mortgage Payment]]+Model_30y[[#This Row],[Total Upkeep]]+Model_30y[[#This Row],[Monthly Investment]]</f>
        <v>-7413.7672236317758</v>
      </c>
      <c r="AI332" s="5">
        <f>Model_Renter!D332*-1</f>
        <v>7427.24571680587</v>
      </c>
      <c r="AJ332" s="5">
        <f t="shared" si="94"/>
        <v>13.478493174094183</v>
      </c>
    </row>
    <row r="333" spans="1:36" x14ac:dyDescent="0.25">
      <c r="A333" s="17">
        <f t="shared" si="95"/>
        <v>331</v>
      </c>
      <c r="B333" s="17">
        <f t="shared" si="90"/>
        <v>28</v>
      </c>
      <c r="C333" s="23">
        <f>IFERROR(PPMT(Assumptions!$E$17, A333, 180, Assumptions!$D$8), 0)</f>
        <v>0</v>
      </c>
      <c r="D333" s="38">
        <f>IFERROR(IPMT(Assumptions!$E$17,A333,180,Assumptions!$D$8), 0)</f>
        <v>0</v>
      </c>
      <c r="E333" s="2">
        <f t="shared" si="96"/>
        <v>0</v>
      </c>
      <c r="F333" s="2">
        <f>IF(I332&gt;1, Assumptions!$E$19, 0)*-1</f>
        <v>0</v>
      </c>
      <c r="G333" s="24">
        <f t="shared" si="91"/>
        <v>1</v>
      </c>
      <c r="H333" s="20">
        <f t="shared" si="97"/>
        <v>339999.99999999988</v>
      </c>
      <c r="I333" s="2">
        <f>MAX(Assumptions!$D$8-SUM(Model_15y!H333), 0)</f>
        <v>1.1641532182693481E-10</v>
      </c>
      <c r="J333" s="2">
        <f>J332*(1+(Assumptions!$E$51))</f>
        <v>1632527.2130996063</v>
      </c>
      <c r="K333" s="22">
        <f t="shared" si="86"/>
        <v>1632527.2130996063</v>
      </c>
      <c r="L333" s="5">
        <f t="shared" si="98"/>
        <v>425000</v>
      </c>
      <c r="M333" s="63">
        <f>L333/Assumptions!$D$6</f>
        <v>1</v>
      </c>
      <c r="N333" s="24">
        <f t="shared" si="85"/>
        <v>0</v>
      </c>
      <c r="O333" s="22">
        <f>N333*Assumptions!$E$25*-1</f>
        <v>0</v>
      </c>
      <c r="P333" s="5">
        <f>Assumptions!$E$35*J333*-1</f>
        <v>-3362.7387650478586</v>
      </c>
      <c r="Q333" s="5">
        <f>J333*Assumptions!$E$36*-1</f>
        <v>-1354.2435459734427</v>
      </c>
      <c r="R333" s="5">
        <f>R321+R321*Assumptions!$D$51</f>
        <v>-1213.0621834008157</v>
      </c>
      <c r="S333" s="5">
        <f>S321+(S321*Assumptions!$D$51)</f>
        <v>0</v>
      </c>
      <c r="T333" s="5">
        <f t="shared" si="92"/>
        <v>0</v>
      </c>
      <c r="U333" s="22">
        <f t="shared" si="87"/>
        <v>-5930.0444944221163</v>
      </c>
      <c r="V333" s="5">
        <f>MAX(Assumptions!$E$18:$E$19)-U333</f>
        <v>8771.6775062208126</v>
      </c>
      <c r="W333" s="5">
        <f t="shared" si="88"/>
        <v>0</v>
      </c>
      <c r="X333" s="5">
        <f t="shared" si="93"/>
        <v>-5930.0444944221163</v>
      </c>
      <c r="Y333" s="5">
        <f>D333*Assumptions!$D$44*-1</f>
        <v>0</v>
      </c>
      <c r="Z333" s="5">
        <f t="shared" si="89"/>
        <v>2841.6330117986963</v>
      </c>
      <c r="AA333" s="5">
        <f t="shared" si="99"/>
        <v>900920.05045436858</v>
      </c>
      <c r="AB333" s="3">
        <f>Assumptions!$E$45</f>
        <v>6.9899151946608562E-3</v>
      </c>
      <c r="AC333" s="5">
        <f t="shared" si="100"/>
        <v>910059.03821601288</v>
      </c>
      <c r="AD333" s="4">
        <f>AC333*Assumptions!$E$43</f>
        <v>815.02657768511904</v>
      </c>
      <c r="AE333" s="2">
        <f>AD333*Assumptions!$D$44*-1</f>
        <v>-122.25398665276785</v>
      </c>
      <c r="AF333" s="2">
        <f>AC333*Assumptions!$E$46*-1</f>
        <v>-30.32974122288979</v>
      </c>
      <c r="AG333" s="5">
        <f t="shared" si="101"/>
        <v>909906.45448813727</v>
      </c>
      <c r="AH333" s="20">
        <f>Model_30y[[#This Row],[Mortgage Payment]]+Model_30y[[#This Row],[Total Upkeep]]+Model_30y[[#This Row],[Monthly Investment]]</f>
        <v>-7434.459969173985</v>
      </c>
      <c r="AI333" s="5">
        <f>Model_Renter!D333*-1</f>
        <v>7427.24571680587</v>
      </c>
      <c r="AJ333" s="5">
        <f t="shared" si="94"/>
        <v>-7.2142523681150124</v>
      </c>
    </row>
    <row r="334" spans="1:36" x14ac:dyDescent="0.25">
      <c r="A334" s="17">
        <f t="shared" si="95"/>
        <v>332</v>
      </c>
      <c r="B334" s="17">
        <f t="shared" si="90"/>
        <v>28</v>
      </c>
      <c r="C334" s="23">
        <f>IFERROR(PPMT(Assumptions!$E$17, A334, 180, Assumptions!$D$8), 0)</f>
        <v>0</v>
      </c>
      <c r="D334" s="38">
        <f>IFERROR(IPMT(Assumptions!$E$17,A334,180,Assumptions!$D$8), 0)</f>
        <v>0</v>
      </c>
      <c r="E334" s="2">
        <f t="shared" si="96"/>
        <v>0</v>
      </c>
      <c r="F334" s="2">
        <f>IF(I333&gt;1, Assumptions!$E$19, 0)*-1</f>
        <v>0</v>
      </c>
      <c r="G334" s="24">
        <f t="shared" si="91"/>
        <v>1</v>
      </c>
      <c r="H334" s="20">
        <f t="shared" si="97"/>
        <v>339999.99999999988</v>
      </c>
      <c r="I334" s="2">
        <f>MAX(Assumptions!$D$8-SUM(Model_15y!H334), 0)</f>
        <v>1.1641532182693481E-10</v>
      </c>
      <c r="J334" s="2">
        <f>J333*(1+(Assumptions!$E$51))</f>
        <v>1639178.3310459487</v>
      </c>
      <c r="K334" s="22">
        <f t="shared" si="86"/>
        <v>1639178.3310459484</v>
      </c>
      <c r="L334" s="5">
        <f t="shared" si="98"/>
        <v>425000</v>
      </c>
      <c r="M334" s="63">
        <f>L334/Assumptions!$D$6</f>
        <v>1</v>
      </c>
      <c r="N334" s="24">
        <f t="shared" si="85"/>
        <v>0</v>
      </c>
      <c r="O334" s="22">
        <f>N334*Assumptions!$E$25*-1</f>
        <v>0</v>
      </c>
      <c r="P334" s="5">
        <f>Assumptions!$E$35*J334*-1</f>
        <v>-3376.4389790287364</v>
      </c>
      <c r="Q334" s="5">
        <f>J334*Assumptions!$E$36*-1</f>
        <v>-1359.7609018129456</v>
      </c>
      <c r="R334" s="5">
        <f>R322+R322*Assumptions!$D$51</f>
        <v>-1213.0621834008157</v>
      </c>
      <c r="S334" s="5">
        <f>S322+(S322*Assumptions!$D$51)</f>
        <v>0</v>
      </c>
      <c r="T334" s="5">
        <f t="shared" si="92"/>
        <v>0</v>
      </c>
      <c r="U334" s="22">
        <f t="shared" si="87"/>
        <v>-5949.2620642424972</v>
      </c>
      <c r="V334" s="5">
        <f>MAX(Assumptions!$E$18:$E$19)-U334</f>
        <v>8790.8950760411935</v>
      </c>
      <c r="W334" s="5">
        <f t="shared" si="88"/>
        <v>0</v>
      </c>
      <c r="X334" s="5">
        <f t="shared" si="93"/>
        <v>-5949.2620642424972</v>
      </c>
      <c r="Y334" s="5">
        <f>D334*Assumptions!$D$44*-1</f>
        <v>0</v>
      </c>
      <c r="Z334" s="5">
        <f t="shared" si="89"/>
        <v>2841.6330117986963</v>
      </c>
      <c r="AA334" s="5">
        <f t="shared" si="99"/>
        <v>909906.45448813727</v>
      </c>
      <c r="AB334" s="3">
        <f>Assumptions!$E$45</f>
        <v>6.9899151946608562E-3</v>
      </c>
      <c r="AC334" s="5">
        <f t="shared" si="100"/>
        <v>919108.25645188265</v>
      </c>
      <c r="AD334" s="4">
        <f>AC334*Assumptions!$E$43</f>
        <v>823.13083582639808</v>
      </c>
      <c r="AE334" s="2">
        <f>AD334*Assumptions!$D$44*-1</f>
        <v>-123.4696253739597</v>
      </c>
      <c r="AF334" s="2">
        <f>AC334*Assumptions!$E$46*-1</f>
        <v>-30.631326544103029</v>
      </c>
      <c r="AG334" s="5">
        <f t="shared" si="101"/>
        <v>918954.1554999646</v>
      </c>
      <c r="AH334" s="20">
        <f>Model_30y[[#This Row],[Mortgage Payment]]+Model_30y[[#This Row],[Total Upkeep]]+Model_30y[[#This Row],[Monthly Investment]]</f>
        <v>-7455.2393894418638</v>
      </c>
      <c r="AI334" s="5">
        <f>Model_Renter!D334*-1</f>
        <v>7427.24571680587</v>
      </c>
      <c r="AJ334" s="5">
        <f t="shared" si="94"/>
        <v>-27.993672635993789</v>
      </c>
    </row>
    <row r="335" spans="1:36" x14ac:dyDescent="0.25">
      <c r="A335" s="17">
        <f t="shared" si="95"/>
        <v>333</v>
      </c>
      <c r="B335" s="17">
        <f t="shared" si="90"/>
        <v>28</v>
      </c>
      <c r="C335" s="23">
        <f>IFERROR(PPMT(Assumptions!$E$17, A335, 180, Assumptions!$D$8), 0)</f>
        <v>0</v>
      </c>
      <c r="D335" s="38">
        <f>IFERROR(IPMT(Assumptions!$E$17,A335,180,Assumptions!$D$8), 0)</f>
        <v>0</v>
      </c>
      <c r="E335" s="2">
        <f t="shared" si="96"/>
        <v>0</v>
      </c>
      <c r="F335" s="2">
        <f>IF(I334&gt;1, Assumptions!$E$19, 0)*-1</f>
        <v>0</v>
      </c>
      <c r="G335" s="24">
        <f t="shared" si="91"/>
        <v>1</v>
      </c>
      <c r="H335" s="20">
        <f t="shared" si="97"/>
        <v>339999.99999999988</v>
      </c>
      <c r="I335" s="2">
        <f>MAX(Assumptions!$D$8-SUM(Model_15y!H335), 0)</f>
        <v>1.1641532182693481E-10</v>
      </c>
      <c r="J335" s="2">
        <f>J334*(1+(Assumptions!$E$51))</f>
        <v>1645856.546470104</v>
      </c>
      <c r="K335" s="22">
        <f t="shared" si="86"/>
        <v>1645856.5464701038</v>
      </c>
      <c r="L335" s="5">
        <f t="shared" si="98"/>
        <v>425000</v>
      </c>
      <c r="M335" s="63">
        <f>L335/Assumptions!$D$6</f>
        <v>1</v>
      </c>
      <c r="N335" s="24">
        <f t="shared" si="85"/>
        <v>0</v>
      </c>
      <c r="O335" s="22">
        <f>N335*Assumptions!$E$25*-1</f>
        <v>0</v>
      </c>
      <c r="P335" s="5">
        <f>Assumptions!$E$35*J335*-1</f>
        <v>-3390.1950093772348</v>
      </c>
      <c r="Q335" s="5">
        <f>J335*Assumptions!$E$36*-1</f>
        <v>-1365.3007360430968</v>
      </c>
      <c r="R335" s="5">
        <f>R323+R323*Assumptions!$D$51</f>
        <v>-1213.0621834008157</v>
      </c>
      <c r="S335" s="5">
        <f>S323+(S323*Assumptions!$D$51)</f>
        <v>0</v>
      </c>
      <c r="T335" s="5">
        <f t="shared" si="92"/>
        <v>0</v>
      </c>
      <c r="U335" s="22">
        <f t="shared" si="87"/>
        <v>-5968.5579288211466</v>
      </c>
      <c r="V335" s="5">
        <f>MAX(Assumptions!$E$18:$E$19)-U335</f>
        <v>8810.1909406198429</v>
      </c>
      <c r="W335" s="5">
        <f t="shared" si="88"/>
        <v>0</v>
      </c>
      <c r="X335" s="5">
        <f t="shared" si="93"/>
        <v>-5968.5579288211466</v>
      </c>
      <c r="Y335" s="5">
        <f>D335*Assumptions!$D$44*-1</f>
        <v>0</v>
      </c>
      <c r="Z335" s="5">
        <f t="shared" si="89"/>
        <v>2841.6330117986963</v>
      </c>
      <c r="AA335" s="5">
        <f t="shared" si="99"/>
        <v>918954.1554999646</v>
      </c>
      <c r="AB335" s="3">
        <f>Assumptions!$E$45</f>
        <v>6.9899151946608562E-3</v>
      </c>
      <c r="AC335" s="5">
        <f t="shared" si="100"/>
        <v>928219.20012648928</v>
      </c>
      <c r="AD335" s="4">
        <f>AC335*Assumptions!$E$43</f>
        <v>831.29037375830308</v>
      </c>
      <c r="AE335" s="2">
        <f>AD335*Assumptions!$D$44*-1</f>
        <v>-124.69355606374546</v>
      </c>
      <c r="AF335" s="2">
        <f>AC335*Assumptions!$E$46*-1</f>
        <v>-30.934969002826186</v>
      </c>
      <c r="AG335" s="5">
        <f t="shared" si="101"/>
        <v>928063.57160142274</v>
      </c>
      <c r="AH335" s="20">
        <f>Model_30y[[#This Row],[Mortgage Payment]]+Model_30y[[#This Row],[Total Upkeep]]+Model_30y[[#This Row],[Monthly Investment]]</f>
        <v>-7476.1058508305168</v>
      </c>
      <c r="AI335" s="5">
        <f>Model_Renter!D335*-1</f>
        <v>7427.24571680587</v>
      </c>
      <c r="AJ335" s="5">
        <f t="shared" si="94"/>
        <v>-48.860134024646868</v>
      </c>
    </row>
    <row r="336" spans="1:36" x14ac:dyDescent="0.25">
      <c r="A336" s="17">
        <f t="shared" si="95"/>
        <v>334</v>
      </c>
      <c r="B336" s="17">
        <f t="shared" si="90"/>
        <v>28</v>
      </c>
      <c r="C336" s="23">
        <f>IFERROR(PPMT(Assumptions!$E$17, A336, 180, Assumptions!$D$8), 0)</f>
        <v>0</v>
      </c>
      <c r="D336" s="38">
        <f>IFERROR(IPMT(Assumptions!$E$17,A336,180,Assumptions!$D$8), 0)</f>
        <v>0</v>
      </c>
      <c r="E336" s="2">
        <f t="shared" si="96"/>
        <v>0</v>
      </c>
      <c r="F336" s="2">
        <f>IF(I335&gt;1, Assumptions!$E$19, 0)*-1</f>
        <v>0</v>
      </c>
      <c r="G336" s="24">
        <f t="shared" si="91"/>
        <v>1</v>
      </c>
      <c r="H336" s="20">
        <f t="shared" si="97"/>
        <v>339999.99999999988</v>
      </c>
      <c r="I336" s="2">
        <f>MAX(Assumptions!$D$8-SUM(Model_15y!H336), 0)</f>
        <v>1.1641532182693481E-10</v>
      </c>
      <c r="J336" s="2">
        <f>J335*(1+(Assumptions!$E$51))</f>
        <v>1652561.9697705512</v>
      </c>
      <c r="K336" s="22">
        <f t="shared" si="86"/>
        <v>1652561.9697705512</v>
      </c>
      <c r="L336" s="5">
        <f t="shared" si="98"/>
        <v>425000</v>
      </c>
      <c r="M336" s="63">
        <f>L336/Assumptions!$D$6</f>
        <v>1</v>
      </c>
      <c r="N336" s="24">
        <f t="shared" si="85"/>
        <v>0</v>
      </c>
      <c r="O336" s="22">
        <f>N336*Assumptions!$E$25*-1</f>
        <v>0</v>
      </c>
      <c r="P336" s="5">
        <f>Assumptions!$E$35*J336*-1</f>
        <v>-3404.0070834961443</v>
      </c>
      <c r="Q336" s="5">
        <f>J336*Assumptions!$E$36*-1</f>
        <v>-1370.8631402436426</v>
      </c>
      <c r="R336" s="5">
        <f>R324+R324*Assumptions!$D$51</f>
        <v>-1213.0621834008157</v>
      </c>
      <c r="S336" s="5">
        <f>S324+(S324*Assumptions!$D$51)</f>
        <v>0</v>
      </c>
      <c r="T336" s="5">
        <f t="shared" si="92"/>
        <v>0</v>
      </c>
      <c r="U336" s="22">
        <f t="shared" si="87"/>
        <v>-5987.9324071406027</v>
      </c>
      <c r="V336" s="5">
        <f>MAX(Assumptions!$E$18:$E$19)-U336</f>
        <v>8829.565418939299</v>
      </c>
      <c r="W336" s="5">
        <f t="shared" si="88"/>
        <v>0</v>
      </c>
      <c r="X336" s="5">
        <f t="shared" si="93"/>
        <v>-5987.9324071406027</v>
      </c>
      <c r="Y336" s="5">
        <f>D336*Assumptions!$D$44*-1</f>
        <v>0</v>
      </c>
      <c r="Z336" s="5">
        <f t="shared" si="89"/>
        <v>2841.6330117986963</v>
      </c>
      <c r="AA336" s="5">
        <f t="shared" si="99"/>
        <v>928063.57160142274</v>
      </c>
      <c r="AB336" s="3">
        <f>Assumptions!$E$45</f>
        <v>6.9899151946608562E-3</v>
      </c>
      <c r="AC336" s="5">
        <f t="shared" si="100"/>
        <v>937392.29027396941</v>
      </c>
      <c r="AD336" s="4">
        <f>AC336*Assumptions!$E$43</f>
        <v>839.50556854869114</v>
      </c>
      <c r="AE336" s="2">
        <f>AD336*Assumptions!$D$44*-1</f>
        <v>-125.92583528230367</v>
      </c>
      <c r="AF336" s="2">
        <f>AC336*Assumptions!$E$46*-1</f>
        <v>-31.240682630958162</v>
      </c>
      <c r="AG336" s="5">
        <f t="shared" si="101"/>
        <v>937235.12375605619</v>
      </c>
      <c r="AH336" s="20">
        <f>Model_30y[[#This Row],[Mortgage Payment]]+Model_30y[[#This Row],[Total Upkeep]]+Model_30y[[#This Row],[Monthly Investment]]</f>
        <v>-7497.0597213021128</v>
      </c>
      <c r="AI336" s="5">
        <f>Model_Renter!D336*-1</f>
        <v>7427.24571680587</v>
      </c>
      <c r="AJ336" s="5">
        <f t="shared" si="94"/>
        <v>-69.814004496242887</v>
      </c>
    </row>
    <row r="337" spans="1:36" x14ac:dyDescent="0.25">
      <c r="A337" s="17">
        <f t="shared" si="95"/>
        <v>335</v>
      </c>
      <c r="B337" s="17">
        <f t="shared" si="90"/>
        <v>28</v>
      </c>
      <c r="C337" s="23">
        <f>IFERROR(PPMT(Assumptions!$E$17, A337, 180, Assumptions!$D$8), 0)</f>
        <v>0</v>
      </c>
      <c r="D337" s="38">
        <f>IFERROR(IPMT(Assumptions!$E$17,A337,180,Assumptions!$D$8), 0)</f>
        <v>0</v>
      </c>
      <c r="E337" s="2">
        <f t="shared" si="96"/>
        <v>0</v>
      </c>
      <c r="F337" s="2">
        <f>IF(I336&gt;1, Assumptions!$E$19, 0)*-1</f>
        <v>0</v>
      </c>
      <c r="G337" s="24">
        <f t="shared" si="91"/>
        <v>1</v>
      </c>
      <c r="H337" s="20">
        <f t="shared" si="97"/>
        <v>339999.99999999988</v>
      </c>
      <c r="I337" s="2">
        <f>MAX(Assumptions!$D$8-SUM(Model_15y!H337), 0)</f>
        <v>1.1641532182693481E-10</v>
      </c>
      <c r="J337" s="2">
        <f>J336*(1+(Assumptions!$E$51))</f>
        <v>1659294.7117955461</v>
      </c>
      <c r="K337" s="22">
        <f t="shared" si="86"/>
        <v>1659294.7117955461</v>
      </c>
      <c r="L337" s="5">
        <f t="shared" si="98"/>
        <v>425000</v>
      </c>
      <c r="M337" s="63">
        <f>L337/Assumptions!$D$6</f>
        <v>1</v>
      </c>
      <c r="N337" s="24">
        <f t="shared" si="85"/>
        <v>0</v>
      </c>
      <c r="O337" s="22">
        <f>N337*Assumptions!$E$25*-1</f>
        <v>0</v>
      </c>
      <c r="P337" s="5">
        <f>Assumptions!$E$35*J337*-1</f>
        <v>-3417.8754297147234</v>
      </c>
      <c r="Q337" s="5">
        <f>J337*Assumptions!$E$36*-1</f>
        <v>-1376.4482063674359</v>
      </c>
      <c r="R337" s="5">
        <f>R325+R325*Assumptions!$D$51</f>
        <v>-1213.0621834008157</v>
      </c>
      <c r="S337" s="5">
        <f>S325+(S325*Assumptions!$D$51)</f>
        <v>0</v>
      </c>
      <c r="T337" s="5">
        <f t="shared" si="92"/>
        <v>0</v>
      </c>
      <c r="U337" s="22">
        <f t="shared" si="87"/>
        <v>-6007.3858194829754</v>
      </c>
      <c r="V337" s="5">
        <f>MAX(Assumptions!$E$18:$E$19)-U337</f>
        <v>8849.0188312816717</v>
      </c>
      <c r="W337" s="5">
        <f t="shared" si="88"/>
        <v>0</v>
      </c>
      <c r="X337" s="5">
        <f t="shared" si="93"/>
        <v>-6007.3858194829754</v>
      </c>
      <c r="Y337" s="5">
        <f>D337*Assumptions!$D$44*-1</f>
        <v>0</v>
      </c>
      <c r="Z337" s="5">
        <f t="shared" si="89"/>
        <v>2841.6330117986963</v>
      </c>
      <c r="AA337" s="5">
        <f t="shared" si="99"/>
        <v>937235.12375605619</v>
      </c>
      <c r="AB337" s="3">
        <f>Assumptions!$E$45</f>
        <v>6.9899151946608562E-3</v>
      </c>
      <c r="AC337" s="5">
        <f t="shared" si="100"/>
        <v>946627.95080036717</v>
      </c>
      <c r="AD337" s="4">
        <f>AC337*Assumptions!$E$43</f>
        <v>847.77679983742962</v>
      </c>
      <c r="AE337" s="2">
        <f>AD337*Assumptions!$D$44*-1</f>
        <v>-127.16651997561443</v>
      </c>
      <c r="AF337" s="2">
        <f>AC337*Assumptions!$E$46*-1</f>
        <v>-31.548481556110545</v>
      </c>
      <c r="AG337" s="5">
        <f t="shared" si="101"/>
        <v>946469.23579883541</v>
      </c>
      <c r="AH337" s="20">
        <f>Model_30y[[#This Row],[Mortgage Payment]]+Model_30y[[#This Row],[Total Upkeep]]+Model_30y[[#This Row],[Monthly Investment]]</f>
        <v>-7518.1013703926783</v>
      </c>
      <c r="AI337" s="5">
        <f>Model_Renter!D337*-1</f>
        <v>7427.24571680587</v>
      </c>
      <c r="AJ337" s="5">
        <f t="shared" si="94"/>
        <v>-90.85565358680833</v>
      </c>
    </row>
    <row r="338" spans="1:36" x14ac:dyDescent="0.25">
      <c r="A338" s="17">
        <f t="shared" si="95"/>
        <v>336</v>
      </c>
      <c r="B338" s="17">
        <f t="shared" si="90"/>
        <v>28</v>
      </c>
      <c r="C338" s="23">
        <f>IFERROR(PPMT(Assumptions!$E$17, A338, 180, Assumptions!$D$8), 0)</f>
        <v>0</v>
      </c>
      <c r="D338" s="38">
        <f>IFERROR(IPMT(Assumptions!$E$17,A338,180,Assumptions!$D$8), 0)</f>
        <v>0</v>
      </c>
      <c r="E338" s="2">
        <f t="shared" si="96"/>
        <v>0</v>
      </c>
      <c r="F338" s="2">
        <f>IF(I337&gt;1, Assumptions!$E$19, 0)*-1</f>
        <v>0</v>
      </c>
      <c r="G338" s="24">
        <f t="shared" si="91"/>
        <v>1</v>
      </c>
      <c r="H338" s="20">
        <f t="shared" si="97"/>
        <v>339999.99999999988</v>
      </c>
      <c r="I338" s="2">
        <f>MAX(Assumptions!$D$8-SUM(Model_15y!H338), 0)</f>
        <v>1.1641532182693481E-10</v>
      </c>
      <c r="J338" s="2">
        <f>J337*(1+(Assumptions!$E$51))</f>
        <v>1666054.8838449542</v>
      </c>
      <c r="K338" s="22">
        <f t="shared" si="86"/>
        <v>1666054.883844954</v>
      </c>
      <c r="L338" s="5">
        <f t="shared" si="98"/>
        <v>425000</v>
      </c>
      <c r="M338" s="63">
        <f>L338/Assumptions!$D$6</f>
        <v>1</v>
      </c>
      <c r="N338" s="24">
        <f t="shared" ref="N338:N401" si="102">IF(M338&lt;0.2, 1, 0)</f>
        <v>0</v>
      </c>
      <c r="O338" s="22">
        <f>N338*Assumptions!$E$25*-1</f>
        <v>0</v>
      </c>
      <c r="P338" s="5">
        <f>Assumptions!$E$35*J338*-1</f>
        <v>-3431.8002772924715</v>
      </c>
      <c r="Q338" s="5">
        <f>J338*Assumptions!$E$36*-1</f>
        <v>-1382.0560267419576</v>
      </c>
      <c r="R338" s="5">
        <f>R326+R326*Assumptions!$D$51</f>
        <v>-1213.0621834008157</v>
      </c>
      <c r="S338" s="5">
        <f>S326+(S326*Assumptions!$D$51)</f>
        <v>0</v>
      </c>
      <c r="T338" s="5">
        <f t="shared" si="92"/>
        <v>0</v>
      </c>
      <c r="U338" s="22">
        <f t="shared" si="87"/>
        <v>-6026.918487435245</v>
      </c>
      <c r="V338" s="5">
        <f>MAX(Assumptions!$E$18:$E$19)-U338</f>
        <v>8868.5514992339413</v>
      </c>
      <c r="W338" s="5">
        <f t="shared" si="88"/>
        <v>0</v>
      </c>
      <c r="X338" s="5">
        <f t="shared" si="93"/>
        <v>-6026.918487435245</v>
      </c>
      <c r="Y338" s="5">
        <f>D338*Assumptions!$D$44*-1</f>
        <v>0</v>
      </c>
      <c r="Z338" s="5">
        <f t="shared" si="89"/>
        <v>2841.6330117986963</v>
      </c>
      <c r="AA338" s="5">
        <f t="shared" si="99"/>
        <v>946469.23579883541</v>
      </c>
      <c r="AB338" s="3">
        <f>Assumptions!$E$45</f>
        <v>6.9899151946608562E-3</v>
      </c>
      <c r="AC338" s="5">
        <f t="shared" si="100"/>
        <v>955926.60850322351</v>
      </c>
      <c r="AD338" s="4">
        <f>AC338*Assumptions!$E$43</f>
        <v>856.10444985393929</v>
      </c>
      <c r="AE338" s="2">
        <f>AD338*Assumptions!$D$44*-1</f>
        <v>-128.41566747809088</v>
      </c>
      <c r="AF338" s="2">
        <f>AC338*Assumptions!$E$46*-1</f>
        <v>-31.8583800022605</v>
      </c>
      <c r="AG338" s="5">
        <f t="shared" si="101"/>
        <v>955766.3344557432</v>
      </c>
      <c r="AH338" s="20">
        <f>Model_30y[[#This Row],[Mortgage Payment]]+Model_30y[[#This Row],[Total Upkeep]]+Model_30y[[#This Row],[Monthly Investment]]</f>
        <v>-7539.2311692189296</v>
      </c>
      <c r="AI338" s="5">
        <f>Model_Renter!D338*-1</f>
        <v>7427.24571680587</v>
      </c>
      <c r="AJ338" s="5">
        <f t="shared" si="94"/>
        <v>-111.98545241305965</v>
      </c>
    </row>
    <row r="339" spans="1:36" x14ac:dyDescent="0.25">
      <c r="A339" s="17">
        <f t="shared" si="95"/>
        <v>337</v>
      </c>
      <c r="B339" s="17">
        <f t="shared" si="90"/>
        <v>29</v>
      </c>
      <c r="C339" s="23">
        <f>IFERROR(PPMT(Assumptions!$E$17, A339, 180, Assumptions!$D$8), 0)</f>
        <v>0</v>
      </c>
      <c r="D339" s="38">
        <f>IFERROR(IPMT(Assumptions!$E$17,A339,180,Assumptions!$D$8), 0)</f>
        <v>0</v>
      </c>
      <c r="E339" s="2">
        <f t="shared" si="96"/>
        <v>0</v>
      </c>
      <c r="F339" s="2">
        <f>IF(I338&gt;1, Assumptions!$E$19, 0)*-1</f>
        <v>0</v>
      </c>
      <c r="G339" s="24">
        <f t="shared" si="91"/>
        <v>1</v>
      </c>
      <c r="H339" s="20">
        <f t="shared" si="97"/>
        <v>339999.99999999988</v>
      </c>
      <c r="I339" s="2">
        <f>MAX(Assumptions!$D$8-SUM(Model_15y!H339), 0)</f>
        <v>1.1641532182693481E-10</v>
      </c>
      <c r="J339" s="2">
        <f>J338*(1+(Assumptions!$E$51))</f>
        <v>1672842.5976720904</v>
      </c>
      <c r="K339" s="22">
        <f t="shared" si="86"/>
        <v>1672842.5976720904</v>
      </c>
      <c r="L339" s="5">
        <f t="shared" si="98"/>
        <v>425000</v>
      </c>
      <c r="M339" s="63">
        <f>L339/Assumptions!$D$6</f>
        <v>1</v>
      </c>
      <c r="N339" s="24">
        <f t="shared" si="102"/>
        <v>0</v>
      </c>
      <c r="O339" s="22">
        <f>N339*Assumptions!$E$25*-1</f>
        <v>0</v>
      </c>
      <c r="P339" s="5">
        <f>Assumptions!$E$35*J339*-1</f>
        <v>-3445.7818564229196</v>
      </c>
      <c r="Q339" s="5">
        <f>J339*Assumptions!$E$36*-1</f>
        <v>-1387.6866940708414</v>
      </c>
      <c r="R339" s="5">
        <f>R327+R327*Assumptions!$D$51</f>
        <v>-1273.7152925708565</v>
      </c>
      <c r="S339" s="5">
        <f>S327+(S327*Assumptions!$D$51)</f>
        <v>0</v>
      </c>
      <c r="T339" s="5">
        <f t="shared" si="92"/>
        <v>0</v>
      </c>
      <c r="U339" s="22">
        <f t="shared" si="87"/>
        <v>-6107.1838430646167</v>
      </c>
      <c r="V339" s="5">
        <f>MAX(Assumptions!$E$18:$E$19)-U339</f>
        <v>8948.816854863313</v>
      </c>
      <c r="W339" s="5">
        <f t="shared" si="88"/>
        <v>0</v>
      </c>
      <c r="X339" s="5">
        <f t="shared" si="93"/>
        <v>-6107.1838430646167</v>
      </c>
      <c r="Y339" s="5">
        <f>D339*Assumptions!$D$44*-1</f>
        <v>0</v>
      </c>
      <c r="Z339" s="5">
        <f t="shared" si="89"/>
        <v>2841.6330117986963</v>
      </c>
      <c r="AA339" s="5">
        <f t="shared" si="99"/>
        <v>955766.3344557432</v>
      </c>
      <c r="AB339" s="3">
        <f>Assumptions!$E$45</f>
        <v>6.9899151946608562E-3</v>
      </c>
      <c r="AC339" s="5">
        <f t="shared" si="100"/>
        <v>965288.69309129938</v>
      </c>
      <c r="AD339" s="4">
        <f>AC339*Assumptions!$E$43</f>
        <v>864.48890343485846</v>
      </c>
      <c r="AE339" s="2">
        <f>AD339*Assumptions!$D$44*-1</f>
        <v>-129.67333551522876</v>
      </c>
      <c r="AF339" s="2">
        <f>AC339*Assumptions!$E$46*-1</f>
        <v>-32.17039229040806</v>
      </c>
      <c r="AG339" s="5">
        <f t="shared" si="101"/>
        <v>965126.84936349373</v>
      </c>
      <c r="AH339" s="20">
        <f>Model_30y[[#This Row],[Mortgage Payment]]+Model_30y[[#This Row],[Total Upkeep]]+Model_30y[[#This Row],[Monthly Investment]]</f>
        <v>-7621.1025996551771</v>
      </c>
      <c r="AI339" s="5">
        <f>Model_Renter!D339*-1</f>
        <v>7705.0247066144102</v>
      </c>
      <c r="AJ339" s="5">
        <f t="shared" si="94"/>
        <v>83.922106959233133</v>
      </c>
    </row>
    <row r="340" spans="1:36" x14ac:dyDescent="0.25">
      <c r="A340" s="17">
        <f t="shared" si="95"/>
        <v>338</v>
      </c>
      <c r="B340" s="17">
        <f t="shared" si="90"/>
        <v>29</v>
      </c>
      <c r="C340" s="23">
        <f>IFERROR(PPMT(Assumptions!$E$17, A340, 180, Assumptions!$D$8), 0)</f>
        <v>0</v>
      </c>
      <c r="D340" s="38">
        <f>IFERROR(IPMT(Assumptions!$E$17,A340,180,Assumptions!$D$8), 0)</f>
        <v>0</v>
      </c>
      <c r="E340" s="2">
        <f t="shared" si="96"/>
        <v>0</v>
      </c>
      <c r="F340" s="2">
        <f>IF(I339&gt;1, Assumptions!$E$19, 0)*-1</f>
        <v>0</v>
      </c>
      <c r="G340" s="24">
        <f t="shared" si="91"/>
        <v>1</v>
      </c>
      <c r="H340" s="20">
        <f t="shared" si="97"/>
        <v>339999.99999999988</v>
      </c>
      <c r="I340" s="2">
        <f>MAX(Assumptions!$D$8-SUM(Model_15y!H340), 0)</f>
        <v>1.1641532182693481E-10</v>
      </c>
      <c r="J340" s="2">
        <f>J339*(1+(Assumptions!$E$51))</f>
        <v>1679657.9654855663</v>
      </c>
      <c r="K340" s="22">
        <f t="shared" si="86"/>
        <v>1679657.9654855663</v>
      </c>
      <c r="L340" s="5">
        <f t="shared" si="98"/>
        <v>425000</v>
      </c>
      <c r="M340" s="63">
        <f>L340/Assumptions!$D$6</f>
        <v>1</v>
      </c>
      <c r="N340" s="24">
        <f t="shared" si="102"/>
        <v>0</v>
      </c>
      <c r="O340" s="22">
        <f>N340*Assumptions!$E$25*-1</f>
        <v>0</v>
      </c>
      <c r="P340" s="5">
        <f>Assumptions!$E$35*J340*-1</f>
        <v>-3459.8203982374362</v>
      </c>
      <c r="Q340" s="5">
        <f>J340*Assumptions!$E$36*-1</f>
        <v>-1393.3403014354078</v>
      </c>
      <c r="R340" s="5">
        <f>R328+R328*Assumptions!$D$51</f>
        <v>-1273.7152925708565</v>
      </c>
      <c r="S340" s="5">
        <f>S328+(S328*Assumptions!$D$51)</f>
        <v>0</v>
      </c>
      <c r="T340" s="5">
        <f t="shared" si="92"/>
        <v>0</v>
      </c>
      <c r="U340" s="22">
        <f t="shared" si="87"/>
        <v>-6126.8759922437002</v>
      </c>
      <c r="V340" s="5">
        <f>MAX(Assumptions!$E$18:$E$19)-U340</f>
        <v>8968.5090040423966</v>
      </c>
      <c r="W340" s="5">
        <f t="shared" si="88"/>
        <v>0</v>
      </c>
      <c r="X340" s="5">
        <f t="shared" si="93"/>
        <v>-6126.8759922437002</v>
      </c>
      <c r="Y340" s="5">
        <f>D340*Assumptions!$D$44*-1</f>
        <v>0</v>
      </c>
      <c r="Z340" s="5">
        <f t="shared" si="89"/>
        <v>2841.6330117986963</v>
      </c>
      <c r="AA340" s="5">
        <f t="shared" si="99"/>
        <v>965126.84936349373</v>
      </c>
      <c r="AB340" s="3">
        <f>Assumptions!$E$45</f>
        <v>6.9899151946608562E-3</v>
      </c>
      <c r="AC340" s="5">
        <f t="shared" si="100"/>
        <v>974714.63720443356</v>
      </c>
      <c r="AD340" s="4">
        <f>AC340*Assumptions!$E$43</f>
        <v>872.93054804182668</v>
      </c>
      <c r="AE340" s="2">
        <f>AD340*Assumptions!$D$44*-1</f>
        <v>-130.939582206274</v>
      </c>
      <c r="AF340" s="2">
        <f>AC340*Assumptions!$E$46*-1</f>
        <v>-32.48453283923795</v>
      </c>
      <c r="AG340" s="5">
        <f t="shared" si="101"/>
        <v>974551.2130893881</v>
      </c>
      <c r="AH340" s="20">
        <f>Model_30y[[#This Row],[Mortgage Payment]]+Model_30y[[#This Row],[Total Upkeep]]+Model_30y[[#This Row],[Monthly Investment]]</f>
        <v>-7642.4098176600555</v>
      </c>
      <c r="AI340" s="5">
        <f>Model_Renter!D340*-1</f>
        <v>7705.0247066144102</v>
      </c>
      <c r="AJ340" s="5">
        <f t="shared" si="94"/>
        <v>62.614888954354683</v>
      </c>
    </row>
    <row r="341" spans="1:36" x14ac:dyDescent="0.25">
      <c r="A341" s="17">
        <f t="shared" si="95"/>
        <v>339</v>
      </c>
      <c r="B341" s="17">
        <f t="shared" si="90"/>
        <v>29</v>
      </c>
      <c r="C341" s="23">
        <f>IFERROR(PPMT(Assumptions!$E$17, A341, 180, Assumptions!$D$8), 0)</f>
        <v>0</v>
      </c>
      <c r="D341" s="38">
        <f>IFERROR(IPMT(Assumptions!$E$17,A341,180,Assumptions!$D$8), 0)</f>
        <v>0</v>
      </c>
      <c r="E341" s="2">
        <f t="shared" si="96"/>
        <v>0</v>
      </c>
      <c r="F341" s="2">
        <f>IF(I340&gt;1, Assumptions!$E$19, 0)*-1</f>
        <v>0</v>
      </c>
      <c r="G341" s="24">
        <f t="shared" si="91"/>
        <v>1</v>
      </c>
      <c r="H341" s="20">
        <f t="shared" si="97"/>
        <v>339999.99999999988</v>
      </c>
      <c r="I341" s="2">
        <f>MAX(Assumptions!$D$8-SUM(Model_15y!H341), 0)</f>
        <v>1.1641532182693481E-10</v>
      </c>
      <c r="J341" s="2">
        <f>J340*(1+(Assumptions!$E$51))</f>
        <v>1686501.0999511455</v>
      </c>
      <c r="K341" s="22">
        <f t="shared" si="86"/>
        <v>1686501.0999511452</v>
      </c>
      <c r="L341" s="5">
        <f t="shared" si="98"/>
        <v>425000</v>
      </c>
      <c r="M341" s="63">
        <f>L341/Assumptions!$D$6</f>
        <v>1</v>
      </c>
      <c r="N341" s="24">
        <f t="shared" si="102"/>
        <v>0</v>
      </c>
      <c r="O341" s="22">
        <f>N341*Assumptions!$E$25*-1</f>
        <v>0</v>
      </c>
      <c r="P341" s="5">
        <f>Assumptions!$E$35*J341*-1</f>
        <v>-3473.916134809047</v>
      </c>
      <c r="Q341" s="5">
        <f>J341*Assumptions!$E$36*-1</f>
        <v>-1399.0169422962017</v>
      </c>
      <c r="R341" s="5">
        <f>R329+R329*Assumptions!$D$51</f>
        <v>-1273.7152925708565</v>
      </c>
      <c r="S341" s="5">
        <f>S329+(S329*Assumptions!$D$51)</f>
        <v>0</v>
      </c>
      <c r="T341" s="5">
        <f t="shared" si="92"/>
        <v>0</v>
      </c>
      <c r="U341" s="22">
        <f t="shared" si="87"/>
        <v>-6146.6483696761043</v>
      </c>
      <c r="V341" s="5">
        <f>MAX(Assumptions!$E$18:$E$19)-U341</f>
        <v>8988.2813814748006</v>
      </c>
      <c r="W341" s="5">
        <f t="shared" si="88"/>
        <v>0</v>
      </c>
      <c r="X341" s="5">
        <f t="shared" si="93"/>
        <v>-6146.6483696761043</v>
      </c>
      <c r="Y341" s="5">
        <f>D341*Assumptions!$D$44*-1</f>
        <v>0</v>
      </c>
      <c r="Z341" s="5">
        <f t="shared" si="89"/>
        <v>2841.6330117986963</v>
      </c>
      <c r="AA341" s="5">
        <f t="shared" si="99"/>
        <v>974551.2130893881</v>
      </c>
      <c r="AB341" s="3">
        <f>Assumptions!$E$45</f>
        <v>6.9899151946608562E-3</v>
      </c>
      <c r="AC341" s="5">
        <f t="shared" si="100"/>
        <v>984204.87643353548</v>
      </c>
      <c r="AD341" s="4">
        <f>AC341*Assumptions!$E$43</f>
        <v>881.42977377939042</v>
      </c>
      <c r="AE341" s="2">
        <f>AD341*Assumptions!$D$44*-1</f>
        <v>-132.21446606690856</v>
      </c>
      <c r="AF341" s="2">
        <f>AC341*Assumptions!$E$46*-1</f>
        <v>-32.800816165785889</v>
      </c>
      <c r="AG341" s="5">
        <f t="shared" si="101"/>
        <v>984039.86115130282</v>
      </c>
      <c r="AH341" s="20">
        <f>Model_30y[[#This Row],[Mortgage Payment]]+Model_30y[[#This Row],[Total Upkeep]]+Model_30y[[#This Row],[Monthly Investment]]</f>
        <v>-7663.8063083036786</v>
      </c>
      <c r="AI341" s="5">
        <f>Model_Renter!D341*-1</f>
        <v>7705.0247066144102</v>
      </c>
      <c r="AJ341" s="5">
        <f t="shared" si="94"/>
        <v>41.218398310731573</v>
      </c>
    </row>
    <row r="342" spans="1:36" x14ac:dyDescent="0.25">
      <c r="A342" s="17">
        <f t="shared" si="95"/>
        <v>340</v>
      </c>
      <c r="B342" s="17">
        <f t="shared" si="90"/>
        <v>29</v>
      </c>
      <c r="C342" s="23">
        <f>IFERROR(PPMT(Assumptions!$E$17, A342, 180, Assumptions!$D$8), 0)</f>
        <v>0</v>
      </c>
      <c r="D342" s="38">
        <f>IFERROR(IPMT(Assumptions!$E$17,A342,180,Assumptions!$D$8), 0)</f>
        <v>0</v>
      </c>
      <c r="E342" s="2">
        <f t="shared" si="96"/>
        <v>0</v>
      </c>
      <c r="F342" s="2">
        <f>IF(I341&gt;1, Assumptions!$E$19, 0)*-1</f>
        <v>0</v>
      </c>
      <c r="G342" s="24">
        <f t="shared" si="91"/>
        <v>1</v>
      </c>
      <c r="H342" s="20">
        <f t="shared" si="97"/>
        <v>339999.99999999988</v>
      </c>
      <c r="I342" s="2">
        <f>MAX(Assumptions!$D$8-SUM(Model_15y!H342), 0)</f>
        <v>1.1641532182693481E-10</v>
      </c>
      <c r="J342" s="2">
        <f>J341*(1+(Assumptions!$E$51))</f>
        <v>1693372.1141936055</v>
      </c>
      <c r="K342" s="22">
        <f t="shared" si="86"/>
        <v>1693372.1141936053</v>
      </c>
      <c r="L342" s="5">
        <f t="shared" si="98"/>
        <v>425000</v>
      </c>
      <c r="M342" s="63">
        <f>L342/Assumptions!$D$6</f>
        <v>1</v>
      </c>
      <c r="N342" s="24">
        <f t="shared" si="102"/>
        <v>0</v>
      </c>
      <c r="O342" s="22">
        <f>N342*Assumptions!$E$25*-1</f>
        <v>0</v>
      </c>
      <c r="P342" s="5">
        <f>Assumptions!$E$35*J342*-1</f>
        <v>-3488.0692991562719</v>
      </c>
      <c r="Q342" s="5">
        <f>J342*Assumptions!$E$36*-1</f>
        <v>-1404.7167104945377</v>
      </c>
      <c r="R342" s="5">
        <f>R330+R330*Assumptions!$D$51</f>
        <v>-1273.7152925708565</v>
      </c>
      <c r="S342" s="5">
        <f>S330+(S330*Assumptions!$D$51)</f>
        <v>0</v>
      </c>
      <c r="T342" s="5">
        <f t="shared" si="92"/>
        <v>0</v>
      </c>
      <c r="U342" s="22">
        <f t="shared" si="87"/>
        <v>-6166.5013022216663</v>
      </c>
      <c r="V342" s="5">
        <f>MAX(Assumptions!$E$18:$E$19)-U342</f>
        <v>9008.1343140203626</v>
      </c>
      <c r="W342" s="5">
        <f t="shared" si="88"/>
        <v>0</v>
      </c>
      <c r="X342" s="5">
        <f t="shared" si="93"/>
        <v>-6166.5013022216663</v>
      </c>
      <c r="Y342" s="5">
        <f>D342*Assumptions!$D$44*-1</f>
        <v>0</v>
      </c>
      <c r="Z342" s="5">
        <f t="shared" si="89"/>
        <v>2841.6330117986963</v>
      </c>
      <c r="AA342" s="5">
        <f t="shared" si="99"/>
        <v>984039.86115130282</v>
      </c>
      <c r="AB342" s="3">
        <f>Assumptions!$E$45</f>
        <v>6.9899151946608562E-3</v>
      </c>
      <c r="AC342" s="5">
        <f t="shared" si="100"/>
        <v>993759.84934071498</v>
      </c>
      <c r="AD342" s="4">
        <f>AC342*Assumptions!$E$43</f>
        <v>889.98697341303011</v>
      </c>
      <c r="AE342" s="2">
        <f>AD342*Assumptions!$D$44*-1</f>
        <v>-133.4980460119545</v>
      </c>
      <c r="AF342" s="2">
        <f>AC342*Assumptions!$E$46*-1</f>
        <v>-33.119256886109454</v>
      </c>
      <c r="AG342" s="5">
        <f t="shared" si="101"/>
        <v>993593.2320378169</v>
      </c>
      <c r="AH342" s="20">
        <f>Model_30y[[#This Row],[Mortgage Payment]]+Model_30y[[#This Row],[Total Upkeep]]+Model_30y[[#This Row],[Monthly Investment]]</f>
        <v>-7685.2924490944424</v>
      </c>
      <c r="AI342" s="5">
        <f>Model_Renter!D342*-1</f>
        <v>7705.0247066144102</v>
      </c>
      <c r="AJ342" s="5">
        <f t="shared" si="94"/>
        <v>19.732257519967789</v>
      </c>
    </row>
    <row r="343" spans="1:36" x14ac:dyDescent="0.25">
      <c r="A343" s="17">
        <f t="shared" si="95"/>
        <v>341</v>
      </c>
      <c r="B343" s="17">
        <f t="shared" si="90"/>
        <v>29</v>
      </c>
      <c r="C343" s="23">
        <f>IFERROR(PPMT(Assumptions!$E$17, A343, 180, Assumptions!$D$8), 0)</f>
        <v>0</v>
      </c>
      <c r="D343" s="38">
        <f>IFERROR(IPMT(Assumptions!$E$17,A343,180,Assumptions!$D$8), 0)</f>
        <v>0</v>
      </c>
      <c r="E343" s="2">
        <f t="shared" si="96"/>
        <v>0</v>
      </c>
      <c r="F343" s="2">
        <f>IF(I342&gt;1, Assumptions!$E$19, 0)*-1</f>
        <v>0</v>
      </c>
      <c r="G343" s="24">
        <f t="shared" si="91"/>
        <v>1</v>
      </c>
      <c r="H343" s="20">
        <f t="shared" si="97"/>
        <v>339999.99999999988</v>
      </c>
      <c r="I343" s="2">
        <f>MAX(Assumptions!$D$8-SUM(Model_15y!H343), 0)</f>
        <v>1.1641532182693481E-10</v>
      </c>
      <c r="J343" s="2">
        <f>J342*(1+(Assumptions!$E$51))</f>
        <v>1700271.1217986085</v>
      </c>
      <c r="K343" s="22">
        <f t="shared" si="86"/>
        <v>1700271.1217986085</v>
      </c>
      <c r="L343" s="5">
        <f t="shared" si="98"/>
        <v>425000</v>
      </c>
      <c r="M343" s="63">
        <f>L343/Assumptions!$D$6</f>
        <v>1</v>
      </c>
      <c r="N343" s="24">
        <f t="shared" si="102"/>
        <v>0</v>
      </c>
      <c r="O343" s="22">
        <f>N343*Assumptions!$E$25*-1</f>
        <v>0</v>
      </c>
      <c r="P343" s="5">
        <f>Assumptions!$E$35*J343*-1</f>
        <v>-3502.2801252469781</v>
      </c>
      <c r="Q343" s="5">
        <f>J343*Assumptions!$E$36*-1</f>
        <v>-1410.4397002540516</v>
      </c>
      <c r="R343" s="5">
        <f>R331+R331*Assumptions!$D$51</f>
        <v>-1273.7152925708565</v>
      </c>
      <c r="S343" s="5">
        <f>S331+(S331*Assumptions!$D$51)</f>
        <v>0</v>
      </c>
      <c r="T343" s="5">
        <f t="shared" si="92"/>
        <v>0</v>
      </c>
      <c r="U343" s="22">
        <f t="shared" si="87"/>
        <v>-6186.4351180718859</v>
      </c>
      <c r="V343" s="5">
        <f>MAX(Assumptions!$E$18:$E$19)-U343</f>
        <v>9028.0681298705822</v>
      </c>
      <c r="W343" s="5">
        <f t="shared" si="88"/>
        <v>0</v>
      </c>
      <c r="X343" s="5">
        <f t="shared" si="93"/>
        <v>-6186.4351180718859</v>
      </c>
      <c r="Y343" s="5">
        <f>D343*Assumptions!$D$44*-1</f>
        <v>0</v>
      </c>
      <c r="Z343" s="5">
        <f t="shared" si="89"/>
        <v>2841.6330117986963</v>
      </c>
      <c r="AA343" s="5">
        <f t="shared" si="99"/>
        <v>993593.2320378169</v>
      </c>
      <c r="AB343" s="3">
        <f>Assumptions!$E$45</f>
        <v>6.9899151946608562E-3</v>
      </c>
      <c r="AC343" s="5">
        <f t="shared" si="100"/>
        <v>1003379.9974795489</v>
      </c>
      <c r="AD343" s="4">
        <f>AC343*Assumptions!$E$43</f>
        <v>898.6025423873109</v>
      </c>
      <c r="AE343" s="2">
        <f>AD343*Assumptions!$D$44*-1</f>
        <v>-134.79038135809662</v>
      </c>
      <c r="AF343" s="2">
        <f>AC343*Assumptions!$E$46*-1</f>
        <v>-33.439869715963511</v>
      </c>
      <c r="AG343" s="5">
        <f t="shared" si="101"/>
        <v>1003211.7672284748</v>
      </c>
      <c r="AH343" s="20">
        <f>Model_30y[[#This Row],[Mortgage Payment]]+Model_30y[[#This Row],[Total Upkeep]]+Model_30y[[#This Row],[Monthly Investment]]</f>
        <v>-7706.8686191560373</v>
      </c>
      <c r="AI343" s="5">
        <f>Model_Renter!D343*-1</f>
        <v>7705.0247066144102</v>
      </c>
      <c r="AJ343" s="5">
        <f t="shared" si="94"/>
        <v>-1.8439125416271054</v>
      </c>
    </row>
    <row r="344" spans="1:36" x14ac:dyDescent="0.25">
      <c r="A344" s="17">
        <f t="shared" si="95"/>
        <v>342</v>
      </c>
      <c r="B344" s="17">
        <f t="shared" si="90"/>
        <v>29</v>
      </c>
      <c r="C344" s="23">
        <f>IFERROR(PPMT(Assumptions!$E$17, A344, 180, Assumptions!$D$8), 0)</f>
        <v>0</v>
      </c>
      <c r="D344" s="38">
        <f>IFERROR(IPMT(Assumptions!$E$17,A344,180,Assumptions!$D$8), 0)</f>
        <v>0</v>
      </c>
      <c r="E344" s="2">
        <f t="shared" si="96"/>
        <v>0</v>
      </c>
      <c r="F344" s="2">
        <f>IF(I343&gt;1, Assumptions!$E$19, 0)*-1</f>
        <v>0</v>
      </c>
      <c r="G344" s="24">
        <f t="shared" si="91"/>
        <v>1</v>
      </c>
      <c r="H344" s="20">
        <f t="shared" si="97"/>
        <v>339999.99999999988</v>
      </c>
      <c r="I344" s="2">
        <f>MAX(Assumptions!$D$8-SUM(Model_15y!H344), 0)</f>
        <v>1.1641532182693481E-10</v>
      </c>
      <c r="J344" s="2">
        <f>J343*(1+(Assumptions!$E$51))</f>
        <v>1707198.2368145785</v>
      </c>
      <c r="K344" s="22">
        <f t="shared" si="86"/>
        <v>1707198.2368145785</v>
      </c>
      <c r="L344" s="5">
        <f t="shared" si="98"/>
        <v>425000</v>
      </c>
      <c r="M344" s="63">
        <f>L344/Assumptions!$D$6</f>
        <v>1</v>
      </c>
      <c r="N344" s="24">
        <f t="shared" si="102"/>
        <v>0</v>
      </c>
      <c r="O344" s="22">
        <f>N344*Assumptions!$E$25*-1</f>
        <v>0</v>
      </c>
      <c r="P344" s="5">
        <f>Assumptions!$E$35*J344*-1</f>
        <v>-3516.5488480022454</v>
      </c>
      <c r="Q344" s="5">
        <f>J344*Assumptions!$E$36*-1</f>
        <v>-1416.1860061822583</v>
      </c>
      <c r="R344" s="5">
        <f>R332+R332*Assumptions!$D$51</f>
        <v>-1273.7152925708565</v>
      </c>
      <c r="S344" s="5">
        <f>S332+(S332*Assumptions!$D$51)</f>
        <v>0</v>
      </c>
      <c r="T344" s="5">
        <f t="shared" si="92"/>
        <v>0</v>
      </c>
      <c r="U344" s="22">
        <f t="shared" si="87"/>
        <v>-6206.45014675536</v>
      </c>
      <c r="V344" s="5">
        <f>MAX(Assumptions!$E$18:$E$19)-U344</f>
        <v>9048.0831585540564</v>
      </c>
      <c r="W344" s="5">
        <f t="shared" si="88"/>
        <v>0</v>
      </c>
      <c r="X344" s="5">
        <f t="shared" si="93"/>
        <v>-6206.45014675536</v>
      </c>
      <c r="Y344" s="5">
        <f>D344*Assumptions!$D$44*-1</f>
        <v>0</v>
      </c>
      <c r="Z344" s="5">
        <f t="shared" si="89"/>
        <v>2841.6330117986963</v>
      </c>
      <c r="AA344" s="5">
        <f t="shared" si="99"/>
        <v>1003211.7672284748</v>
      </c>
      <c r="AB344" s="3">
        <f>Assumptions!$E$45</f>
        <v>6.9899151946608562E-3</v>
      </c>
      <c r="AC344" s="5">
        <f t="shared" si="100"/>
        <v>1013065.7654154864</v>
      </c>
      <c r="AD344" s="4">
        <f>AC344*Assumptions!$E$43</f>
        <v>907.27687884415695</v>
      </c>
      <c r="AE344" s="2">
        <f>AD344*Assumptions!$D$44*-1</f>
        <v>-136.09153182662354</v>
      </c>
      <c r="AF344" s="2">
        <f>AC344*Assumptions!$E$46*-1</f>
        <v>-33.762669471480272</v>
      </c>
      <c r="AG344" s="5">
        <f t="shared" si="101"/>
        <v>1012895.9112141883</v>
      </c>
      <c r="AH344" s="20">
        <f>Model_30y[[#This Row],[Mortgage Payment]]+Model_30y[[#This Row],[Total Upkeep]]+Model_30y[[#This Row],[Monthly Investment]]</f>
        <v>-7728.5351992344695</v>
      </c>
      <c r="AI344" s="5">
        <f>Model_Renter!D344*-1</f>
        <v>7705.0247066144102</v>
      </c>
      <c r="AJ344" s="5">
        <f t="shared" si="94"/>
        <v>-23.510492620059267</v>
      </c>
    </row>
    <row r="345" spans="1:36" x14ac:dyDescent="0.25">
      <c r="A345" s="17">
        <f t="shared" si="95"/>
        <v>343</v>
      </c>
      <c r="B345" s="17">
        <f t="shared" si="90"/>
        <v>29</v>
      </c>
      <c r="C345" s="23">
        <f>IFERROR(PPMT(Assumptions!$E$17, A345, 180, Assumptions!$D$8), 0)</f>
        <v>0</v>
      </c>
      <c r="D345" s="38">
        <f>IFERROR(IPMT(Assumptions!$E$17,A345,180,Assumptions!$D$8), 0)</f>
        <v>0</v>
      </c>
      <c r="E345" s="2">
        <f t="shared" si="96"/>
        <v>0</v>
      </c>
      <c r="F345" s="2">
        <f>IF(I344&gt;1, Assumptions!$E$19, 0)*-1</f>
        <v>0</v>
      </c>
      <c r="G345" s="24">
        <f t="shared" si="91"/>
        <v>1</v>
      </c>
      <c r="H345" s="20">
        <f t="shared" si="97"/>
        <v>339999.99999999988</v>
      </c>
      <c r="I345" s="2">
        <f>MAX(Assumptions!$D$8-SUM(Model_15y!H345), 0)</f>
        <v>1.1641532182693481E-10</v>
      </c>
      <c r="J345" s="2">
        <f>J344*(1+(Assumptions!$E$51))</f>
        <v>1714153.5737545874</v>
      </c>
      <c r="K345" s="22">
        <f t="shared" si="86"/>
        <v>1714153.5737545872</v>
      </c>
      <c r="L345" s="5">
        <f t="shared" si="98"/>
        <v>425000</v>
      </c>
      <c r="M345" s="63">
        <f>L345/Assumptions!$D$6</f>
        <v>1</v>
      </c>
      <c r="N345" s="24">
        <f t="shared" si="102"/>
        <v>0</v>
      </c>
      <c r="O345" s="22">
        <f>N345*Assumptions!$E$25*-1</f>
        <v>0</v>
      </c>
      <c r="P345" s="5">
        <f>Assumptions!$E$35*J345*-1</f>
        <v>-3530.875703300253</v>
      </c>
      <c r="Q345" s="5">
        <f>J345*Assumptions!$E$36*-1</f>
        <v>-1421.9557232721156</v>
      </c>
      <c r="R345" s="5">
        <f>R333+R333*Assumptions!$D$51</f>
        <v>-1273.7152925708565</v>
      </c>
      <c r="S345" s="5">
        <f>S333+(S333*Assumptions!$D$51)</f>
        <v>0</v>
      </c>
      <c r="T345" s="5">
        <f t="shared" si="92"/>
        <v>0</v>
      </c>
      <c r="U345" s="22">
        <f t="shared" si="87"/>
        <v>-6226.5467191432253</v>
      </c>
      <c r="V345" s="5">
        <f>MAX(Assumptions!$E$18:$E$19)-U345</f>
        <v>9068.1797309419217</v>
      </c>
      <c r="W345" s="5">
        <f t="shared" si="88"/>
        <v>0</v>
      </c>
      <c r="X345" s="5">
        <f t="shared" si="93"/>
        <v>-6226.5467191432253</v>
      </c>
      <c r="Y345" s="5">
        <f>D345*Assumptions!$D$44*-1</f>
        <v>0</v>
      </c>
      <c r="Z345" s="5">
        <f t="shared" si="89"/>
        <v>2841.6330117986963</v>
      </c>
      <c r="AA345" s="5">
        <f t="shared" si="99"/>
        <v>1012895.9112141883</v>
      </c>
      <c r="AB345" s="3">
        <f>Assumptions!$E$45</f>
        <v>6.9899151946608562E-3</v>
      </c>
      <c r="AC345" s="5">
        <f t="shared" si="100"/>
        <v>1022817.600746393</v>
      </c>
      <c r="AD345" s="4">
        <f>AC345*Assumptions!$E$43</f>
        <v>916.01038364125009</v>
      </c>
      <c r="AE345" s="2">
        <f>AD345*Assumptions!$D$44*-1</f>
        <v>-137.40155754618752</v>
      </c>
      <c r="AF345" s="2">
        <f>AC345*Assumptions!$E$46*-1</f>
        <v>-34.087671069853968</v>
      </c>
      <c r="AG345" s="5">
        <f t="shared" si="101"/>
        <v>1022646.111517777</v>
      </c>
      <c r="AH345" s="20">
        <f>Model_30y[[#This Row],[Mortgage Payment]]+Model_30y[[#This Row],[Total Upkeep]]+Model_30y[[#This Row],[Monthly Investment]]</f>
        <v>-7750.2925717051057</v>
      </c>
      <c r="AI345" s="5">
        <f>Model_Renter!D345*-1</f>
        <v>7705.0247066144102</v>
      </c>
      <c r="AJ345" s="5">
        <f t="shared" si="94"/>
        <v>-45.267865090695523</v>
      </c>
    </row>
    <row r="346" spans="1:36" x14ac:dyDescent="0.25">
      <c r="A346" s="17">
        <f t="shared" si="95"/>
        <v>344</v>
      </c>
      <c r="B346" s="17">
        <f t="shared" si="90"/>
        <v>29</v>
      </c>
      <c r="C346" s="23">
        <f>IFERROR(PPMT(Assumptions!$E$17, A346, 180, Assumptions!$D$8), 0)</f>
        <v>0</v>
      </c>
      <c r="D346" s="38">
        <f>IFERROR(IPMT(Assumptions!$E$17,A346,180,Assumptions!$D$8), 0)</f>
        <v>0</v>
      </c>
      <c r="E346" s="2">
        <f t="shared" si="96"/>
        <v>0</v>
      </c>
      <c r="F346" s="2">
        <f>IF(I345&gt;1, Assumptions!$E$19, 0)*-1</f>
        <v>0</v>
      </c>
      <c r="G346" s="24">
        <f t="shared" si="91"/>
        <v>1</v>
      </c>
      <c r="H346" s="20">
        <f t="shared" si="97"/>
        <v>339999.99999999988</v>
      </c>
      <c r="I346" s="2">
        <f>MAX(Assumptions!$D$8-SUM(Model_15y!H346), 0)</f>
        <v>1.1641532182693481E-10</v>
      </c>
      <c r="J346" s="2">
        <f>J345*(1+(Assumptions!$E$51))</f>
        <v>1721137.2475982469</v>
      </c>
      <c r="K346" s="22">
        <f t="shared" si="86"/>
        <v>1721137.2475982467</v>
      </c>
      <c r="L346" s="5">
        <f t="shared" si="98"/>
        <v>425000</v>
      </c>
      <c r="M346" s="63">
        <f>L346/Assumptions!$D$6</f>
        <v>1</v>
      </c>
      <c r="N346" s="24">
        <f t="shared" si="102"/>
        <v>0</v>
      </c>
      <c r="O346" s="22">
        <f>N346*Assumptions!$E$25*-1</f>
        <v>0</v>
      </c>
      <c r="P346" s="5">
        <f>Assumptions!$E$35*J346*-1</f>
        <v>-3545.2609279801745</v>
      </c>
      <c r="Q346" s="5">
        <f>J346*Assumptions!$E$36*-1</f>
        <v>-1427.7489469035934</v>
      </c>
      <c r="R346" s="5">
        <f>R334+R334*Assumptions!$D$51</f>
        <v>-1273.7152925708565</v>
      </c>
      <c r="S346" s="5">
        <f>S334+(S334*Assumptions!$D$51)</f>
        <v>0</v>
      </c>
      <c r="T346" s="5">
        <f t="shared" si="92"/>
        <v>0</v>
      </c>
      <c r="U346" s="22">
        <f t="shared" si="87"/>
        <v>-6246.7251674546242</v>
      </c>
      <c r="V346" s="5">
        <f>MAX(Assumptions!$E$18:$E$19)-U346</f>
        <v>9088.3581792533205</v>
      </c>
      <c r="W346" s="5">
        <f t="shared" si="88"/>
        <v>0</v>
      </c>
      <c r="X346" s="5">
        <f t="shared" si="93"/>
        <v>-6246.7251674546242</v>
      </c>
      <c r="Y346" s="5">
        <f>D346*Assumptions!$D$44*-1</f>
        <v>0</v>
      </c>
      <c r="Z346" s="5">
        <f t="shared" si="89"/>
        <v>2841.6330117986963</v>
      </c>
      <c r="AA346" s="5">
        <f t="shared" si="99"/>
        <v>1022646.111517777</v>
      </c>
      <c r="AB346" s="3">
        <f>Assumptions!$E$45</f>
        <v>6.9899151946608562E-3</v>
      </c>
      <c r="AC346" s="5">
        <f t="shared" si="100"/>
        <v>1032635.9541232346</v>
      </c>
      <c r="AD346" s="4">
        <f>AC346*Assumptions!$E$43</f>
        <v>924.80346037055449</v>
      </c>
      <c r="AE346" s="2">
        <f>AD346*Assumptions!$D$44*-1</f>
        <v>-138.72051905558317</v>
      </c>
      <c r="AF346" s="2">
        <f>AC346*Assumptions!$E$46*-1</f>
        <v>-34.41488953003018</v>
      </c>
      <c r="AG346" s="5">
        <f t="shared" si="101"/>
        <v>1032462.818714649</v>
      </c>
      <c r="AH346" s="20">
        <f>Model_30y[[#This Row],[Mortgage Payment]]+Model_30y[[#This Row],[Total Upkeep]]+Model_30y[[#This Row],[Monthly Investment]]</f>
        <v>-7772.1411205797385</v>
      </c>
      <c r="AI346" s="5">
        <f>Model_Renter!D346*-1</f>
        <v>7705.0247066144102</v>
      </c>
      <c r="AJ346" s="5">
        <f t="shared" si="94"/>
        <v>-67.11641396532832</v>
      </c>
    </row>
    <row r="347" spans="1:36" x14ac:dyDescent="0.25">
      <c r="A347" s="17">
        <f t="shared" si="95"/>
        <v>345</v>
      </c>
      <c r="B347" s="17">
        <f t="shared" si="90"/>
        <v>29</v>
      </c>
      <c r="C347" s="23">
        <f>IFERROR(PPMT(Assumptions!$E$17, A347, 180, Assumptions!$D$8), 0)</f>
        <v>0</v>
      </c>
      <c r="D347" s="38">
        <f>IFERROR(IPMT(Assumptions!$E$17,A347,180,Assumptions!$D$8), 0)</f>
        <v>0</v>
      </c>
      <c r="E347" s="2">
        <f t="shared" si="96"/>
        <v>0</v>
      </c>
      <c r="F347" s="2">
        <f>IF(I346&gt;1, Assumptions!$E$19, 0)*-1</f>
        <v>0</v>
      </c>
      <c r="G347" s="24">
        <f t="shared" si="91"/>
        <v>1</v>
      </c>
      <c r="H347" s="20">
        <f t="shared" si="97"/>
        <v>339999.99999999988</v>
      </c>
      <c r="I347" s="2">
        <f>MAX(Assumptions!$D$8-SUM(Model_15y!H347), 0)</f>
        <v>1.1641532182693481E-10</v>
      </c>
      <c r="J347" s="2">
        <f>J346*(1+(Assumptions!$E$51))</f>
        <v>1728149.3737936099</v>
      </c>
      <c r="K347" s="22">
        <f t="shared" si="86"/>
        <v>1728149.3737936099</v>
      </c>
      <c r="L347" s="5">
        <f t="shared" si="98"/>
        <v>425000</v>
      </c>
      <c r="M347" s="63">
        <f>L347/Assumptions!$D$6</f>
        <v>1</v>
      </c>
      <c r="N347" s="24">
        <f t="shared" si="102"/>
        <v>0</v>
      </c>
      <c r="O347" s="22">
        <f>N347*Assumptions!$E$25*-1</f>
        <v>0</v>
      </c>
      <c r="P347" s="5">
        <f>Assumptions!$E$35*J347*-1</f>
        <v>-3559.7047598460977</v>
      </c>
      <c r="Q347" s="5">
        <f>J347*Assumptions!$E$36*-1</f>
        <v>-1433.5657728452522</v>
      </c>
      <c r="R347" s="5">
        <f>R335+R335*Assumptions!$D$51</f>
        <v>-1273.7152925708565</v>
      </c>
      <c r="S347" s="5">
        <f>S335+(S335*Assumptions!$D$51)</f>
        <v>0</v>
      </c>
      <c r="T347" s="5">
        <f t="shared" si="92"/>
        <v>0</v>
      </c>
      <c r="U347" s="22">
        <f t="shared" si="87"/>
        <v>-6266.9858252622071</v>
      </c>
      <c r="V347" s="5">
        <f>MAX(Assumptions!$E$18:$E$19)-U347</f>
        <v>9108.6188370609034</v>
      </c>
      <c r="W347" s="5">
        <f t="shared" si="88"/>
        <v>0</v>
      </c>
      <c r="X347" s="5">
        <f t="shared" si="93"/>
        <v>-6266.9858252622071</v>
      </c>
      <c r="Y347" s="5">
        <f>D347*Assumptions!$D$44*-1</f>
        <v>0</v>
      </c>
      <c r="Z347" s="5">
        <f t="shared" si="89"/>
        <v>2841.6330117986963</v>
      </c>
      <c r="AA347" s="5">
        <f t="shared" si="99"/>
        <v>1032462.818714649</v>
      </c>
      <c r="AB347" s="3">
        <f>Assumptions!$E$45</f>
        <v>6.9899151946608562E-3</v>
      </c>
      <c r="AC347" s="5">
        <f t="shared" si="100"/>
        <v>1042521.2792709036</v>
      </c>
      <c r="AD347" s="4">
        <f>AC347*Assumptions!$E$43</f>
        <v>933.65651537696715</v>
      </c>
      <c r="AE347" s="2">
        <f>AD347*Assumptions!$D$44*-1</f>
        <v>-140.04847730654507</v>
      </c>
      <c r="AF347" s="2">
        <f>AC347*Assumptions!$E$46*-1</f>
        <v>-34.744339973399946</v>
      </c>
      <c r="AG347" s="5">
        <f t="shared" si="101"/>
        <v>1042346.4864536236</v>
      </c>
      <c r="AH347" s="20">
        <f>Model_30y[[#This Row],[Mortgage Payment]]+Model_30y[[#This Row],[Total Upkeep]]+Model_30y[[#This Row],[Monthly Investment]]</f>
        <v>-7794.0812315137091</v>
      </c>
      <c r="AI347" s="5">
        <f>Model_Renter!D347*-1</f>
        <v>7705.0247066144102</v>
      </c>
      <c r="AJ347" s="5">
        <f t="shared" si="94"/>
        <v>-89.056524899298893</v>
      </c>
    </row>
    <row r="348" spans="1:36" x14ac:dyDescent="0.25">
      <c r="A348" s="17">
        <f t="shared" si="95"/>
        <v>346</v>
      </c>
      <c r="B348" s="17">
        <f t="shared" si="90"/>
        <v>29</v>
      </c>
      <c r="C348" s="23">
        <f>IFERROR(PPMT(Assumptions!$E$17, A348, 180, Assumptions!$D$8), 0)</f>
        <v>0</v>
      </c>
      <c r="D348" s="38">
        <f>IFERROR(IPMT(Assumptions!$E$17,A348,180,Assumptions!$D$8), 0)</f>
        <v>0</v>
      </c>
      <c r="E348" s="2">
        <f t="shared" si="96"/>
        <v>0</v>
      </c>
      <c r="F348" s="2">
        <f>IF(I347&gt;1, Assumptions!$E$19, 0)*-1</f>
        <v>0</v>
      </c>
      <c r="G348" s="24">
        <f t="shared" si="91"/>
        <v>1</v>
      </c>
      <c r="H348" s="20">
        <f t="shared" si="97"/>
        <v>339999.99999999988</v>
      </c>
      <c r="I348" s="2">
        <f>MAX(Assumptions!$D$8-SUM(Model_15y!H348), 0)</f>
        <v>1.1641532182693481E-10</v>
      </c>
      <c r="J348" s="2">
        <f>J347*(1+(Assumptions!$E$51))</f>
        <v>1735190.0682590795</v>
      </c>
      <c r="K348" s="22">
        <f t="shared" si="86"/>
        <v>1735190.0682590795</v>
      </c>
      <c r="L348" s="5">
        <f t="shared" si="98"/>
        <v>425000</v>
      </c>
      <c r="M348" s="63">
        <f>L348/Assumptions!$D$6</f>
        <v>1</v>
      </c>
      <c r="N348" s="24">
        <f t="shared" si="102"/>
        <v>0</v>
      </c>
      <c r="O348" s="22">
        <f>N348*Assumptions!$E$25*-1</f>
        <v>0</v>
      </c>
      <c r="P348" s="5">
        <f>Assumptions!$E$35*J348*-1</f>
        <v>-3574.2074376709529</v>
      </c>
      <c r="Q348" s="5">
        <f>J348*Assumptions!$E$36*-1</f>
        <v>-1439.4062972558252</v>
      </c>
      <c r="R348" s="5">
        <f>R336+R336*Assumptions!$D$51</f>
        <v>-1273.7152925708565</v>
      </c>
      <c r="S348" s="5">
        <f>S336+(S336*Assumptions!$D$51)</f>
        <v>0</v>
      </c>
      <c r="T348" s="5">
        <f t="shared" si="92"/>
        <v>0</v>
      </c>
      <c r="U348" s="22">
        <f t="shared" si="87"/>
        <v>-6287.3290274976353</v>
      </c>
      <c r="V348" s="5">
        <f>MAX(Assumptions!$E$18:$E$19)-U348</f>
        <v>9128.9620392963316</v>
      </c>
      <c r="W348" s="5">
        <f t="shared" si="88"/>
        <v>0</v>
      </c>
      <c r="X348" s="5">
        <f t="shared" si="93"/>
        <v>-6287.3290274976353</v>
      </c>
      <c r="Y348" s="5">
        <f>D348*Assumptions!$D$44*-1</f>
        <v>0</v>
      </c>
      <c r="Z348" s="5">
        <f t="shared" si="89"/>
        <v>2841.6330117986963</v>
      </c>
      <c r="AA348" s="5">
        <f t="shared" si="99"/>
        <v>1042346.4864536236</v>
      </c>
      <c r="AB348" s="3">
        <f>Assumptions!$E$45</f>
        <v>6.9899151946608562E-3</v>
      </c>
      <c r="AC348" s="5">
        <f t="shared" si="100"/>
        <v>1052474.0330091859</v>
      </c>
      <c r="AD348" s="4">
        <f>AC348*Assumptions!$E$43</f>
        <v>942.56995777709585</v>
      </c>
      <c r="AE348" s="2">
        <f>AD348*Assumptions!$D$44*-1</f>
        <v>-141.38549366656437</v>
      </c>
      <c r="AF348" s="2">
        <f>AC348*Assumptions!$E$46*-1</f>
        <v>-35.07603762449849</v>
      </c>
      <c r="AG348" s="5">
        <f t="shared" si="101"/>
        <v>1052297.5714778949</v>
      </c>
      <c r="AH348" s="20">
        <f>Model_30y[[#This Row],[Mortgage Payment]]+Model_30y[[#This Row],[Total Upkeep]]+Model_30y[[#This Row],[Monthly Investment]]</f>
        <v>-7816.1132918130334</v>
      </c>
      <c r="AI348" s="5">
        <f>Model_Renter!D348*-1</f>
        <v>7705.0247066144102</v>
      </c>
      <c r="AJ348" s="5">
        <f t="shared" si="94"/>
        <v>-111.08858519862315</v>
      </c>
    </row>
    <row r="349" spans="1:36" x14ac:dyDescent="0.25">
      <c r="A349" s="17">
        <f t="shared" si="95"/>
        <v>347</v>
      </c>
      <c r="B349" s="17">
        <f t="shared" si="90"/>
        <v>29</v>
      </c>
      <c r="C349" s="23">
        <f>IFERROR(PPMT(Assumptions!$E$17, A349, 180, Assumptions!$D$8), 0)</f>
        <v>0</v>
      </c>
      <c r="D349" s="38">
        <f>IFERROR(IPMT(Assumptions!$E$17,A349,180,Assumptions!$D$8), 0)</f>
        <v>0</v>
      </c>
      <c r="E349" s="2">
        <f t="shared" si="96"/>
        <v>0</v>
      </c>
      <c r="F349" s="2">
        <f>IF(I348&gt;1, Assumptions!$E$19, 0)*-1</f>
        <v>0</v>
      </c>
      <c r="G349" s="24">
        <f t="shared" si="91"/>
        <v>1</v>
      </c>
      <c r="H349" s="20">
        <f t="shared" si="97"/>
        <v>339999.99999999988</v>
      </c>
      <c r="I349" s="2">
        <f>MAX(Assumptions!$D$8-SUM(Model_15y!H349), 0)</f>
        <v>1.1641532182693481E-10</v>
      </c>
      <c r="J349" s="2">
        <f>J348*(1+(Assumptions!$E$51))</f>
        <v>1742259.4473853242</v>
      </c>
      <c r="K349" s="22">
        <f t="shared" si="86"/>
        <v>1742259.4473853242</v>
      </c>
      <c r="L349" s="5">
        <f t="shared" si="98"/>
        <v>425000</v>
      </c>
      <c r="M349" s="63">
        <f>L349/Assumptions!$D$6</f>
        <v>1</v>
      </c>
      <c r="N349" s="24">
        <f t="shared" si="102"/>
        <v>0</v>
      </c>
      <c r="O349" s="22">
        <f>N349*Assumptions!$E$25*-1</f>
        <v>0</v>
      </c>
      <c r="P349" s="5">
        <f>Assumptions!$E$35*J349*-1</f>
        <v>-3588.7692012004609</v>
      </c>
      <c r="Q349" s="5">
        <f>J349*Assumptions!$E$36*-1</f>
        <v>-1445.2706166858084</v>
      </c>
      <c r="R349" s="5">
        <f>R337+R337*Assumptions!$D$51</f>
        <v>-1273.7152925708565</v>
      </c>
      <c r="S349" s="5">
        <f>S337+(S337*Assumptions!$D$51)</f>
        <v>0</v>
      </c>
      <c r="T349" s="5">
        <f t="shared" si="92"/>
        <v>0</v>
      </c>
      <c r="U349" s="22">
        <f t="shared" si="87"/>
        <v>-6307.7551104571248</v>
      </c>
      <c r="V349" s="5">
        <f>MAX(Assumptions!$E$18:$E$19)-U349</f>
        <v>9149.3881222558211</v>
      </c>
      <c r="W349" s="5">
        <f t="shared" si="88"/>
        <v>0</v>
      </c>
      <c r="X349" s="5">
        <f t="shared" si="93"/>
        <v>-6307.7551104571248</v>
      </c>
      <c r="Y349" s="5">
        <f>D349*Assumptions!$D$44*-1</f>
        <v>0</v>
      </c>
      <c r="Z349" s="5">
        <f t="shared" si="89"/>
        <v>2841.6330117986963</v>
      </c>
      <c r="AA349" s="5">
        <f t="shared" si="99"/>
        <v>1052297.5714778949</v>
      </c>
      <c r="AB349" s="3">
        <f>Assumptions!$E$45</f>
        <v>6.9899151946608562E-3</v>
      </c>
      <c r="AC349" s="5">
        <f t="shared" si="100"/>
        <v>1062494.6752738715</v>
      </c>
      <c r="AD349" s="4">
        <f>AC349*Assumptions!$E$43</f>
        <v>951.54419947816564</v>
      </c>
      <c r="AE349" s="2">
        <f>AD349*Assumptions!$D$44*-1</f>
        <v>-142.73162992172485</v>
      </c>
      <c r="AF349" s="2">
        <f>AC349*Assumptions!$E$46*-1</f>
        <v>-35.409997811708813</v>
      </c>
      <c r="AG349" s="5">
        <f t="shared" si="101"/>
        <v>1062316.5336461382</v>
      </c>
      <c r="AH349" s="20">
        <f>Model_30y[[#This Row],[Mortgage Payment]]+Model_30y[[#This Row],[Total Upkeep]]+Model_30y[[#This Row],[Monthly Investment]]</f>
        <v>-7838.2376904415769</v>
      </c>
      <c r="AI349" s="5">
        <f>Model_Renter!D349*-1</f>
        <v>7705.0247066144102</v>
      </c>
      <c r="AJ349" s="5">
        <f t="shared" si="94"/>
        <v>-133.21298382716668</v>
      </c>
    </row>
    <row r="350" spans="1:36" x14ac:dyDescent="0.25">
      <c r="A350" s="17">
        <f t="shared" si="95"/>
        <v>348</v>
      </c>
      <c r="B350" s="17">
        <f t="shared" si="90"/>
        <v>29</v>
      </c>
      <c r="C350" s="23">
        <f>IFERROR(PPMT(Assumptions!$E$17, A350, 180, Assumptions!$D$8), 0)</f>
        <v>0</v>
      </c>
      <c r="D350" s="38">
        <f>IFERROR(IPMT(Assumptions!$E$17,A350,180,Assumptions!$D$8), 0)</f>
        <v>0</v>
      </c>
      <c r="E350" s="2">
        <f t="shared" si="96"/>
        <v>0</v>
      </c>
      <c r="F350" s="2">
        <f>IF(I349&gt;1, Assumptions!$E$19, 0)*-1</f>
        <v>0</v>
      </c>
      <c r="G350" s="24">
        <f t="shared" si="91"/>
        <v>1</v>
      </c>
      <c r="H350" s="20">
        <f t="shared" si="97"/>
        <v>339999.99999999988</v>
      </c>
      <c r="I350" s="2">
        <f>MAX(Assumptions!$D$8-SUM(Model_15y!H350), 0)</f>
        <v>1.1641532182693481E-10</v>
      </c>
      <c r="J350" s="2">
        <f>J349*(1+(Assumptions!$E$51))</f>
        <v>1749357.6280372026</v>
      </c>
      <c r="K350" s="22">
        <f t="shared" si="86"/>
        <v>1749357.6280372026</v>
      </c>
      <c r="L350" s="5">
        <f t="shared" si="98"/>
        <v>425000</v>
      </c>
      <c r="M350" s="63">
        <f>L350/Assumptions!$D$6</f>
        <v>1</v>
      </c>
      <c r="N350" s="24">
        <f t="shared" si="102"/>
        <v>0</v>
      </c>
      <c r="O350" s="22">
        <f>N350*Assumptions!$E$25*-1</f>
        <v>0</v>
      </c>
      <c r="P350" s="5">
        <f>Assumptions!$E$35*J350*-1</f>
        <v>-3603.3902911570963</v>
      </c>
      <c r="Q350" s="5">
        <f>J350*Assumptions!$E$36*-1</f>
        <v>-1451.1588280790561</v>
      </c>
      <c r="R350" s="5">
        <f>R338+R338*Assumptions!$D$51</f>
        <v>-1273.7152925708565</v>
      </c>
      <c r="S350" s="5">
        <f>S338+(S338*Assumptions!$D$51)</f>
        <v>0</v>
      </c>
      <c r="T350" s="5">
        <f t="shared" si="92"/>
        <v>0</v>
      </c>
      <c r="U350" s="22">
        <f t="shared" si="87"/>
        <v>-6328.2644118070093</v>
      </c>
      <c r="V350" s="5">
        <f>MAX(Assumptions!$E$18:$E$19)-U350</f>
        <v>9169.8974236057056</v>
      </c>
      <c r="W350" s="5">
        <f t="shared" si="88"/>
        <v>0</v>
      </c>
      <c r="X350" s="5">
        <f t="shared" si="93"/>
        <v>-6328.2644118070093</v>
      </c>
      <c r="Y350" s="5">
        <f>D350*Assumptions!$D$44*-1</f>
        <v>0</v>
      </c>
      <c r="Z350" s="5">
        <f t="shared" si="89"/>
        <v>2841.6330117986963</v>
      </c>
      <c r="AA350" s="5">
        <f t="shared" si="99"/>
        <v>1062316.5336461382</v>
      </c>
      <c r="AB350" s="3">
        <f>Assumptions!$E$45</f>
        <v>6.9899151946608562E-3</v>
      </c>
      <c r="AC350" s="5">
        <f t="shared" si="100"/>
        <v>1072583.6691380094</v>
      </c>
      <c r="AD350" s="4">
        <f>AC350*Assumptions!$E$43</f>
        <v>960.57965519705351</v>
      </c>
      <c r="AE350" s="2">
        <f>AD350*Assumptions!$D$44*-1</f>
        <v>-144.08694827955802</v>
      </c>
      <c r="AF350" s="2">
        <f>AC350*Assumptions!$E$46*-1</f>
        <v>-35.746235967970051</v>
      </c>
      <c r="AG350" s="5">
        <f t="shared" si="101"/>
        <v>1072403.8359537618</v>
      </c>
      <c r="AH350" s="20">
        <f>Model_30y[[#This Row],[Mortgage Payment]]+Model_30y[[#This Row],[Total Upkeep]]+Model_30y[[#This Row],[Monthly Investment]]</f>
        <v>-7860.4548180282618</v>
      </c>
      <c r="AI350" s="5">
        <f>Model_Renter!D350*-1</f>
        <v>7705.0247066144102</v>
      </c>
      <c r="AJ350" s="5">
        <f t="shared" si="94"/>
        <v>-155.43011141385159</v>
      </c>
    </row>
    <row r="351" spans="1:36" x14ac:dyDescent="0.25">
      <c r="A351" s="17">
        <f t="shared" si="95"/>
        <v>349</v>
      </c>
      <c r="B351" s="17">
        <f t="shared" si="90"/>
        <v>30</v>
      </c>
      <c r="C351" s="23">
        <f>IFERROR(PPMT(Assumptions!$E$17, A351, 180, Assumptions!$D$8), 0)</f>
        <v>0</v>
      </c>
      <c r="D351" s="38">
        <f>IFERROR(IPMT(Assumptions!$E$17,A351,180,Assumptions!$D$8), 0)</f>
        <v>0</v>
      </c>
      <c r="E351" s="2">
        <f t="shared" si="96"/>
        <v>0</v>
      </c>
      <c r="F351" s="2">
        <f>IF(I350&gt;1, Assumptions!$E$19, 0)*-1</f>
        <v>0</v>
      </c>
      <c r="G351" s="24">
        <f t="shared" si="91"/>
        <v>1</v>
      </c>
      <c r="H351" s="20">
        <f t="shared" si="97"/>
        <v>339999.99999999988</v>
      </c>
      <c r="I351" s="2">
        <f>MAX(Assumptions!$D$8-SUM(Model_15y!H351), 0)</f>
        <v>1.1641532182693481E-10</v>
      </c>
      <c r="J351" s="2">
        <f>J350*(1+(Assumptions!$E$51))</f>
        <v>1756484.7275556957</v>
      </c>
      <c r="K351" s="22">
        <f t="shared" si="86"/>
        <v>1756484.7275556955</v>
      </c>
      <c r="L351" s="5">
        <f t="shared" si="98"/>
        <v>425000</v>
      </c>
      <c r="M351" s="63">
        <f>L351/Assumptions!$D$6</f>
        <v>1</v>
      </c>
      <c r="N351" s="24">
        <f t="shared" si="102"/>
        <v>0</v>
      </c>
      <c r="O351" s="22">
        <f>N351*Assumptions!$E$25*-1</f>
        <v>0</v>
      </c>
      <c r="P351" s="5">
        <f>Assumptions!$E$35*J351*-1</f>
        <v>-3618.0709492440669</v>
      </c>
      <c r="Q351" s="5">
        <f>J351*Assumptions!$E$36*-1</f>
        <v>-1457.0710287743843</v>
      </c>
      <c r="R351" s="5">
        <f>R339+R339*Assumptions!$D$51</f>
        <v>-1337.4010571993992</v>
      </c>
      <c r="S351" s="5">
        <f>S339+(S339*Assumptions!$D$51)</f>
        <v>0</v>
      </c>
      <c r="T351" s="5">
        <f t="shared" si="92"/>
        <v>0</v>
      </c>
      <c r="U351" s="22">
        <f t="shared" si="87"/>
        <v>-6412.543035217851</v>
      </c>
      <c r="V351" s="5">
        <f>MAX(Assumptions!$E$18:$E$19)-U351</f>
        <v>9254.1760470165482</v>
      </c>
      <c r="W351" s="5">
        <f t="shared" si="88"/>
        <v>0</v>
      </c>
      <c r="X351" s="5">
        <f t="shared" si="93"/>
        <v>-6412.543035217851</v>
      </c>
      <c r="Y351" s="5">
        <f>D351*Assumptions!$D$44*-1</f>
        <v>0</v>
      </c>
      <c r="Z351" s="5">
        <f t="shared" si="89"/>
        <v>2841.6330117986972</v>
      </c>
      <c r="AA351" s="5">
        <f t="shared" si="99"/>
        <v>1072403.8359537618</v>
      </c>
      <c r="AB351" s="3">
        <f>Assumptions!$E$45</f>
        <v>6.9899151946608562E-3</v>
      </c>
      <c r="AC351" s="5">
        <f t="shared" si="100"/>
        <v>1082741.4808333062</v>
      </c>
      <c r="AD351" s="4">
        <f>AC351*Assumptions!$E$43</f>
        <v>969.67674247945308</v>
      </c>
      <c r="AE351" s="2">
        <f>AD351*Assumptions!$D$44*-1</f>
        <v>-145.45151137191795</v>
      </c>
      <c r="AF351" s="2">
        <f>AC351*Assumptions!$E$46*-1</f>
        <v>-36.084767631490614</v>
      </c>
      <c r="AG351" s="5">
        <f t="shared" si="101"/>
        <v>1082559.9445543028</v>
      </c>
      <c r="AH351" s="20">
        <f>Model_30y[[#This Row],[Mortgage Payment]]+Model_30y[[#This Row],[Total Upkeep]]+Model_30y[[#This Row],[Monthly Investment]]</f>
        <v>-7946.4508315028297</v>
      </c>
      <c r="AI351" s="5">
        <f>Model_Renter!D351*-1</f>
        <v>7993.1926306417899</v>
      </c>
      <c r="AJ351" s="5">
        <f t="shared" si="94"/>
        <v>46.741799138960232</v>
      </c>
    </row>
    <row r="352" spans="1:36" x14ac:dyDescent="0.25">
      <c r="A352" s="17">
        <f t="shared" si="95"/>
        <v>350</v>
      </c>
      <c r="B352" s="17">
        <f t="shared" si="90"/>
        <v>30</v>
      </c>
      <c r="C352" s="23">
        <f>IFERROR(PPMT(Assumptions!$E$17, A352, 180, Assumptions!$D$8), 0)</f>
        <v>0</v>
      </c>
      <c r="D352" s="38">
        <f>IFERROR(IPMT(Assumptions!$E$17,A352,180,Assumptions!$D$8), 0)</f>
        <v>0</v>
      </c>
      <c r="E352" s="2">
        <f t="shared" si="96"/>
        <v>0</v>
      </c>
      <c r="F352" s="2">
        <f>IF(I351&gt;1, Assumptions!$E$19, 0)*-1</f>
        <v>0</v>
      </c>
      <c r="G352" s="24">
        <f t="shared" si="91"/>
        <v>1</v>
      </c>
      <c r="H352" s="20">
        <f t="shared" si="97"/>
        <v>339999.99999999988</v>
      </c>
      <c r="I352" s="2">
        <f>MAX(Assumptions!$D$8-SUM(Model_15y!H352), 0)</f>
        <v>1.1641532182693481E-10</v>
      </c>
      <c r="J352" s="2">
        <f>J351*(1+(Assumptions!$E$51))</f>
        <v>1763640.8637598455</v>
      </c>
      <c r="K352" s="22">
        <f t="shared" si="86"/>
        <v>1763640.8637598455</v>
      </c>
      <c r="L352" s="5">
        <f t="shared" si="98"/>
        <v>425000</v>
      </c>
      <c r="M352" s="63">
        <f>L352/Assumptions!$D$6</f>
        <v>1</v>
      </c>
      <c r="N352" s="24">
        <f t="shared" si="102"/>
        <v>0</v>
      </c>
      <c r="O352" s="22">
        <f>N352*Assumptions!$E$25*-1</f>
        <v>0</v>
      </c>
      <c r="P352" s="5">
        <f>Assumptions!$E$35*J352*-1</f>
        <v>-3632.8114181493097</v>
      </c>
      <c r="Q352" s="5">
        <f>J352*Assumptions!$E$36*-1</f>
        <v>-1463.007316507179</v>
      </c>
      <c r="R352" s="5">
        <f>R340+R340*Assumptions!$D$51</f>
        <v>-1337.4010571993992</v>
      </c>
      <c r="S352" s="5">
        <f>S340+(S340*Assumptions!$D$51)</f>
        <v>0</v>
      </c>
      <c r="T352" s="5">
        <f t="shared" si="92"/>
        <v>0</v>
      </c>
      <c r="U352" s="22">
        <f t="shared" si="87"/>
        <v>-6433.2197918558877</v>
      </c>
      <c r="V352" s="5">
        <f>MAX(Assumptions!$E$18:$E$19)-U352</f>
        <v>9274.8528036545849</v>
      </c>
      <c r="W352" s="5">
        <f t="shared" si="88"/>
        <v>0</v>
      </c>
      <c r="X352" s="5">
        <f t="shared" si="93"/>
        <v>-6433.2197918558877</v>
      </c>
      <c r="Y352" s="5">
        <f>D352*Assumptions!$D$44*-1</f>
        <v>0</v>
      </c>
      <c r="Z352" s="5">
        <f t="shared" si="89"/>
        <v>2841.6330117986972</v>
      </c>
      <c r="AA352" s="5">
        <f t="shared" si="99"/>
        <v>1082559.9445543028</v>
      </c>
      <c r="AB352" s="3">
        <f>Assumptions!$E$45</f>
        <v>6.9899151946608562E-3</v>
      </c>
      <c r="AC352" s="5">
        <f t="shared" si="100"/>
        <v>1092968.5797716728</v>
      </c>
      <c r="AD352" s="4">
        <f>AC352*Assumptions!$E$43</f>
        <v>978.83588171917074</v>
      </c>
      <c r="AE352" s="2">
        <f>AD352*Assumptions!$D$44*-1</f>
        <v>-146.82538225787562</v>
      </c>
      <c r="AF352" s="2">
        <f>AC352*Assumptions!$E$46*-1</f>
        <v>-36.42560844646632</v>
      </c>
      <c r="AG352" s="5">
        <f t="shared" si="101"/>
        <v>1092785.3287809684</v>
      </c>
      <c r="AH352" s="20">
        <f>Model_30y[[#This Row],[Mortgage Payment]]+Model_30y[[#This Row],[Total Upkeep]]+Model_30y[[#This Row],[Monthly Investment]]</f>
        <v>-7968.8545955889495</v>
      </c>
      <c r="AI352" s="5">
        <f>Model_Renter!D352*-1</f>
        <v>7993.1926306417899</v>
      </c>
      <c r="AJ352" s="5">
        <f t="shared" si="94"/>
        <v>24.338035052840496</v>
      </c>
    </row>
    <row r="353" spans="1:36" x14ac:dyDescent="0.25">
      <c r="A353" s="17">
        <f t="shared" si="95"/>
        <v>351</v>
      </c>
      <c r="B353" s="17">
        <f t="shared" si="90"/>
        <v>30</v>
      </c>
      <c r="C353" s="23">
        <f>IFERROR(PPMT(Assumptions!$E$17, A353, 180, Assumptions!$D$8), 0)</f>
        <v>0</v>
      </c>
      <c r="D353" s="38">
        <f>IFERROR(IPMT(Assumptions!$E$17,A353,180,Assumptions!$D$8), 0)</f>
        <v>0</v>
      </c>
      <c r="E353" s="2">
        <f t="shared" si="96"/>
        <v>0</v>
      </c>
      <c r="F353" s="2">
        <f>IF(I352&gt;1, Assumptions!$E$19, 0)*-1</f>
        <v>0</v>
      </c>
      <c r="G353" s="24">
        <f t="shared" si="91"/>
        <v>1</v>
      </c>
      <c r="H353" s="20">
        <f t="shared" si="97"/>
        <v>339999.99999999988</v>
      </c>
      <c r="I353" s="2">
        <f>MAX(Assumptions!$D$8-SUM(Model_15y!H353), 0)</f>
        <v>1.1641532182693481E-10</v>
      </c>
      <c r="J353" s="2">
        <f>J352*(1+(Assumptions!$E$51))</f>
        <v>1770826.1549487037</v>
      </c>
      <c r="K353" s="22">
        <f t="shared" si="86"/>
        <v>1770826.1549487035</v>
      </c>
      <c r="L353" s="5">
        <f t="shared" si="98"/>
        <v>425000</v>
      </c>
      <c r="M353" s="63">
        <f>L353/Assumptions!$D$6</f>
        <v>1</v>
      </c>
      <c r="N353" s="24">
        <f t="shared" si="102"/>
        <v>0</v>
      </c>
      <c r="O353" s="22">
        <f>N353*Assumptions!$E$25*-1</f>
        <v>0</v>
      </c>
      <c r="P353" s="5">
        <f>Assumptions!$E$35*J353*-1</f>
        <v>-3647.6119415495014</v>
      </c>
      <c r="Q353" s="5">
        <f>J353*Assumptions!$E$36*-1</f>
        <v>-1468.9677894110125</v>
      </c>
      <c r="R353" s="5">
        <f>R341+R341*Assumptions!$D$51</f>
        <v>-1337.4010571993992</v>
      </c>
      <c r="S353" s="5">
        <f>S341+(S341*Assumptions!$D$51)</f>
        <v>0</v>
      </c>
      <c r="T353" s="5">
        <f t="shared" si="92"/>
        <v>0</v>
      </c>
      <c r="U353" s="22">
        <f t="shared" si="87"/>
        <v>-6453.9807881599136</v>
      </c>
      <c r="V353" s="5">
        <f>MAX(Assumptions!$E$18:$E$19)-U353</f>
        <v>9295.6137999586099</v>
      </c>
      <c r="W353" s="5">
        <f t="shared" si="88"/>
        <v>0</v>
      </c>
      <c r="X353" s="5">
        <f t="shared" si="93"/>
        <v>-6453.9807881599136</v>
      </c>
      <c r="Y353" s="5">
        <f>D353*Assumptions!$D$44*-1</f>
        <v>0</v>
      </c>
      <c r="Z353" s="5">
        <f t="shared" si="89"/>
        <v>2841.6330117986963</v>
      </c>
      <c r="AA353" s="5">
        <f t="shared" si="99"/>
        <v>1092785.3287809684</v>
      </c>
      <c r="AB353" s="3">
        <f>Assumptions!$E$45</f>
        <v>6.9899151946608562E-3</v>
      </c>
      <c r="AC353" s="5">
        <f t="shared" si="100"/>
        <v>1103265.4385669157</v>
      </c>
      <c r="AD353" s="4">
        <f>AC353*Assumptions!$E$43</f>
        <v>988.05749617755248</v>
      </c>
      <c r="AE353" s="2">
        <f>AD353*Assumptions!$D$44*-1</f>
        <v>-148.20862442663287</v>
      </c>
      <c r="AF353" s="2">
        <f>AC353*Assumptions!$E$46*-1</f>
        <v>-36.768774163803251</v>
      </c>
      <c r="AG353" s="5">
        <f t="shared" si="101"/>
        <v>1103080.4611683253</v>
      </c>
      <c r="AH353" s="20">
        <f>Model_30y[[#This Row],[Mortgage Payment]]+Model_30y[[#This Row],[Total Upkeep]]+Model_30y[[#This Row],[Monthly Investment]]</f>
        <v>-7991.3522705827681</v>
      </c>
      <c r="AI353" s="5">
        <f>Model_Renter!D353*-1</f>
        <v>7993.1926306417899</v>
      </c>
      <c r="AJ353" s="5">
        <f t="shared" si="94"/>
        <v>1.8403600590218048</v>
      </c>
    </row>
    <row r="354" spans="1:36" x14ac:dyDescent="0.25">
      <c r="A354" s="17">
        <f t="shared" si="95"/>
        <v>352</v>
      </c>
      <c r="B354" s="17">
        <f t="shared" si="90"/>
        <v>30</v>
      </c>
      <c r="C354" s="23">
        <f>IFERROR(PPMT(Assumptions!$E$17, A354, 180, Assumptions!$D$8), 0)</f>
        <v>0</v>
      </c>
      <c r="D354" s="38">
        <f>IFERROR(IPMT(Assumptions!$E$17,A354,180,Assumptions!$D$8), 0)</f>
        <v>0</v>
      </c>
      <c r="E354" s="2">
        <f t="shared" si="96"/>
        <v>0</v>
      </c>
      <c r="F354" s="2">
        <f>IF(I353&gt;1, Assumptions!$E$19, 0)*-1</f>
        <v>0</v>
      </c>
      <c r="G354" s="24">
        <f t="shared" si="91"/>
        <v>1</v>
      </c>
      <c r="H354" s="20">
        <f t="shared" si="97"/>
        <v>339999.99999999988</v>
      </c>
      <c r="I354" s="2">
        <f>MAX(Assumptions!$D$8-SUM(Model_15y!H354), 0)</f>
        <v>1.1641532182693481E-10</v>
      </c>
      <c r="J354" s="2">
        <f>J353*(1+(Assumptions!$E$51))</f>
        <v>1778040.7199032868</v>
      </c>
      <c r="K354" s="22">
        <f t="shared" si="86"/>
        <v>1778040.7199032865</v>
      </c>
      <c r="L354" s="5">
        <f t="shared" si="98"/>
        <v>425000</v>
      </c>
      <c r="M354" s="63">
        <f>L354/Assumptions!$D$6</f>
        <v>1</v>
      </c>
      <c r="N354" s="24">
        <f t="shared" si="102"/>
        <v>0</v>
      </c>
      <c r="O354" s="22">
        <f>N354*Assumptions!$E$25*-1</f>
        <v>0</v>
      </c>
      <c r="P354" s="5">
        <f>Assumptions!$E$35*J354*-1</f>
        <v>-3662.4727641140876</v>
      </c>
      <c r="Q354" s="5">
        <f>J354*Assumptions!$E$36*-1</f>
        <v>-1474.9525460192654</v>
      </c>
      <c r="R354" s="5">
        <f>R342+R342*Assumptions!$D$51</f>
        <v>-1337.4010571993992</v>
      </c>
      <c r="S354" s="5">
        <f>S342+(S342*Assumptions!$D$51)</f>
        <v>0</v>
      </c>
      <c r="T354" s="5">
        <f t="shared" si="92"/>
        <v>0</v>
      </c>
      <c r="U354" s="22">
        <f t="shared" si="87"/>
        <v>-6474.8263673327519</v>
      </c>
      <c r="V354" s="5">
        <f>MAX(Assumptions!$E$18:$E$19)-U354</f>
        <v>9316.4593791314492</v>
      </c>
      <c r="W354" s="5">
        <f t="shared" si="88"/>
        <v>0</v>
      </c>
      <c r="X354" s="5">
        <f t="shared" si="93"/>
        <v>-6474.8263673327519</v>
      </c>
      <c r="Y354" s="5">
        <f>D354*Assumptions!$D$44*-1</f>
        <v>0</v>
      </c>
      <c r="Z354" s="5">
        <f t="shared" si="89"/>
        <v>2841.6330117986972</v>
      </c>
      <c r="AA354" s="5">
        <f t="shared" si="99"/>
        <v>1103080.4611683253</v>
      </c>
      <c r="AB354" s="3">
        <f>Assumptions!$E$45</f>
        <v>6.9899151946608562E-3</v>
      </c>
      <c r="AC354" s="5">
        <f t="shared" si="100"/>
        <v>1113632.5330565779</v>
      </c>
      <c r="AD354" s="4">
        <f>AC354*Assumptions!$E$43</f>
        <v>997.34201200304335</v>
      </c>
      <c r="AE354" s="2">
        <f>AD354*Assumptions!$D$44*-1</f>
        <v>-149.6013018004565</v>
      </c>
      <c r="AF354" s="2">
        <f>AC354*Assumptions!$E$46*-1</f>
        <v>-37.114280641845681</v>
      </c>
      <c r="AG354" s="5">
        <f t="shared" si="101"/>
        <v>1113445.8174741357</v>
      </c>
      <c r="AH354" s="20">
        <f>Model_30y[[#This Row],[Mortgage Payment]]+Model_30y[[#This Row],[Total Upkeep]]+Model_30y[[#This Row],[Monthly Investment]]</f>
        <v>-8013.9442538460617</v>
      </c>
      <c r="AI354" s="5">
        <f>Model_Renter!D354*-1</f>
        <v>7993.1926306417899</v>
      </c>
      <c r="AJ354" s="5">
        <f t="shared" si="94"/>
        <v>-20.751623204271709</v>
      </c>
    </row>
    <row r="355" spans="1:36" x14ac:dyDescent="0.25">
      <c r="A355" s="17">
        <f t="shared" si="95"/>
        <v>353</v>
      </c>
      <c r="B355" s="17">
        <f t="shared" si="90"/>
        <v>30</v>
      </c>
      <c r="C355" s="23">
        <f>IFERROR(PPMT(Assumptions!$E$17, A355, 180, Assumptions!$D$8), 0)</f>
        <v>0</v>
      </c>
      <c r="D355" s="38">
        <f>IFERROR(IPMT(Assumptions!$E$17,A355,180,Assumptions!$D$8), 0)</f>
        <v>0</v>
      </c>
      <c r="E355" s="2">
        <f t="shared" si="96"/>
        <v>0</v>
      </c>
      <c r="F355" s="2">
        <f>IF(I354&gt;1, Assumptions!$E$19, 0)*-1</f>
        <v>0</v>
      </c>
      <c r="G355" s="24">
        <f t="shared" si="91"/>
        <v>1</v>
      </c>
      <c r="H355" s="20">
        <f t="shared" si="97"/>
        <v>339999.99999999988</v>
      </c>
      <c r="I355" s="2">
        <f>MAX(Assumptions!$D$8-SUM(Model_15y!H355), 0)</f>
        <v>1.1641532182693481E-10</v>
      </c>
      <c r="J355" s="2">
        <f>J354*(1+(Assumptions!$E$51))</f>
        <v>1785284.6778885401</v>
      </c>
      <c r="K355" s="22">
        <f t="shared" si="86"/>
        <v>1785284.6778885401</v>
      </c>
      <c r="L355" s="5">
        <f t="shared" si="98"/>
        <v>425000</v>
      </c>
      <c r="M355" s="63">
        <f>L355/Assumptions!$D$6</f>
        <v>1</v>
      </c>
      <c r="N355" s="24">
        <f t="shared" si="102"/>
        <v>0</v>
      </c>
      <c r="O355" s="22">
        <f>N355*Assumptions!$E$25*-1</f>
        <v>0</v>
      </c>
      <c r="P355" s="5">
        <f>Assumptions!$E$35*J355*-1</f>
        <v>-3677.3941315093293</v>
      </c>
      <c r="Q355" s="5">
        <f>J355*Assumptions!$E$36*-1</f>
        <v>-1480.961685266755</v>
      </c>
      <c r="R355" s="5">
        <f>R343+R343*Assumptions!$D$51</f>
        <v>-1337.4010571993992</v>
      </c>
      <c r="S355" s="5">
        <f>S343+(S343*Assumptions!$D$51)</f>
        <v>0</v>
      </c>
      <c r="T355" s="5">
        <f t="shared" si="92"/>
        <v>0</v>
      </c>
      <c r="U355" s="22">
        <f t="shared" si="87"/>
        <v>-6495.7568739754834</v>
      </c>
      <c r="V355" s="5">
        <f>MAX(Assumptions!$E$18:$E$19)-U355</f>
        <v>9337.3898857741806</v>
      </c>
      <c r="W355" s="5">
        <f t="shared" si="88"/>
        <v>0</v>
      </c>
      <c r="X355" s="5">
        <f t="shared" si="93"/>
        <v>-6495.7568739754834</v>
      </c>
      <c r="Y355" s="5">
        <f>D355*Assumptions!$D$44*-1</f>
        <v>0</v>
      </c>
      <c r="Z355" s="5">
        <f t="shared" si="89"/>
        <v>2841.6330117986972</v>
      </c>
      <c r="AA355" s="5">
        <f t="shared" si="99"/>
        <v>1113445.8174741357</v>
      </c>
      <c r="AB355" s="3">
        <f>Assumptions!$E$45</f>
        <v>6.9899151946608562E-3</v>
      </c>
      <c r="AC355" s="5">
        <f t="shared" si="100"/>
        <v>1124070.3423239284</v>
      </c>
      <c r="AD355" s="4">
        <f>AC355*Assumptions!$E$43</f>
        <v>1006.6898582508815</v>
      </c>
      <c r="AE355" s="2">
        <f>AD355*Assumptions!$D$44*-1</f>
        <v>-151.00347873763221</v>
      </c>
      <c r="AF355" s="2">
        <f>AC355*Assumptions!$E$46*-1</f>
        <v>-37.462143847108941</v>
      </c>
      <c r="AG355" s="5">
        <f t="shared" si="101"/>
        <v>1123881.8767013436</v>
      </c>
      <c r="AH355" s="20">
        <f>Model_30y[[#This Row],[Mortgage Payment]]+Model_30y[[#This Row],[Total Upkeep]]+Model_30y[[#This Row],[Monthly Investment]]</f>
        <v>-8036.6309444421549</v>
      </c>
      <c r="AI355" s="5">
        <f>Model_Renter!D355*-1</f>
        <v>7993.1926306417899</v>
      </c>
      <c r="AJ355" s="5">
        <f t="shared" si="94"/>
        <v>-43.438313800364995</v>
      </c>
    </row>
    <row r="356" spans="1:36" x14ac:dyDescent="0.25">
      <c r="A356" s="17">
        <f t="shared" si="95"/>
        <v>354</v>
      </c>
      <c r="B356" s="17">
        <f t="shared" si="90"/>
        <v>30</v>
      </c>
      <c r="C356" s="23">
        <f>IFERROR(PPMT(Assumptions!$E$17, A356, 180, Assumptions!$D$8), 0)</f>
        <v>0</v>
      </c>
      <c r="D356" s="38">
        <f>IFERROR(IPMT(Assumptions!$E$17,A356,180,Assumptions!$D$8), 0)</f>
        <v>0</v>
      </c>
      <c r="E356" s="2">
        <f t="shared" si="96"/>
        <v>0</v>
      </c>
      <c r="F356" s="2">
        <f>IF(I355&gt;1, Assumptions!$E$19, 0)*-1</f>
        <v>0</v>
      </c>
      <c r="G356" s="24">
        <f t="shared" si="91"/>
        <v>1</v>
      </c>
      <c r="H356" s="20">
        <f t="shared" si="97"/>
        <v>339999.99999999988</v>
      </c>
      <c r="I356" s="2">
        <f>MAX(Assumptions!$D$8-SUM(Model_15y!H356), 0)</f>
        <v>1.1641532182693481E-10</v>
      </c>
      <c r="J356" s="2">
        <f>J355*(1+(Assumptions!$E$51))</f>
        <v>1792558.1486553089</v>
      </c>
      <c r="K356" s="22">
        <f t="shared" si="86"/>
        <v>1792558.1486553089</v>
      </c>
      <c r="L356" s="5">
        <f t="shared" si="98"/>
        <v>425000</v>
      </c>
      <c r="M356" s="63">
        <f>L356/Assumptions!$D$6</f>
        <v>1</v>
      </c>
      <c r="N356" s="24">
        <f t="shared" si="102"/>
        <v>0</v>
      </c>
      <c r="O356" s="22">
        <f>N356*Assumptions!$E$25*-1</f>
        <v>0</v>
      </c>
      <c r="P356" s="5">
        <f>Assumptions!$E$35*J356*-1</f>
        <v>-3692.3762904023606</v>
      </c>
      <c r="Q356" s="5">
        <f>J356*Assumptions!$E$36*-1</f>
        <v>-1486.9953064913725</v>
      </c>
      <c r="R356" s="5">
        <f>R344+R344*Assumptions!$D$51</f>
        <v>-1337.4010571993992</v>
      </c>
      <c r="S356" s="5">
        <f>S344+(S344*Assumptions!$D$51)</f>
        <v>0</v>
      </c>
      <c r="T356" s="5">
        <f t="shared" si="92"/>
        <v>0</v>
      </c>
      <c r="U356" s="22">
        <f t="shared" si="87"/>
        <v>-6516.7726540931326</v>
      </c>
      <c r="V356" s="5">
        <f>MAX(Assumptions!$E$18:$E$19)-U356</f>
        <v>9358.4056658918289</v>
      </c>
      <c r="W356" s="5">
        <f t="shared" si="88"/>
        <v>0</v>
      </c>
      <c r="X356" s="5">
        <f t="shared" si="93"/>
        <v>-6516.7726540931326</v>
      </c>
      <c r="Y356" s="5">
        <f>D356*Assumptions!$D$44*-1</f>
        <v>0</v>
      </c>
      <c r="Z356" s="5">
        <f t="shared" si="89"/>
        <v>2841.6330117986963</v>
      </c>
      <c r="AA356" s="5">
        <f t="shared" si="99"/>
        <v>1123881.8767013436</v>
      </c>
      <c r="AB356" s="3">
        <f>Assumptions!$E$45</f>
        <v>6.9899151946608562E-3</v>
      </c>
      <c r="AC356" s="5">
        <f t="shared" si="100"/>
        <v>1134579.3487201009</v>
      </c>
      <c r="AD356" s="4">
        <f>AC356*Assumptions!$E$43</f>
        <v>1016.1014669029242</v>
      </c>
      <c r="AE356" s="2">
        <f>AD356*Assumptions!$D$44*-1</f>
        <v>-152.41522003543864</v>
      </c>
      <c r="AF356" s="2">
        <f>AC356*Assumptions!$E$46*-1</f>
        <v>-37.812379855017205</v>
      </c>
      <c r="AG356" s="5">
        <f t="shared" si="101"/>
        <v>1134389.1211202105</v>
      </c>
      <c r="AH356" s="20">
        <f>Model_30y[[#This Row],[Mortgage Payment]]+Model_30y[[#This Row],[Total Upkeep]]+Model_30y[[#This Row],[Monthly Investment]]</f>
        <v>-8059.4127431433053</v>
      </c>
      <c r="AI356" s="5">
        <f>Model_Renter!D356*-1</f>
        <v>7993.1926306417899</v>
      </c>
      <c r="AJ356" s="5">
        <f t="shared" si="94"/>
        <v>-66.220112501515359</v>
      </c>
    </row>
    <row r="357" spans="1:36" x14ac:dyDescent="0.25">
      <c r="A357" s="17">
        <f t="shared" si="95"/>
        <v>355</v>
      </c>
      <c r="B357" s="17">
        <f t="shared" si="90"/>
        <v>30</v>
      </c>
      <c r="C357" s="23">
        <f>IFERROR(PPMT(Assumptions!$E$17, A357, 180, Assumptions!$D$8), 0)</f>
        <v>0</v>
      </c>
      <c r="D357" s="38">
        <f>IFERROR(IPMT(Assumptions!$E$17,A357,180,Assumptions!$D$8), 0)</f>
        <v>0</v>
      </c>
      <c r="E357" s="2">
        <f t="shared" si="96"/>
        <v>0</v>
      </c>
      <c r="F357" s="2">
        <f>IF(I356&gt;1, Assumptions!$E$19, 0)*-1</f>
        <v>0</v>
      </c>
      <c r="G357" s="24">
        <f t="shared" si="91"/>
        <v>1</v>
      </c>
      <c r="H357" s="20">
        <f t="shared" si="97"/>
        <v>339999.99999999988</v>
      </c>
      <c r="I357" s="2">
        <f>MAX(Assumptions!$D$8-SUM(Model_15y!H357), 0)</f>
        <v>1.1641532182693481E-10</v>
      </c>
      <c r="J357" s="2">
        <f>J356*(1+(Assumptions!$E$51))</f>
        <v>1799861.252442318</v>
      </c>
      <c r="K357" s="22">
        <f t="shared" si="86"/>
        <v>1799861.252442318</v>
      </c>
      <c r="L357" s="5">
        <f t="shared" si="98"/>
        <v>425000</v>
      </c>
      <c r="M357" s="63">
        <f>L357/Assumptions!$D$6</f>
        <v>1</v>
      </c>
      <c r="N357" s="24">
        <f t="shared" si="102"/>
        <v>0</v>
      </c>
      <c r="O357" s="22">
        <f>N357*Assumptions!$E$25*-1</f>
        <v>0</v>
      </c>
      <c r="P357" s="5">
        <f>Assumptions!$E$35*J357*-1</f>
        <v>-3707.4194884652679</v>
      </c>
      <c r="Q357" s="5">
        <f>J357*Assumptions!$E$36*-1</f>
        <v>-1493.0535094357224</v>
      </c>
      <c r="R357" s="5">
        <f>R345+R345*Assumptions!$D$51</f>
        <v>-1337.4010571993992</v>
      </c>
      <c r="S357" s="5">
        <f>S345+(S345*Assumptions!$D$51)</f>
        <v>0</v>
      </c>
      <c r="T357" s="5">
        <f t="shared" si="92"/>
        <v>0</v>
      </c>
      <c r="U357" s="22">
        <f t="shared" si="87"/>
        <v>-6537.8740551003893</v>
      </c>
      <c r="V357" s="5">
        <f>MAX(Assumptions!$E$18:$E$19)-U357</f>
        <v>9379.5070668990866</v>
      </c>
      <c r="W357" s="5">
        <f t="shared" si="88"/>
        <v>0</v>
      </c>
      <c r="X357" s="5">
        <f t="shared" si="93"/>
        <v>-6537.8740551003893</v>
      </c>
      <c r="Y357" s="5">
        <f>D357*Assumptions!$D$44*-1</f>
        <v>0</v>
      </c>
      <c r="Z357" s="5">
        <f t="shared" si="89"/>
        <v>2841.6330117986972</v>
      </c>
      <c r="AA357" s="5">
        <f t="shared" si="99"/>
        <v>1134389.1211202105</v>
      </c>
      <c r="AB357" s="3">
        <f>Assumptions!$E$45</f>
        <v>6.9899151946608562E-3</v>
      </c>
      <c r="AC357" s="5">
        <f t="shared" si="100"/>
        <v>1145160.0378863853</v>
      </c>
      <c r="AD357" s="4">
        <f>AC357*Assumptions!$E$43</f>
        <v>1025.5772728876123</v>
      </c>
      <c r="AE357" s="2">
        <f>AD357*Assumptions!$D$44*-1</f>
        <v>-153.83659093314182</v>
      </c>
      <c r="AF357" s="2">
        <f>AC357*Assumptions!$E$46*-1</f>
        <v>-38.165004850646405</v>
      </c>
      <c r="AG357" s="5">
        <f t="shared" si="101"/>
        <v>1144968.0362906016</v>
      </c>
      <c r="AH357" s="20">
        <f>Model_30y[[#This Row],[Mortgage Payment]]+Model_30y[[#This Row],[Total Upkeep]]+Model_30y[[#This Row],[Monthly Investment]]</f>
        <v>-8082.2900524381312</v>
      </c>
      <c r="AI357" s="5">
        <f>Model_Renter!D357*-1</f>
        <v>7993.1926306417899</v>
      </c>
      <c r="AJ357" s="5">
        <f t="shared" si="94"/>
        <v>-89.097421796341223</v>
      </c>
    </row>
    <row r="358" spans="1:36" x14ac:dyDescent="0.25">
      <c r="A358" s="17">
        <f t="shared" si="95"/>
        <v>356</v>
      </c>
      <c r="B358" s="17">
        <f t="shared" si="90"/>
        <v>30</v>
      </c>
      <c r="C358" s="23">
        <f>IFERROR(PPMT(Assumptions!$E$17, A358, 180, Assumptions!$D$8), 0)</f>
        <v>0</v>
      </c>
      <c r="D358" s="38">
        <f>IFERROR(IPMT(Assumptions!$E$17,A358,180,Assumptions!$D$8), 0)</f>
        <v>0</v>
      </c>
      <c r="E358" s="2">
        <f t="shared" si="96"/>
        <v>0</v>
      </c>
      <c r="F358" s="2">
        <f>IF(I357&gt;1, Assumptions!$E$19, 0)*-1</f>
        <v>0</v>
      </c>
      <c r="G358" s="24">
        <f t="shared" si="91"/>
        <v>1</v>
      </c>
      <c r="H358" s="20">
        <f t="shared" si="97"/>
        <v>339999.99999999988</v>
      </c>
      <c r="I358" s="2">
        <f>MAX(Assumptions!$D$8-SUM(Model_15y!H358), 0)</f>
        <v>1.1641532182693481E-10</v>
      </c>
      <c r="J358" s="2">
        <f>J357*(1+(Assumptions!$E$51))</f>
        <v>1807194.1099781604</v>
      </c>
      <c r="K358" s="22">
        <f t="shared" si="86"/>
        <v>1807194.1099781604</v>
      </c>
      <c r="L358" s="5">
        <f t="shared" si="98"/>
        <v>425000</v>
      </c>
      <c r="M358" s="63">
        <f>L358/Assumptions!$D$6</f>
        <v>1</v>
      </c>
      <c r="N358" s="24">
        <f t="shared" si="102"/>
        <v>0</v>
      </c>
      <c r="O358" s="22">
        <f>N358*Assumptions!$E$25*-1</f>
        <v>0</v>
      </c>
      <c r="P358" s="5">
        <f>Assumptions!$E$35*J358*-1</f>
        <v>-3722.5239743791858</v>
      </c>
      <c r="Q358" s="5">
        <f>J358*Assumptions!$E$36*-1</f>
        <v>-1499.136394248774</v>
      </c>
      <c r="R358" s="5">
        <f>R346+R346*Assumptions!$D$51</f>
        <v>-1337.4010571993992</v>
      </c>
      <c r="S358" s="5">
        <f>S346+(S346*Assumptions!$D$51)</f>
        <v>0</v>
      </c>
      <c r="T358" s="5">
        <f t="shared" si="92"/>
        <v>0</v>
      </c>
      <c r="U358" s="22">
        <f t="shared" si="87"/>
        <v>-6559.061425827359</v>
      </c>
      <c r="V358" s="5">
        <f>MAX(Assumptions!$E$18:$E$19)-U358</f>
        <v>9400.6944376260562</v>
      </c>
      <c r="W358" s="5">
        <f t="shared" si="88"/>
        <v>0</v>
      </c>
      <c r="X358" s="5">
        <f t="shared" si="93"/>
        <v>-6559.061425827359</v>
      </c>
      <c r="Y358" s="5">
        <f>D358*Assumptions!$D$44*-1</f>
        <v>0</v>
      </c>
      <c r="Z358" s="5">
        <f t="shared" si="89"/>
        <v>2841.6330117986972</v>
      </c>
      <c r="AA358" s="5">
        <f t="shared" si="99"/>
        <v>1144968.0362906016</v>
      </c>
      <c r="AB358" s="3">
        <f>Assumptions!$E$45</f>
        <v>6.9899151946608562E-3</v>
      </c>
      <c r="AC358" s="5">
        <f t="shared" si="100"/>
        <v>1155812.8987766688</v>
      </c>
      <c r="AD358" s="4">
        <f>AC358*Assumptions!$E$43</f>
        <v>1035.1177141000676</v>
      </c>
      <c r="AE358" s="2">
        <f>AD358*Assumptions!$D$44*-1</f>
        <v>-155.26765711501014</v>
      </c>
      <c r="AF358" s="2">
        <f>AC358*Assumptions!$E$46*-1</f>
        <v>-38.520035129472177</v>
      </c>
      <c r="AG358" s="5">
        <f t="shared" si="101"/>
        <v>1155619.1110844244</v>
      </c>
      <c r="AH358" s="20">
        <f>Model_30y[[#This Row],[Mortgage Payment]]+Model_30y[[#This Row],[Total Upkeep]]+Model_30y[[#This Row],[Monthly Investment]]</f>
        <v>-8105.263276539079</v>
      </c>
      <c r="AI358" s="5">
        <f>Model_Renter!D358*-1</f>
        <v>7993.1926306417899</v>
      </c>
      <c r="AJ358" s="5">
        <f t="shared" si="94"/>
        <v>-112.07064589728907</v>
      </c>
    </row>
    <row r="359" spans="1:36" x14ac:dyDescent="0.25">
      <c r="A359" s="17">
        <f t="shared" si="95"/>
        <v>357</v>
      </c>
      <c r="B359" s="17">
        <f t="shared" si="90"/>
        <v>30</v>
      </c>
      <c r="C359" s="23">
        <f>IFERROR(PPMT(Assumptions!$E$17, A359, 180, Assumptions!$D$8), 0)</f>
        <v>0</v>
      </c>
      <c r="D359" s="38">
        <f>IFERROR(IPMT(Assumptions!$E$17,A359,180,Assumptions!$D$8), 0)</f>
        <v>0</v>
      </c>
      <c r="E359" s="2">
        <f t="shared" si="96"/>
        <v>0</v>
      </c>
      <c r="F359" s="2">
        <f>IF(I358&gt;1, Assumptions!$E$19, 0)*-1</f>
        <v>0</v>
      </c>
      <c r="G359" s="24">
        <f t="shared" si="91"/>
        <v>1</v>
      </c>
      <c r="H359" s="20">
        <f t="shared" si="97"/>
        <v>339999.99999999988</v>
      </c>
      <c r="I359" s="2">
        <f>MAX(Assumptions!$D$8-SUM(Model_15y!H359), 0)</f>
        <v>1.1641532182693481E-10</v>
      </c>
      <c r="J359" s="2">
        <f>J358*(1+(Assumptions!$E$51))</f>
        <v>1814556.8424832916</v>
      </c>
      <c r="K359" s="22">
        <f t="shared" si="86"/>
        <v>1814556.8424832914</v>
      </c>
      <c r="L359" s="5">
        <f t="shared" si="98"/>
        <v>425000</v>
      </c>
      <c r="M359" s="63">
        <f>L359/Assumptions!$D$6</f>
        <v>1</v>
      </c>
      <c r="N359" s="24">
        <f t="shared" si="102"/>
        <v>0</v>
      </c>
      <c r="O359" s="22">
        <f>N359*Assumptions!$E$25*-1</f>
        <v>0</v>
      </c>
      <c r="P359" s="5">
        <f>Assumptions!$E$35*J359*-1</f>
        <v>-3737.6899978384054</v>
      </c>
      <c r="Q359" s="5">
        <f>J359*Assumptions!$E$36*-1</f>
        <v>-1505.2440614875159</v>
      </c>
      <c r="R359" s="5">
        <f>R347+R347*Assumptions!$D$51</f>
        <v>-1337.4010571993992</v>
      </c>
      <c r="S359" s="5">
        <f>S347+(S347*Assumptions!$D$51)</f>
        <v>0</v>
      </c>
      <c r="T359" s="5">
        <f t="shared" si="92"/>
        <v>0</v>
      </c>
      <c r="U359" s="22">
        <f t="shared" si="87"/>
        <v>-6580.3351165253207</v>
      </c>
      <c r="V359" s="5">
        <f>MAX(Assumptions!$E$18:$E$19)-U359</f>
        <v>9421.968128324017</v>
      </c>
      <c r="W359" s="5">
        <f t="shared" si="88"/>
        <v>0</v>
      </c>
      <c r="X359" s="5">
        <f t="shared" si="93"/>
        <v>-6580.3351165253207</v>
      </c>
      <c r="Y359" s="5">
        <f>D359*Assumptions!$D$44*-1</f>
        <v>0</v>
      </c>
      <c r="Z359" s="5">
        <f t="shared" si="89"/>
        <v>2841.6330117986963</v>
      </c>
      <c r="AA359" s="5">
        <f t="shared" si="99"/>
        <v>1155619.1110844244</v>
      </c>
      <c r="AB359" s="3">
        <f>Assumptions!$E$45</f>
        <v>6.9899151946608562E-3</v>
      </c>
      <c r="AC359" s="5">
        <f t="shared" si="100"/>
        <v>1166538.4236800326</v>
      </c>
      <c r="AD359" s="4">
        <f>AC359*Assumptions!$E$43</f>
        <v>1044.7232314223297</v>
      </c>
      <c r="AE359" s="2">
        <f>AD359*Assumptions!$D$44*-1</f>
        <v>-156.70848471334946</v>
      </c>
      <c r="AF359" s="2">
        <f>AC359*Assumptions!$E$46*-1</f>
        <v>-38.877487098122884</v>
      </c>
      <c r="AG359" s="5">
        <f t="shared" si="101"/>
        <v>1166342.837708221</v>
      </c>
      <c r="AH359" s="20">
        <f>Model_30y[[#This Row],[Mortgage Payment]]+Model_30y[[#This Row],[Total Upkeep]]+Model_30y[[#This Row],[Monthly Investment]]</f>
        <v>-8128.332821389914</v>
      </c>
      <c r="AI359" s="5">
        <f>Model_Renter!D359*-1</f>
        <v>7993.1926306417899</v>
      </c>
      <c r="AJ359" s="5">
        <f t="shared" si="94"/>
        <v>-135.14019074812404</v>
      </c>
    </row>
    <row r="360" spans="1:36" x14ac:dyDescent="0.25">
      <c r="A360" s="17">
        <f t="shared" si="95"/>
        <v>358</v>
      </c>
      <c r="B360" s="17">
        <f t="shared" si="90"/>
        <v>30</v>
      </c>
      <c r="C360" s="23">
        <f>IFERROR(PPMT(Assumptions!$E$17, A360, 180, Assumptions!$D$8), 0)</f>
        <v>0</v>
      </c>
      <c r="D360" s="38">
        <f>IFERROR(IPMT(Assumptions!$E$17,A360,180,Assumptions!$D$8), 0)</f>
        <v>0</v>
      </c>
      <c r="E360" s="2">
        <f t="shared" si="96"/>
        <v>0</v>
      </c>
      <c r="F360" s="2">
        <f>IF(I359&gt;1, Assumptions!$E$19, 0)*-1</f>
        <v>0</v>
      </c>
      <c r="G360" s="24">
        <f t="shared" si="91"/>
        <v>1</v>
      </c>
      <c r="H360" s="20">
        <f t="shared" si="97"/>
        <v>339999.99999999988</v>
      </c>
      <c r="I360" s="2">
        <f>MAX(Assumptions!$D$8-SUM(Model_15y!H360), 0)</f>
        <v>1.1641532182693481E-10</v>
      </c>
      <c r="J360" s="2">
        <f>J359*(1+(Assumptions!$E$51))</f>
        <v>1821949.5716720347</v>
      </c>
      <c r="K360" s="22">
        <f t="shared" si="86"/>
        <v>1821949.5716720344</v>
      </c>
      <c r="L360" s="5">
        <f t="shared" si="98"/>
        <v>425000</v>
      </c>
      <c r="M360" s="63">
        <f>L360/Assumptions!$D$6</f>
        <v>1</v>
      </c>
      <c r="N360" s="24">
        <f t="shared" si="102"/>
        <v>0</v>
      </c>
      <c r="O360" s="22">
        <f>N360*Assumptions!$E$25*-1</f>
        <v>0</v>
      </c>
      <c r="P360" s="5">
        <f>Assumptions!$E$35*J360*-1</f>
        <v>-3752.9178095545035</v>
      </c>
      <c r="Q360" s="5">
        <f>J360*Assumptions!$E$36*-1</f>
        <v>-1511.3766121186175</v>
      </c>
      <c r="R360" s="5">
        <f>R348+R348*Assumptions!$D$51</f>
        <v>-1337.4010571993992</v>
      </c>
      <c r="S360" s="5">
        <f>S348+(S348*Assumptions!$D$51)</f>
        <v>0</v>
      </c>
      <c r="T360" s="5">
        <f t="shared" si="92"/>
        <v>0</v>
      </c>
      <c r="U360" s="22">
        <f t="shared" si="87"/>
        <v>-6601.6954788725207</v>
      </c>
      <c r="V360" s="5">
        <f>MAX(Assumptions!$E$18:$E$19)-U360</f>
        <v>9443.3284906712179</v>
      </c>
      <c r="W360" s="5">
        <f t="shared" si="88"/>
        <v>0</v>
      </c>
      <c r="X360" s="5">
        <f t="shared" si="93"/>
        <v>-6601.6954788725207</v>
      </c>
      <c r="Y360" s="5">
        <f>D360*Assumptions!$D$44*-1</f>
        <v>0</v>
      </c>
      <c r="Z360" s="5">
        <f t="shared" si="89"/>
        <v>2841.6330117986972</v>
      </c>
      <c r="AA360" s="5">
        <f t="shared" si="99"/>
        <v>1166342.837708221</v>
      </c>
      <c r="AB360" s="3">
        <f>Assumptions!$E$45</f>
        <v>6.9899151946608562E-3</v>
      </c>
      <c r="AC360" s="5">
        <f t="shared" si="100"/>
        <v>1177337.1082435001</v>
      </c>
      <c r="AD360" s="4">
        <f>AC360*Assumptions!$E$43</f>
        <v>1054.3942687437293</v>
      </c>
      <c r="AE360" s="2">
        <f>AD360*Assumptions!$D$44*-1</f>
        <v>-158.15914031155938</v>
      </c>
      <c r="AF360" s="2">
        <f>AC360*Assumptions!$E$46*-1</f>
        <v>-39.237377275137796</v>
      </c>
      <c r="AG360" s="5">
        <f t="shared" si="101"/>
        <v>1177139.7117259135</v>
      </c>
      <c r="AH360" s="20">
        <f>Model_30y[[#This Row],[Mortgage Payment]]+Model_30y[[#This Row],[Total Upkeep]]+Model_30y[[#This Row],[Monthly Investment]]</f>
        <v>-8151.4990946732432</v>
      </c>
      <c r="AI360" s="5">
        <f>Model_Renter!D360*-1</f>
        <v>7993.1926306417899</v>
      </c>
      <c r="AJ360" s="5">
        <f t="shared" si="94"/>
        <v>-158.30646403145329</v>
      </c>
    </row>
    <row r="361" spans="1:36" x14ac:dyDescent="0.25">
      <c r="A361" s="17">
        <f t="shared" si="95"/>
        <v>359</v>
      </c>
      <c r="B361" s="17">
        <f t="shared" si="90"/>
        <v>30</v>
      </c>
      <c r="C361" s="23">
        <f>IFERROR(PPMT(Assumptions!$E$17, A361, 180, Assumptions!$D$8), 0)</f>
        <v>0</v>
      </c>
      <c r="D361" s="38">
        <f>IFERROR(IPMT(Assumptions!$E$17,A361,180,Assumptions!$D$8), 0)</f>
        <v>0</v>
      </c>
      <c r="E361" s="2">
        <f t="shared" si="96"/>
        <v>0</v>
      </c>
      <c r="F361" s="2">
        <f>IF(I360&gt;1, Assumptions!$E$19, 0)*-1</f>
        <v>0</v>
      </c>
      <c r="G361" s="24">
        <f t="shared" si="91"/>
        <v>1</v>
      </c>
      <c r="H361" s="20">
        <f t="shared" si="97"/>
        <v>339999.99999999988</v>
      </c>
      <c r="I361" s="2">
        <f>MAX(Assumptions!$D$8-SUM(Model_15y!H361), 0)</f>
        <v>1.1641532182693481E-10</v>
      </c>
      <c r="J361" s="2">
        <f>J360*(1+(Assumptions!$E$51))</f>
        <v>1829372.4197545915</v>
      </c>
      <c r="K361" s="22">
        <f t="shared" si="86"/>
        <v>1829372.4197545913</v>
      </c>
      <c r="L361" s="5">
        <f t="shared" si="98"/>
        <v>425000</v>
      </c>
      <c r="M361" s="63">
        <f>L361/Assumptions!$D$6</f>
        <v>1</v>
      </c>
      <c r="N361" s="24">
        <f t="shared" si="102"/>
        <v>0</v>
      </c>
      <c r="O361" s="22">
        <f>N361*Assumptions!$E$25*-1</f>
        <v>0</v>
      </c>
      <c r="P361" s="5">
        <f>Assumptions!$E$35*J361*-1</f>
        <v>-3768.2076612604865</v>
      </c>
      <c r="Q361" s="5">
        <f>J361*Assumptions!$E$36*-1</f>
        <v>-1517.5341475200999</v>
      </c>
      <c r="R361" s="5">
        <f>R349+R349*Assumptions!$D$51</f>
        <v>-1337.4010571993992</v>
      </c>
      <c r="S361" s="5">
        <f>S349+(S349*Assumptions!$D$51)</f>
        <v>0</v>
      </c>
      <c r="T361" s="5">
        <f t="shared" si="92"/>
        <v>0</v>
      </c>
      <c r="U361" s="22">
        <f t="shared" si="87"/>
        <v>-6623.1428659799858</v>
      </c>
      <c r="V361" s="5">
        <f>MAX(Assumptions!$E$18:$E$19)-U361</f>
        <v>9464.7758777786821</v>
      </c>
      <c r="W361" s="5">
        <f t="shared" si="88"/>
        <v>0</v>
      </c>
      <c r="X361" s="5">
        <f t="shared" si="93"/>
        <v>-6623.1428659799858</v>
      </c>
      <c r="Y361" s="5">
        <f>D361*Assumptions!$D$44*-1</f>
        <v>0</v>
      </c>
      <c r="Z361" s="5">
        <f t="shared" si="89"/>
        <v>2841.6330117986963</v>
      </c>
      <c r="AA361" s="5">
        <f t="shared" si="99"/>
        <v>1177139.7117259135</v>
      </c>
      <c r="AB361" s="3">
        <f>Assumptions!$E$45</f>
        <v>6.9899151946608562E-3</v>
      </c>
      <c r="AC361" s="5">
        <f t="shared" si="100"/>
        <v>1188209.4514949438</v>
      </c>
      <c r="AD361" s="4">
        <f>AC361*Assumptions!$E$43</f>
        <v>1064.1312729814024</v>
      </c>
      <c r="AE361" s="2">
        <f>AD361*Assumptions!$D$44*-1</f>
        <v>-159.61969094721036</v>
      </c>
      <c r="AF361" s="2">
        <f>AC361*Assumptions!$E$46*-1</f>
        <v>-39.599722291730501</v>
      </c>
      <c r="AG361" s="5">
        <f t="shared" si="101"/>
        <v>1188010.2320817048</v>
      </c>
      <c r="AH361" s="20">
        <f>Model_30y[[#This Row],[Mortgage Payment]]+Model_30y[[#This Row],[Total Upkeep]]+Model_30y[[#This Row],[Monthly Investment]]</f>
        <v>-8174.7625058180802</v>
      </c>
      <c r="AI361" s="5">
        <f>Model_Renter!D361*-1</f>
        <v>7993.1926306417899</v>
      </c>
      <c r="AJ361" s="5">
        <f t="shared" si="94"/>
        <v>-181.56987517629022</v>
      </c>
    </row>
    <row r="362" spans="1:36" x14ac:dyDescent="0.25">
      <c r="A362" s="17">
        <f t="shared" si="95"/>
        <v>360</v>
      </c>
      <c r="B362" s="17">
        <f t="shared" si="90"/>
        <v>30</v>
      </c>
      <c r="C362" s="23">
        <f>IFERROR(PPMT(Assumptions!$E$17, A362, 180, Assumptions!$D$8), 0)</f>
        <v>0</v>
      </c>
      <c r="D362" s="38">
        <f>IFERROR(IPMT(Assumptions!$E$17,A362,180,Assumptions!$D$8), 0)</f>
        <v>0</v>
      </c>
      <c r="E362" s="2">
        <f t="shared" si="96"/>
        <v>0</v>
      </c>
      <c r="F362" s="2">
        <f>IF(I361&gt;1, Assumptions!$E$19, 0)*-1</f>
        <v>0</v>
      </c>
      <c r="G362" s="24">
        <f t="shared" si="91"/>
        <v>1</v>
      </c>
      <c r="H362" s="20">
        <f t="shared" si="97"/>
        <v>339999.99999999988</v>
      </c>
      <c r="I362" s="2">
        <f>MAX(Assumptions!$D$8-SUM(Model_15y!H362), 0)</f>
        <v>1.1641532182693481E-10</v>
      </c>
      <c r="J362" s="2">
        <f>J361*(1+(Assumptions!$E$51))</f>
        <v>1836825.509439064</v>
      </c>
      <c r="K362" s="22">
        <f t="shared" si="86"/>
        <v>1836825.5094390637</v>
      </c>
      <c r="L362" s="5">
        <f t="shared" si="98"/>
        <v>425000</v>
      </c>
      <c r="M362" s="63">
        <f>L362/Assumptions!$D$6</f>
        <v>1</v>
      </c>
      <c r="N362" s="24">
        <f t="shared" si="102"/>
        <v>0</v>
      </c>
      <c r="O362" s="22">
        <f>N362*Assumptions!$E$25*-1</f>
        <v>0</v>
      </c>
      <c r="P362" s="5">
        <f>Assumptions!$E$35*J362*-1</f>
        <v>-3783.5598057149537</v>
      </c>
      <c r="Q362" s="5">
        <f>J362*Assumptions!$E$36*-1</f>
        <v>-1523.7167694830098</v>
      </c>
      <c r="R362" s="5">
        <f>R350+R350*Assumptions!$D$51</f>
        <v>-1337.4010571993992</v>
      </c>
      <c r="S362" s="5">
        <f>S350+(S350*Assumptions!$D$51)</f>
        <v>0</v>
      </c>
      <c r="T362" s="5">
        <f t="shared" si="92"/>
        <v>0</v>
      </c>
      <c r="U362" s="22">
        <f t="shared" si="87"/>
        <v>-6644.6776323973627</v>
      </c>
      <c r="V362" s="5">
        <f>MAX(Assumptions!$E$18:$E$19)-U362</f>
        <v>9486.310644196059</v>
      </c>
      <c r="W362" s="5">
        <f t="shared" si="88"/>
        <v>0</v>
      </c>
      <c r="X362" s="5">
        <f t="shared" si="93"/>
        <v>-6644.6776323973627</v>
      </c>
      <c r="Y362" s="5">
        <f>D362*Assumptions!$D$44*-1</f>
        <v>0</v>
      </c>
      <c r="Z362" s="5">
        <f t="shared" si="89"/>
        <v>2841.6330117986963</v>
      </c>
      <c r="AA362" s="5">
        <f t="shared" si="99"/>
        <v>1188010.2320817048</v>
      </c>
      <c r="AB362" s="3">
        <f>Assumptions!$E$45</f>
        <v>6.9899151946608562E-3</v>
      </c>
      <c r="AC362" s="5">
        <f t="shared" si="100"/>
        <v>1199155.9558661438</v>
      </c>
      <c r="AD362" s="4">
        <f>AC362*Assumptions!$E$43</f>
        <v>1073.9346941009414</v>
      </c>
      <c r="AE362" s="2">
        <f>AD362*Assumptions!$D$44*-1</f>
        <v>-161.0902041151412</v>
      </c>
      <c r="AF362" s="2">
        <f>AC362*Assumptions!$E$46*-1</f>
        <v>-39.964538892557364</v>
      </c>
      <c r="AG362" s="5">
        <f t="shared" si="101"/>
        <v>1198954.901123136</v>
      </c>
      <c r="AH362" s="20">
        <f>Model_30y[[#This Row],[Mortgage Payment]]+Model_30y[[#This Row],[Total Upkeep]]+Model_30y[[#This Row],[Monthly Investment]]</f>
        <v>-8198.1234660074369</v>
      </c>
      <c r="AI362" s="5">
        <f>Model_Renter!D362*-1</f>
        <v>7993.1926306417899</v>
      </c>
      <c r="AJ362" s="5">
        <f t="shared" si="94"/>
        <v>-204.930835365647</v>
      </c>
    </row>
    <row r="363" spans="1:36" x14ac:dyDescent="0.25">
      <c r="A363" s="17">
        <f t="shared" si="95"/>
        <v>361</v>
      </c>
      <c r="B363" s="17">
        <f t="shared" si="90"/>
        <v>31</v>
      </c>
      <c r="C363" s="23">
        <f>IFERROR(PPMT(Assumptions!$E$17, A363, 180, Assumptions!$D$8), 0)</f>
        <v>0</v>
      </c>
      <c r="D363" s="38">
        <f>IFERROR(IPMT(Assumptions!$E$17,A363,180,Assumptions!$D$8), 0)</f>
        <v>0</v>
      </c>
      <c r="E363" s="2">
        <f t="shared" si="96"/>
        <v>0</v>
      </c>
      <c r="F363" s="2">
        <f>IF(I362&gt;1, Assumptions!$E$19, 0)*-1</f>
        <v>0</v>
      </c>
      <c r="G363" s="24">
        <f t="shared" si="91"/>
        <v>1</v>
      </c>
      <c r="H363" s="20">
        <f t="shared" si="97"/>
        <v>339999.99999999988</v>
      </c>
      <c r="I363" s="2">
        <f>MAX(Assumptions!$D$8-SUM(Model_15y!H363), 0)</f>
        <v>1.1641532182693481E-10</v>
      </c>
      <c r="J363" s="2">
        <f>J362*(1+(Assumptions!$E$51))</f>
        <v>1844308.9639334816</v>
      </c>
      <c r="K363" s="22">
        <f t="shared" si="86"/>
        <v>1844308.9639334814</v>
      </c>
      <c r="L363" s="5">
        <f t="shared" si="98"/>
        <v>425000</v>
      </c>
      <c r="M363" s="63">
        <f>L363/Assumptions!$D$6</f>
        <v>1</v>
      </c>
      <c r="N363" s="24">
        <f t="shared" si="102"/>
        <v>0</v>
      </c>
      <c r="O363" s="22">
        <f>N363*Assumptions!$E$25*-1</f>
        <v>0</v>
      </c>
      <c r="P363" s="5">
        <f>Assumptions!$E$35*J363*-1</f>
        <v>-3798.9744967062729</v>
      </c>
      <c r="Q363" s="5">
        <f>J363*Assumptions!$E$36*-1</f>
        <v>-1529.9245802131045</v>
      </c>
      <c r="R363" s="5">
        <f>R351+R351*Assumptions!$D$51</f>
        <v>-1404.2711100593692</v>
      </c>
      <c r="S363" s="5">
        <f>S351+(S351*Assumptions!$D$51)</f>
        <v>0</v>
      </c>
      <c r="T363" s="5">
        <f t="shared" si="92"/>
        <v>0</v>
      </c>
      <c r="U363" s="22">
        <f t="shared" si="87"/>
        <v>-6733.1701869787466</v>
      </c>
      <c r="V363" s="5">
        <f>MAX(Assumptions!$E$18:$E$19)-U363</f>
        <v>9574.803198777443</v>
      </c>
      <c r="W363" s="5">
        <f t="shared" si="88"/>
        <v>0</v>
      </c>
      <c r="X363" s="5">
        <f t="shared" si="93"/>
        <v>-6733.1701869787466</v>
      </c>
      <c r="Y363" s="5">
        <f>D363*Assumptions!$D$44*-1</f>
        <v>0</v>
      </c>
      <c r="Z363" s="5">
        <f t="shared" si="89"/>
        <v>2841.6330117986963</v>
      </c>
      <c r="AA363" s="5">
        <f t="shared" si="99"/>
        <v>1198954.901123136</v>
      </c>
      <c r="AB363" s="3">
        <f>Assumptions!$E$45</f>
        <v>6.9899151946608562E-3</v>
      </c>
      <c r="AC363" s="5">
        <f t="shared" si="100"/>
        <v>1210177.1272160083</v>
      </c>
      <c r="AD363" s="4">
        <f>AC363*Assumptions!$E$43</f>
        <v>1083.8049851371909</v>
      </c>
      <c r="AE363" s="2">
        <f>AD363*Assumptions!$D$44*-1</f>
        <v>-162.57074777057863</v>
      </c>
      <c r="AF363" s="2">
        <f>AC363*Assumptions!$E$46*-1</f>
        <v>-40.331843936491417</v>
      </c>
      <c r="AG363" s="5">
        <f t="shared" si="101"/>
        <v>1209974.2246243011</v>
      </c>
      <c r="AH363" s="20">
        <f>Model_30y[[#This Row],[Mortgage Payment]]+Model_30y[[#This Row],[Total Upkeep]]+Model_30y[[#This Row],[Monthly Investment]]</f>
        <v>-3891.5371751800503</v>
      </c>
      <c r="AI363" s="5">
        <f>Model_Renter!D363*-1</f>
        <v>8292.1380350277941</v>
      </c>
      <c r="AJ363" s="5">
        <f t="shared" si="94"/>
        <v>4400.6008598477438</v>
      </c>
    </row>
    <row r="364" spans="1:36" x14ac:dyDescent="0.25">
      <c r="A364" s="17">
        <f t="shared" si="95"/>
        <v>362</v>
      </c>
      <c r="B364" s="17">
        <f t="shared" si="90"/>
        <v>31</v>
      </c>
      <c r="C364" s="23">
        <f>IFERROR(PPMT(Assumptions!$E$17, A364, 180, Assumptions!$D$8), 0)</f>
        <v>0</v>
      </c>
      <c r="D364" s="38">
        <f>IFERROR(IPMT(Assumptions!$E$17,A364,180,Assumptions!$D$8), 0)</f>
        <v>0</v>
      </c>
      <c r="E364" s="2">
        <f t="shared" si="96"/>
        <v>0</v>
      </c>
      <c r="F364" s="2">
        <f>IF(I363&gt;1, Assumptions!$E$19, 0)*-1</f>
        <v>0</v>
      </c>
      <c r="G364" s="24">
        <f t="shared" si="91"/>
        <v>1</v>
      </c>
      <c r="H364" s="20">
        <f t="shared" si="97"/>
        <v>339999.99999999988</v>
      </c>
      <c r="I364" s="2">
        <f>MAX(Assumptions!$D$8-SUM(Model_15y!H364), 0)</f>
        <v>1.1641532182693481E-10</v>
      </c>
      <c r="J364" s="2">
        <f>J363*(1+(Assumptions!$E$51))</f>
        <v>1851822.9069478388</v>
      </c>
      <c r="K364" s="22">
        <f t="shared" si="86"/>
        <v>1851822.9069478386</v>
      </c>
      <c r="L364" s="5">
        <f t="shared" si="98"/>
        <v>425000</v>
      </c>
      <c r="M364" s="63">
        <f>L364/Assumptions!$D$6</f>
        <v>1</v>
      </c>
      <c r="N364" s="24">
        <f t="shared" si="102"/>
        <v>0</v>
      </c>
      <c r="O364" s="22">
        <f>N364*Assumptions!$E$25*-1</f>
        <v>0</v>
      </c>
      <c r="P364" s="5">
        <f>Assumptions!$E$35*J364*-1</f>
        <v>-3814.4519890567772</v>
      </c>
      <c r="Q364" s="5">
        <f>J364*Assumptions!$E$36*-1</f>
        <v>-1536.1576823325388</v>
      </c>
      <c r="R364" s="5">
        <f>R352+R352*Assumptions!$D$51</f>
        <v>-1404.2711100593692</v>
      </c>
      <c r="S364" s="5">
        <f>S352+(S352*Assumptions!$D$51)</f>
        <v>0</v>
      </c>
      <c r="T364" s="5">
        <f t="shared" si="92"/>
        <v>0</v>
      </c>
      <c r="U364" s="22">
        <f t="shared" si="87"/>
        <v>-6754.8807814486845</v>
      </c>
      <c r="V364" s="5">
        <f>MAX(Assumptions!$E$18:$E$19)-U364</f>
        <v>9596.5137932473808</v>
      </c>
      <c r="W364" s="5">
        <f t="shared" si="88"/>
        <v>0</v>
      </c>
      <c r="X364" s="5">
        <f t="shared" si="93"/>
        <v>-6754.8807814486845</v>
      </c>
      <c r="Y364" s="5">
        <f>D364*Assumptions!$D$44*-1</f>
        <v>0</v>
      </c>
      <c r="Z364" s="5">
        <f t="shared" si="89"/>
        <v>2841.6330117986963</v>
      </c>
      <c r="AA364" s="5">
        <f t="shared" si="99"/>
        <v>1209974.2246243011</v>
      </c>
      <c r="AB364" s="3">
        <f>Assumptions!$E$45</f>
        <v>6.9899151946608562E-3</v>
      </c>
      <c r="AC364" s="5">
        <f t="shared" si="100"/>
        <v>1221273.4748539492</v>
      </c>
      <c r="AD364" s="4">
        <f>AC364*Assumptions!$E$43</f>
        <v>1093.7426022151817</v>
      </c>
      <c r="AE364" s="2">
        <f>AD364*Assumptions!$D$44*-1</f>
        <v>-164.06139033227726</v>
      </c>
      <c r="AF364" s="2">
        <f>AC364*Assumptions!$E$46*-1</f>
        <v>-40.701654397401413</v>
      </c>
      <c r="AG364" s="5">
        <f t="shared" si="101"/>
        <v>1221068.7118092196</v>
      </c>
      <c r="AH364" s="20">
        <f>Model_30y[[#This Row],[Mortgage Payment]]+Model_30y[[#This Row],[Total Upkeep]]+Model_30y[[#This Row],[Monthly Investment]]</f>
        <v>-3913.2477696499882</v>
      </c>
      <c r="AI364" s="5">
        <f>Model_Renter!D364*-1</f>
        <v>8292.1380350277941</v>
      </c>
      <c r="AJ364" s="5">
        <f t="shared" si="94"/>
        <v>4378.8902653778059</v>
      </c>
    </row>
    <row r="365" spans="1:36" x14ac:dyDescent="0.25">
      <c r="A365" s="17">
        <f t="shared" si="95"/>
        <v>363</v>
      </c>
      <c r="B365" s="17">
        <f t="shared" si="90"/>
        <v>31</v>
      </c>
      <c r="C365" s="23">
        <f>IFERROR(PPMT(Assumptions!$E$17, A365, 180, Assumptions!$D$8), 0)</f>
        <v>0</v>
      </c>
      <c r="D365" s="38">
        <f>IFERROR(IPMT(Assumptions!$E$17,A365,180,Assumptions!$D$8), 0)</f>
        <v>0</v>
      </c>
      <c r="E365" s="2">
        <f t="shared" si="96"/>
        <v>0</v>
      </c>
      <c r="F365" s="2">
        <f>IF(I364&gt;1, Assumptions!$E$19, 0)*-1</f>
        <v>0</v>
      </c>
      <c r="G365" s="24">
        <f t="shared" si="91"/>
        <v>1</v>
      </c>
      <c r="H365" s="20">
        <f t="shared" si="97"/>
        <v>339999.99999999988</v>
      </c>
      <c r="I365" s="2">
        <f>MAX(Assumptions!$D$8-SUM(Model_15y!H365), 0)</f>
        <v>1.1641532182693481E-10</v>
      </c>
      <c r="J365" s="2">
        <f>J364*(1+(Assumptions!$E$51))</f>
        <v>1859367.4626961399</v>
      </c>
      <c r="K365" s="22">
        <f t="shared" si="86"/>
        <v>1859367.4626961397</v>
      </c>
      <c r="L365" s="5">
        <f t="shared" si="98"/>
        <v>425000</v>
      </c>
      <c r="M365" s="63">
        <f>L365/Assumptions!$D$6</f>
        <v>1</v>
      </c>
      <c r="N365" s="24">
        <f t="shared" si="102"/>
        <v>0</v>
      </c>
      <c r="O365" s="22">
        <f>N365*Assumptions!$E$25*-1</f>
        <v>0</v>
      </c>
      <c r="P365" s="5">
        <f>Assumptions!$E$35*J365*-1</f>
        <v>-3829.9925386269783</v>
      </c>
      <c r="Q365" s="5">
        <f>J365*Assumptions!$E$36*-1</f>
        <v>-1542.4161788815641</v>
      </c>
      <c r="R365" s="5">
        <f>R353+R353*Assumptions!$D$51</f>
        <v>-1404.2711100593692</v>
      </c>
      <c r="S365" s="5">
        <f>S353+(S353*Assumptions!$D$51)</f>
        <v>0</v>
      </c>
      <c r="T365" s="5">
        <f t="shared" si="92"/>
        <v>0</v>
      </c>
      <c r="U365" s="22">
        <f t="shared" si="87"/>
        <v>-6776.6798275679121</v>
      </c>
      <c r="V365" s="5">
        <f>MAX(Assumptions!$E$18:$E$19)-U365</f>
        <v>9618.3128393666084</v>
      </c>
      <c r="W365" s="5">
        <f t="shared" si="88"/>
        <v>0</v>
      </c>
      <c r="X365" s="5">
        <f t="shared" si="93"/>
        <v>-6776.6798275679121</v>
      </c>
      <c r="Y365" s="5">
        <f>D365*Assumptions!$D$44*-1</f>
        <v>0</v>
      </c>
      <c r="Z365" s="5">
        <f t="shared" si="89"/>
        <v>2841.6330117986963</v>
      </c>
      <c r="AA365" s="5">
        <f t="shared" si="99"/>
        <v>1221068.7118092196</v>
      </c>
      <c r="AB365" s="3">
        <f>Assumptions!$E$45</f>
        <v>6.9899151946608562E-3</v>
      </c>
      <c r="AC365" s="5">
        <f t="shared" si="100"/>
        <v>1232445.5115634184</v>
      </c>
      <c r="AD365" s="4">
        <f>AC365*Assumptions!$E$43</f>
        <v>1103.74800457121</v>
      </c>
      <c r="AE365" s="2">
        <f>AD365*Assumptions!$D$44*-1</f>
        <v>-165.56220068568149</v>
      </c>
      <c r="AF365" s="2">
        <f>AC365*Assumptions!$E$46*-1</f>
        <v>-41.073987364936208</v>
      </c>
      <c r="AG365" s="5">
        <f t="shared" si="101"/>
        <v>1232238.8753753677</v>
      </c>
      <c r="AH365" s="20">
        <f>Model_30y[[#This Row],[Mortgage Payment]]+Model_30y[[#This Row],[Total Upkeep]]+Model_30y[[#This Row],[Monthly Investment]]</f>
        <v>-3935.0468157692158</v>
      </c>
      <c r="AI365" s="5">
        <f>Model_Renter!D365*-1</f>
        <v>8292.1380350277941</v>
      </c>
      <c r="AJ365" s="5">
        <f t="shared" si="94"/>
        <v>4357.0912192585783</v>
      </c>
    </row>
    <row r="366" spans="1:36" x14ac:dyDescent="0.25">
      <c r="A366" s="17">
        <f t="shared" si="95"/>
        <v>364</v>
      </c>
      <c r="B366" s="17">
        <f t="shared" si="90"/>
        <v>31</v>
      </c>
      <c r="C366" s="23">
        <f>IFERROR(PPMT(Assumptions!$E$17, A366, 180, Assumptions!$D$8), 0)</f>
        <v>0</v>
      </c>
      <c r="D366" s="38">
        <f>IFERROR(IPMT(Assumptions!$E$17,A366,180,Assumptions!$D$8), 0)</f>
        <v>0</v>
      </c>
      <c r="E366" s="2">
        <f t="shared" si="96"/>
        <v>0</v>
      </c>
      <c r="F366" s="2">
        <f>IF(I365&gt;1, Assumptions!$E$19, 0)*-1</f>
        <v>0</v>
      </c>
      <c r="G366" s="24">
        <f t="shared" si="91"/>
        <v>1</v>
      </c>
      <c r="H366" s="20">
        <f t="shared" si="97"/>
        <v>339999.99999999988</v>
      </c>
      <c r="I366" s="2">
        <f>MAX(Assumptions!$D$8-SUM(Model_15y!H366), 0)</f>
        <v>1.1641532182693481E-10</v>
      </c>
      <c r="J366" s="2">
        <f>J365*(1+(Assumptions!$E$51))</f>
        <v>1866942.7558984521</v>
      </c>
      <c r="K366" s="22">
        <f t="shared" si="86"/>
        <v>1866942.7558984519</v>
      </c>
      <c r="L366" s="5">
        <f t="shared" si="98"/>
        <v>425000</v>
      </c>
      <c r="M366" s="63">
        <f>L366/Assumptions!$D$6</f>
        <v>1</v>
      </c>
      <c r="N366" s="24">
        <f t="shared" si="102"/>
        <v>0</v>
      </c>
      <c r="O366" s="22">
        <f>N366*Assumptions!$E$25*-1</f>
        <v>0</v>
      </c>
      <c r="P366" s="5">
        <f>Assumptions!$E$35*J366*-1</f>
        <v>-3845.5964023197944</v>
      </c>
      <c r="Q366" s="5">
        <f>J366*Assumptions!$E$36*-1</f>
        <v>-1548.7001733202294</v>
      </c>
      <c r="R366" s="5">
        <f>R354+R354*Assumptions!$D$51</f>
        <v>-1404.2711100593692</v>
      </c>
      <c r="S366" s="5">
        <f>S354+(S354*Assumptions!$D$51)</f>
        <v>0</v>
      </c>
      <c r="T366" s="5">
        <f t="shared" si="92"/>
        <v>0</v>
      </c>
      <c r="U366" s="22">
        <f t="shared" si="87"/>
        <v>-6798.5676856993923</v>
      </c>
      <c r="V366" s="5">
        <f>MAX(Assumptions!$E$18:$E$19)-U366</f>
        <v>9640.2006974980886</v>
      </c>
      <c r="W366" s="5">
        <f t="shared" si="88"/>
        <v>0</v>
      </c>
      <c r="X366" s="5">
        <f t="shared" si="93"/>
        <v>-6798.5676856993923</v>
      </c>
      <c r="Y366" s="5">
        <f>D366*Assumptions!$D$44*-1</f>
        <v>0</v>
      </c>
      <c r="Z366" s="5">
        <f t="shared" si="89"/>
        <v>2841.6330117986963</v>
      </c>
      <c r="AA366" s="5">
        <f t="shared" si="99"/>
        <v>1232238.8753753677</v>
      </c>
      <c r="AB366" s="3">
        <f>Assumptions!$E$45</f>
        <v>6.9899151946608562E-3</v>
      </c>
      <c r="AC366" s="5">
        <f t="shared" si="100"/>
        <v>1243693.7536256043</v>
      </c>
      <c r="AD366" s="4">
        <f>AC366*Assumptions!$E$43</f>
        <v>1113.8216545740586</v>
      </c>
      <c r="AE366" s="2">
        <f>AD366*Assumptions!$D$44*-1</f>
        <v>-167.07324818610877</v>
      </c>
      <c r="AF366" s="2">
        <f>AC366*Assumptions!$E$46*-1</f>
        <v>-41.44886004531449</v>
      </c>
      <c r="AG366" s="5">
        <f t="shared" si="101"/>
        <v>1243485.2315173729</v>
      </c>
      <c r="AH366" s="20">
        <f>Model_30y[[#This Row],[Mortgage Payment]]+Model_30y[[#This Row],[Total Upkeep]]+Model_30y[[#This Row],[Monthly Investment]]</f>
        <v>-3956.934673900696</v>
      </c>
      <c r="AI366" s="5">
        <f>Model_Renter!D366*-1</f>
        <v>8292.1380350277941</v>
      </c>
      <c r="AJ366" s="5">
        <f t="shared" si="94"/>
        <v>4335.2033611270981</v>
      </c>
    </row>
    <row r="367" spans="1:36" x14ac:dyDescent="0.25">
      <c r="A367" s="17">
        <f t="shared" si="95"/>
        <v>365</v>
      </c>
      <c r="B367" s="17">
        <f t="shared" si="90"/>
        <v>31</v>
      </c>
      <c r="C367" s="23">
        <f>IFERROR(PPMT(Assumptions!$E$17, A367, 180, Assumptions!$D$8), 0)</f>
        <v>0</v>
      </c>
      <c r="D367" s="38">
        <f>IFERROR(IPMT(Assumptions!$E$17,A367,180,Assumptions!$D$8), 0)</f>
        <v>0</v>
      </c>
      <c r="E367" s="2">
        <f t="shared" si="96"/>
        <v>0</v>
      </c>
      <c r="F367" s="2">
        <f>IF(I366&gt;1, Assumptions!$E$19, 0)*-1</f>
        <v>0</v>
      </c>
      <c r="G367" s="24">
        <f t="shared" si="91"/>
        <v>1</v>
      </c>
      <c r="H367" s="20">
        <f t="shared" si="97"/>
        <v>339999.99999999988</v>
      </c>
      <c r="I367" s="2">
        <f>MAX(Assumptions!$D$8-SUM(Model_15y!H367), 0)</f>
        <v>1.1641532182693481E-10</v>
      </c>
      <c r="J367" s="2">
        <f>J366*(1+(Assumptions!$E$51))</f>
        <v>1874548.9117829681</v>
      </c>
      <c r="K367" s="22">
        <f t="shared" si="86"/>
        <v>1874548.9117829679</v>
      </c>
      <c r="L367" s="5">
        <f t="shared" si="98"/>
        <v>425000</v>
      </c>
      <c r="M367" s="63">
        <f>L367/Assumptions!$D$6</f>
        <v>1</v>
      </c>
      <c r="N367" s="24">
        <f t="shared" si="102"/>
        <v>0</v>
      </c>
      <c r="O367" s="22">
        <f>N367*Assumptions!$E$25*-1</f>
        <v>0</v>
      </c>
      <c r="P367" s="5">
        <f>Assumptions!$E$35*J367*-1</f>
        <v>-3861.263838084798</v>
      </c>
      <c r="Q367" s="5">
        <f>J367*Assumptions!$E$36*-1</f>
        <v>-1555.0097695300938</v>
      </c>
      <c r="R367" s="5">
        <f>R355+R355*Assumptions!$D$51</f>
        <v>-1404.2711100593692</v>
      </c>
      <c r="S367" s="5">
        <f>S355+(S355*Assumptions!$D$51)</f>
        <v>0</v>
      </c>
      <c r="T367" s="5">
        <f t="shared" si="92"/>
        <v>0</v>
      </c>
      <c r="U367" s="22">
        <f t="shared" si="87"/>
        <v>-6820.5447176742618</v>
      </c>
      <c r="V367" s="5">
        <f>MAX(Assumptions!$E$18:$E$19)-U367</f>
        <v>9662.1777294729582</v>
      </c>
      <c r="W367" s="5">
        <f t="shared" si="88"/>
        <v>0</v>
      </c>
      <c r="X367" s="5">
        <f t="shared" si="93"/>
        <v>-6820.5447176742618</v>
      </c>
      <c r="Y367" s="5">
        <f>D367*Assumptions!$D$44*-1</f>
        <v>0</v>
      </c>
      <c r="Z367" s="5">
        <f t="shared" si="89"/>
        <v>2841.6330117986963</v>
      </c>
      <c r="AA367" s="5">
        <f t="shared" si="99"/>
        <v>1243485.2315173729</v>
      </c>
      <c r="AB367" s="3">
        <f>Assumptions!$E$45</f>
        <v>6.9899151946608562E-3</v>
      </c>
      <c r="AC367" s="5">
        <f t="shared" si="100"/>
        <v>1255018.7208432911</v>
      </c>
      <c r="AD367" s="4">
        <f>AC367*Assumptions!$E$43</f>
        <v>1123.9640177463657</v>
      </c>
      <c r="AE367" s="2">
        <f>AD367*Assumptions!$D$44*-1</f>
        <v>-168.59460266195484</v>
      </c>
      <c r="AF367" s="2">
        <f>AC367*Assumptions!$E$46*-1</f>
        <v>-41.826289762119991</v>
      </c>
      <c r="AG367" s="5">
        <f t="shared" si="101"/>
        <v>1254808.299950867</v>
      </c>
      <c r="AH367" s="20">
        <f>Model_30y[[#This Row],[Mortgage Payment]]+Model_30y[[#This Row],[Total Upkeep]]+Model_30y[[#This Row],[Monthly Investment]]</f>
        <v>-3978.9117058755655</v>
      </c>
      <c r="AI367" s="5">
        <f>Model_Renter!D367*-1</f>
        <v>8292.1380350277941</v>
      </c>
      <c r="AJ367" s="5">
        <f t="shared" si="94"/>
        <v>4313.2263291522286</v>
      </c>
    </row>
    <row r="368" spans="1:36" x14ac:dyDescent="0.25">
      <c r="A368" s="17">
        <f t="shared" si="95"/>
        <v>366</v>
      </c>
      <c r="B368" s="17">
        <f t="shared" si="90"/>
        <v>31</v>
      </c>
      <c r="C368" s="23">
        <f>IFERROR(PPMT(Assumptions!$E$17, A368, 180, Assumptions!$D$8), 0)</f>
        <v>0</v>
      </c>
      <c r="D368" s="38">
        <f>IFERROR(IPMT(Assumptions!$E$17,A368,180,Assumptions!$D$8), 0)</f>
        <v>0</v>
      </c>
      <c r="E368" s="2">
        <f t="shared" si="96"/>
        <v>0</v>
      </c>
      <c r="F368" s="2">
        <f>IF(I367&gt;1, Assumptions!$E$19, 0)*-1</f>
        <v>0</v>
      </c>
      <c r="G368" s="24">
        <f t="shared" si="91"/>
        <v>1</v>
      </c>
      <c r="H368" s="20">
        <f t="shared" si="97"/>
        <v>339999.99999999988</v>
      </c>
      <c r="I368" s="2">
        <f>MAX(Assumptions!$D$8-SUM(Model_15y!H368), 0)</f>
        <v>1.1641532182693481E-10</v>
      </c>
      <c r="J368" s="2">
        <f>J367*(1+(Assumptions!$E$51))</f>
        <v>1882186.0560880753</v>
      </c>
      <c r="K368" s="22">
        <f t="shared" si="86"/>
        <v>1882186.056088075</v>
      </c>
      <c r="L368" s="5">
        <f t="shared" si="98"/>
        <v>425000</v>
      </c>
      <c r="M368" s="63">
        <f>L368/Assumptions!$D$6</f>
        <v>1</v>
      </c>
      <c r="N368" s="24">
        <f t="shared" si="102"/>
        <v>0</v>
      </c>
      <c r="O368" s="22">
        <f>N368*Assumptions!$E$25*-1</f>
        <v>0</v>
      </c>
      <c r="P368" s="5">
        <f>Assumptions!$E$35*J368*-1</f>
        <v>-3876.9951049224806</v>
      </c>
      <c r="Q368" s="5">
        <f>J368*Assumptions!$E$36*-1</f>
        <v>-1561.3450718159418</v>
      </c>
      <c r="R368" s="5">
        <f>R356+R356*Assumptions!$D$51</f>
        <v>-1404.2711100593692</v>
      </c>
      <c r="S368" s="5">
        <f>S356+(S356*Assumptions!$D$51)</f>
        <v>0</v>
      </c>
      <c r="T368" s="5">
        <f t="shared" si="92"/>
        <v>0</v>
      </c>
      <c r="U368" s="22">
        <f t="shared" si="87"/>
        <v>-6842.6112867977918</v>
      </c>
      <c r="V368" s="5">
        <f>MAX(Assumptions!$E$18:$E$19)-U368</f>
        <v>9684.2442985964881</v>
      </c>
      <c r="W368" s="5">
        <f t="shared" si="88"/>
        <v>0</v>
      </c>
      <c r="X368" s="5">
        <f t="shared" si="93"/>
        <v>-6842.6112867977918</v>
      </c>
      <c r="Y368" s="5">
        <f>D368*Assumptions!$D$44*-1</f>
        <v>0</v>
      </c>
      <c r="Z368" s="5">
        <f t="shared" si="89"/>
        <v>2841.6330117986963</v>
      </c>
      <c r="AA368" s="5">
        <f t="shared" si="99"/>
        <v>1254808.299950867</v>
      </c>
      <c r="AB368" s="3">
        <f>Assumptions!$E$45</f>
        <v>6.9899151946608562E-3</v>
      </c>
      <c r="AC368" s="5">
        <f t="shared" si="100"/>
        <v>1266420.9365648788</v>
      </c>
      <c r="AD368" s="4">
        <f>AC368*Assumptions!$E$43</f>
        <v>1134.1755627861364</v>
      </c>
      <c r="AE368" s="2">
        <f>AD368*Assumptions!$D$44*-1</f>
        <v>-170.12633441792045</v>
      </c>
      <c r="AF368" s="2">
        <f>AC368*Assumptions!$E$46*-1</f>
        <v>-42.206293957101934</v>
      </c>
      <c r="AG368" s="5">
        <f t="shared" si="101"/>
        <v>1266208.6039365039</v>
      </c>
      <c r="AH368" s="20">
        <f>Model_30y[[#This Row],[Mortgage Payment]]+Model_30y[[#This Row],[Total Upkeep]]+Model_30y[[#This Row],[Monthly Investment]]</f>
        <v>-4000.9782749990954</v>
      </c>
      <c r="AI368" s="5">
        <f>Model_Renter!D368*-1</f>
        <v>8292.1380350277941</v>
      </c>
      <c r="AJ368" s="5">
        <f t="shared" si="94"/>
        <v>4291.1597600286987</v>
      </c>
    </row>
    <row r="369" spans="1:36" x14ac:dyDescent="0.25">
      <c r="A369" s="17">
        <f t="shared" si="95"/>
        <v>367</v>
      </c>
      <c r="B369" s="17">
        <f t="shared" si="90"/>
        <v>31</v>
      </c>
      <c r="C369" s="23">
        <f>IFERROR(PPMT(Assumptions!$E$17, A369, 180, Assumptions!$D$8), 0)</f>
        <v>0</v>
      </c>
      <c r="D369" s="38">
        <f>IFERROR(IPMT(Assumptions!$E$17,A369,180,Assumptions!$D$8), 0)</f>
        <v>0</v>
      </c>
      <c r="E369" s="2">
        <f t="shared" si="96"/>
        <v>0</v>
      </c>
      <c r="F369" s="2">
        <f>IF(I368&gt;1, Assumptions!$E$19, 0)*-1</f>
        <v>0</v>
      </c>
      <c r="G369" s="24">
        <f t="shared" si="91"/>
        <v>1</v>
      </c>
      <c r="H369" s="20">
        <f t="shared" si="97"/>
        <v>339999.99999999988</v>
      </c>
      <c r="I369" s="2">
        <f>MAX(Assumptions!$D$8-SUM(Model_15y!H369), 0)</f>
        <v>1.1641532182693481E-10</v>
      </c>
      <c r="J369" s="2">
        <f>J368*(1+(Assumptions!$E$51))</f>
        <v>1889854.3150644349</v>
      </c>
      <c r="K369" s="22">
        <f t="shared" si="86"/>
        <v>1889854.3150644349</v>
      </c>
      <c r="L369" s="5">
        <f t="shared" si="98"/>
        <v>425000</v>
      </c>
      <c r="M369" s="63">
        <f>L369/Assumptions!$D$6</f>
        <v>1</v>
      </c>
      <c r="N369" s="24">
        <f t="shared" si="102"/>
        <v>0</v>
      </c>
      <c r="O369" s="22">
        <f>N369*Assumptions!$E$25*-1</f>
        <v>0</v>
      </c>
      <c r="P369" s="5">
        <f>Assumptions!$E$35*J369*-1</f>
        <v>-3892.7904628885335</v>
      </c>
      <c r="Q369" s="5">
        <f>J369*Assumptions!$E$36*-1</f>
        <v>-1567.7061849075092</v>
      </c>
      <c r="R369" s="5">
        <f>R357+R357*Assumptions!$D$51</f>
        <v>-1404.2711100593692</v>
      </c>
      <c r="S369" s="5">
        <f>S357+(S357*Assumptions!$D$51)</f>
        <v>0</v>
      </c>
      <c r="T369" s="5">
        <f t="shared" si="92"/>
        <v>0</v>
      </c>
      <c r="U369" s="22">
        <f t="shared" si="87"/>
        <v>-6864.7677578554121</v>
      </c>
      <c r="V369" s="5">
        <f>MAX(Assumptions!$E$18:$E$19)-U369</f>
        <v>9706.4007696541084</v>
      </c>
      <c r="W369" s="5">
        <f t="shared" si="88"/>
        <v>0</v>
      </c>
      <c r="X369" s="5">
        <f t="shared" si="93"/>
        <v>-6864.7677578554121</v>
      </c>
      <c r="Y369" s="5">
        <f>D369*Assumptions!$D$44*-1</f>
        <v>0</v>
      </c>
      <c r="Z369" s="5">
        <f t="shared" si="89"/>
        <v>2841.6330117986963</v>
      </c>
      <c r="AA369" s="5">
        <f t="shared" si="99"/>
        <v>1266208.6039365039</v>
      </c>
      <c r="AB369" s="3">
        <f>Assumptions!$E$45</f>
        <v>6.9899151946608562E-3</v>
      </c>
      <c r="AC369" s="5">
        <f t="shared" si="100"/>
        <v>1277900.9277085685</v>
      </c>
      <c r="AD369" s="4">
        <f>AC369*Assumptions!$E$43</f>
        <v>1144.4567615884014</v>
      </c>
      <c r="AE369" s="2">
        <f>AD369*Assumptions!$D$44*-1</f>
        <v>-171.6685142382602</v>
      </c>
      <c r="AF369" s="2">
        <f>AC369*Assumptions!$E$46*-1</f>
        <v>-42.588890190981132</v>
      </c>
      <c r="AG369" s="5">
        <f t="shared" si="101"/>
        <v>1277686.6703041394</v>
      </c>
      <c r="AH369" s="20">
        <f>Model_30y[[#This Row],[Mortgage Payment]]+Model_30y[[#This Row],[Total Upkeep]]+Model_30y[[#This Row],[Monthly Investment]]</f>
        <v>-4023.1347460567158</v>
      </c>
      <c r="AI369" s="5">
        <f>Model_Renter!D369*-1</f>
        <v>8292.1380350277941</v>
      </c>
      <c r="AJ369" s="5">
        <f t="shared" si="94"/>
        <v>4269.0032889710783</v>
      </c>
    </row>
    <row r="370" spans="1:36" x14ac:dyDescent="0.25">
      <c r="A370" s="17">
        <f t="shared" si="95"/>
        <v>368</v>
      </c>
      <c r="B370" s="17">
        <f t="shared" si="90"/>
        <v>31</v>
      </c>
      <c r="C370" s="23">
        <f>IFERROR(PPMT(Assumptions!$E$17, A370, 180, Assumptions!$D$8), 0)</f>
        <v>0</v>
      </c>
      <c r="D370" s="38">
        <f>IFERROR(IPMT(Assumptions!$E$17,A370,180,Assumptions!$D$8), 0)</f>
        <v>0</v>
      </c>
      <c r="E370" s="2">
        <f t="shared" si="96"/>
        <v>0</v>
      </c>
      <c r="F370" s="2">
        <f>IF(I369&gt;1, Assumptions!$E$19, 0)*-1</f>
        <v>0</v>
      </c>
      <c r="G370" s="24">
        <f t="shared" si="91"/>
        <v>1</v>
      </c>
      <c r="H370" s="20">
        <f t="shared" si="97"/>
        <v>339999.99999999988</v>
      </c>
      <c r="I370" s="2">
        <f>MAX(Assumptions!$D$8-SUM(Model_15y!H370), 0)</f>
        <v>1.1641532182693481E-10</v>
      </c>
      <c r="J370" s="2">
        <f>J369*(1+(Assumptions!$E$51))</f>
        <v>1897553.8154770695</v>
      </c>
      <c r="K370" s="22">
        <f t="shared" si="86"/>
        <v>1897553.8154770695</v>
      </c>
      <c r="L370" s="5">
        <f t="shared" si="98"/>
        <v>425000</v>
      </c>
      <c r="M370" s="63">
        <f>L370/Assumptions!$D$6</f>
        <v>1</v>
      </c>
      <c r="N370" s="24">
        <f t="shared" si="102"/>
        <v>0</v>
      </c>
      <c r="O370" s="22">
        <f>N370*Assumptions!$E$25*-1</f>
        <v>0</v>
      </c>
      <c r="P370" s="5">
        <f>Assumptions!$E$35*J370*-1</f>
        <v>-3908.6501730981472</v>
      </c>
      <c r="Q370" s="5">
        <f>J370*Assumptions!$E$36*-1</f>
        <v>-1574.0932139612137</v>
      </c>
      <c r="R370" s="5">
        <f>R358+R358*Assumptions!$D$51</f>
        <v>-1404.2711100593692</v>
      </c>
      <c r="S370" s="5">
        <f>S358+(S358*Assumptions!$D$51)</f>
        <v>0</v>
      </c>
      <c r="T370" s="5">
        <f t="shared" si="92"/>
        <v>0</v>
      </c>
      <c r="U370" s="22">
        <f t="shared" si="87"/>
        <v>-6887.014497118731</v>
      </c>
      <c r="V370" s="5">
        <f>MAX(Assumptions!$E$18:$E$19)-U370</f>
        <v>9728.6475089174273</v>
      </c>
      <c r="W370" s="5">
        <f t="shared" si="88"/>
        <v>0</v>
      </c>
      <c r="X370" s="5">
        <f t="shared" si="93"/>
        <v>-6887.014497118731</v>
      </c>
      <c r="Y370" s="5">
        <f>D370*Assumptions!$D$44*-1</f>
        <v>0</v>
      </c>
      <c r="Z370" s="5">
        <f t="shared" si="89"/>
        <v>2841.6330117986963</v>
      </c>
      <c r="AA370" s="5">
        <f t="shared" si="99"/>
        <v>1277686.6703041394</v>
      </c>
      <c r="AB370" s="3">
        <f>Assumptions!$E$45</f>
        <v>6.9899151946608562E-3</v>
      </c>
      <c r="AC370" s="5">
        <f t="shared" si="100"/>
        <v>1289459.2247867126</v>
      </c>
      <c r="AD370" s="4">
        <f>AC370*Assumptions!$E$43</f>
        <v>1154.8080892670257</v>
      </c>
      <c r="AE370" s="2">
        <f>AD370*Assumptions!$D$44*-1</f>
        <v>-173.22121339005386</v>
      </c>
      <c r="AF370" s="2">
        <f>AC370*Assumptions!$E$46*-1</f>
        <v>-42.97409614426148</v>
      </c>
      <c r="AG370" s="5">
        <f t="shared" si="101"/>
        <v>1289243.0294771784</v>
      </c>
      <c r="AH370" s="20">
        <f>Model_30y[[#This Row],[Mortgage Payment]]+Model_30y[[#This Row],[Total Upkeep]]+Model_30y[[#This Row],[Monthly Investment]]</f>
        <v>-4045.3814853200347</v>
      </c>
      <c r="AI370" s="5">
        <f>Model_Renter!D370*-1</f>
        <v>8292.1380350277941</v>
      </c>
      <c r="AJ370" s="5">
        <f t="shared" si="94"/>
        <v>4246.7565497077594</v>
      </c>
    </row>
    <row r="371" spans="1:36" x14ac:dyDescent="0.25">
      <c r="A371" s="17">
        <f t="shared" si="95"/>
        <v>369</v>
      </c>
      <c r="B371" s="17">
        <f t="shared" si="90"/>
        <v>31</v>
      </c>
      <c r="C371" s="23">
        <f>IFERROR(PPMT(Assumptions!$E$17, A371, 180, Assumptions!$D$8), 0)</f>
        <v>0</v>
      </c>
      <c r="D371" s="38">
        <f>IFERROR(IPMT(Assumptions!$E$17,A371,180,Assumptions!$D$8), 0)</f>
        <v>0</v>
      </c>
      <c r="E371" s="2">
        <f t="shared" si="96"/>
        <v>0</v>
      </c>
      <c r="F371" s="2">
        <f>IF(I370&gt;1, Assumptions!$E$19, 0)*-1</f>
        <v>0</v>
      </c>
      <c r="G371" s="24">
        <f t="shared" si="91"/>
        <v>1</v>
      </c>
      <c r="H371" s="20">
        <f t="shared" si="97"/>
        <v>339999.99999999988</v>
      </c>
      <c r="I371" s="2">
        <f>MAX(Assumptions!$D$8-SUM(Model_15y!H371), 0)</f>
        <v>1.1641532182693481E-10</v>
      </c>
      <c r="J371" s="2">
        <f>J370*(1+(Assumptions!$E$51))</f>
        <v>1905284.6846074574</v>
      </c>
      <c r="K371" s="22">
        <f t="shared" si="86"/>
        <v>1905284.6846074574</v>
      </c>
      <c r="L371" s="5">
        <f t="shared" si="98"/>
        <v>425000</v>
      </c>
      <c r="M371" s="63">
        <f>L371/Assumptions!$D$6</f>
        <v>1</v>
      </c>
      <c r="N371" s="24">
        <f t="shared" si="102"/>
        <v>0</v>
      </c>
      <c r="O371" s="22">
        <f>N371*Assumptions!$E$25*-1</f>
        <v>0</v>
      </c>
      <c r="P371" s="5">
        <f>Assumptions!$E$35*J371*-1</f>
        <v>-3924.5744977303279</v>
      </c>
      <c r="Q371" s="5">
        <f>J371*Assumptions!$E$36*-1</f>
        <v>-1580.5062645618925</v>
      </c>
      <c r="R371" s="5">
        <f>R359+R359*Assumptions!$D$51</f>
        <v>-1404.2711100593692</v>
      </c>
      <c r="S371" s="5">
        <f>S359+(S359*Assumptions!$D$51)</f>
        <v>0</v>
      </c>
      <c r="T371" s="5">
        <f t="shared" si="92"/>
        <v>0</v>
      </c>
      <c r="U371" s="22">
        <f t="shared" si="87"/>
        <v>-6909.3518723515899</v>
      </c>
      <c r="V371" s="5">
        <f>MAX(Assumptions!$E$18:$E$19)-U371</f>
        <v>9750.9848841502862</v>
      </c>
      <c r="W371" s="5">
        <f t="shared" si="88"/>
        <v>0</v>
      </c>
      <c r="X371" s="5">
        <f t="shared" si="93"/>
        <v>-6909.3518723515899</v>
      </c>
      <c r="Y371" s="5">
        <f>D371*Assumptions!$D$44*-1</f>
        <v>0</v>
      </c>
      <c r="Z371" s="5">
        <f t="shared" si="89"/>
        <v>2841.6330117986963</v>
      </c>
      <c r="AA371" s="5">
        <f t="shared" si="99"/>
        <v>1289243.0294771784</v>
      </c>
      <c r="AB371" s="3">
        <f>Assumptions!$E$45</f>
        <v>6.9899151946608562E-3</v>
      </c>
      <c r="AC371" s="5">
        <f t="shared" si="100"/>
        <v>1301096.3619303301</v>
      </c>
      <c r="AD371" s="4">
        <f>AC371*Assumptions!$E$43</f>
        <v>1165.2300241766636</v>
      </c>
      <c r="AE371" s="2">
        <f>AD371*Assumptions!$D$44*-1</f>
        <v>-174.78450362649954</v>
      </c>
      <c r="AF371" s="2">
        <f>AC371*Assumptions!$E$46*-1</f>
        <v>-43.361929618046965</v>
      </c>
      <c r="AG371" s="5">
        <f t="shared" si="101"/>
        <v>1300878.2154970856</v>
      </c>
      <c r="AH371" s="20">
        <f>Model_30y[[#This Row],[Mortgage Payment]]+Model_30y[[#This Row],[Total Upkeep]]+Model_30y[[#This Row],[Monthly Investment]]</f>
        <v>-4067.7188605528936</v>
      </c>
      <c r="AI371" s="5">
        <f>Model_Renter!D371*-1</f>
        <v>8292.1380350277941</v>
      </c>
      <c r="AJ371" s="5">
        <f t="shared" si="94"/>
        <v>4224.4191744749005</v>
      </c>
    </row>
    <row r="372" spans="1:36" x14ac:dyDescent="0.25">
      <c r="A372" s="17">
        <f t="shared" si="95"/>
        <v>370</v>
      </c>
      <c r="B372" s="17">
        <f t="shared" si="90"/>
        <v>31</v>
      </c>
      <c r="C372" s="23">
        <f>IFERROR(PPMT(Assumptions!$E$17, A372, 180, Assumptions!$D$8), 0)</f>
        <v>0</v>
      </c>
      <c r="D372" s="38">
        <f>IFERROR(IPMT(Assumptions!$E$17,A372,180,Assumptions!$D$8), 0)</f>
        <v>0</v>
      </c>
      <c r="E372" s="2">
        <f t="shared" si="96"/>
        <v>0</v>
      </c>
      <c r="F372" s="2">
        <f>IF(I371&gt;1, Assumptions!$E$19, 0)*-1</f>
        <v>0</v>
      </c>
      <c r="G372" s="24">
        <f t="shared" si="91"/>
        <v>1</v>
      </c>
      <c r="H372" s="20">
        <f t="shared" si="97"/>
        <v>339999.99999999988</v>
      </c>
      <c r="I372" s="2">
        <f>MAX(Assumptions!$D$8-SUM(Model_15y!H372), 0)</f>
        <v>1.1641532182693481E-10</v>
      </c>
      <c r="J372" s="2">
        <f>J371*(1+(Assumptions!$E$51))</f>
        <v>1913047.0502556376</v>
      </c>
      <c r="K372" s="22">
        <f t="shared" si="86"/>
        <v>1913047.0502556376</v>
      </c>
      <c r="L372" s="5">
        <f t="shared" si="98"/>
        <v>425000</v>
      </c>
      <c r="M372" s="63">
        <f>L372/Assumptions!$D$6</f>
        <v>1</v>
      </c>
      <c r="N372" s="24">
        <f t="shared" si="102"/>
        <v>0</v>
      </c>
      <c r="O372" s="22">
        <f>N372*Assumptions!$E$25*-1</f>
        <v>0</v>
      </c>
      <c r="P372" s="5">
        <f>Assumptions!$E$35*J372*-1</f>
        <v>-3940.5637000322308</v>
      </c>
      <c r="Q372" s="5">
        <f>J372*Assumptions!$E$36*-1</f>
        <v>-1586.9454427245494</v>
      </c>
      <c r="R372" s="5">
        <f>R360+R360*Assumptions!$D$51</f>
        <v>-1404.2711100593692</v>
      </c>
      <c r="S372" s="5">
        <f>S360+(S360*Assumptions!$D$51)</f>
        <v>0</v>
      </c>
      <c r="T372" s="5">
        <f t="shared" si="92"/>
        <v>0</v>
      </c>
      <c r="U372" s="22">
        <f t="shared" si="87"/>
        <v>-6931.7802528161501</v>
      </c>
      <c r="V372" s="5">
        <f>MAX(Assumptions!$E$18:$E$19)-U372</f>
        <v>9773.4132646148464</v>
      </c>
      <c r="W372" s="5">
        <f t="shared" si="88"/>
        <v>0</v>
      </c>
      <c r="X372" s="5">
        <f t="shared" si="93"/>
        <v>-6931.7802528161501</v>
      </c>
      <c r="Y372" s="5">
        <f>D372*Assumptions!$D$44*-1</f>
        <v>0</v>
      </c>
      <c r="Z372" s="5">
        <f t="shared" si="89"/>
        <v>2841.6330117986963</v>
      </c>
      <c r="AA372" s="5">
        <f t="shared" si="99"/>
        <v>1300878.2154970856</v>
      </c>
      <c r="AB372" s="3">
        <f>Assumptions!$E$45</f>
        <v>6.9899151946608562E-3</v>
      </c>
      <c r="AC372" s="5">
        <f t="shared" si="100"/>
        <v>1312812.8769137906</v>
      </c>
      <c r="AD372" s="4">
        <f>AC372*Assumptions!$E$43</f>
        <v>1175.7230479348646</v>
      </c>
      <c r="AE372" s="2">
        <f>AD372*Assumptions!$D$44*-1</f>
        <v>-176.35845719022967</v>
      </c>
      <c r="AF372" s="2">
        <f>AC372*Assumptions!$E$46*-1</f>
        <v>-43.752408534864365</v>
      </c>
      <c r="AG372" s="5">
        <f t="shared" si="101"/>
        <v>1312592.7660480654</v>
      </c>
      <c r="AH372" s="20">
        <f>Model_30y[[#This Row],[Mortgage Payment]]+Model_30y[[#This Row],[Total Upkeep]]+Model_30y[[#This Row],[Monthly Investment]]</f>
        <v>-4090.1472410174538</v>
      </c>
      <c r="AI372" s="5">
        <f>Model_Renter!D372*-1</f>
        <v>8292.1380350277941</v>
      </c>
      <c r="AJ372" s="5">
        <f t="shared" si="94"/>
        <v>4201.9907940103403</v>
      </c>
    </row>
    <row r="373" spans="1:36" x14ac:dyDescent="0.25">
      <c r="A373" s="17">
        <f t="shared" si="95"/>
        <v>371</v>
      </c>
      <c r="B373" s="17">
        <f t="shared" si="90"/>
        <v>31</v>
      </c>
      <c r="C373" s="23">
        <f>IFERROR(PPMT(Assumptions!$E$17, A373, 180, Assumptions!$D$8), 0)</f>
        <v>0</v>
      </c>
      <c r="D373" s="38">
        <f>IFERROR(IPMT(Assumptions!$E$17,A373,180,Assumptions!$D$8), 0)</f>
        <v>0</v>
      </c>
      <c r="E373" s="2">
        <f t="shared" si="96"/>
        <v>0</v>
      </c>
      <c r="F373" s="2">
        <f>IF(I372&gt;1, Assumptions!$E$19, 0)*-1</f>
        <v>0</v>
      </c>
      <c r="G373" s="24">
        <f t="shared" si="91"/>
        <v>1</v>
      </c>
      <c r="H373" s="20">
        <f t="shared" si="97"/>
        <v>339999.99999999988</v>
      </c>
      <c r="I373" s="2">
        <f>MAX(Assumptions!$D$8-SUM(Model_15y!H373), 0)</f>
        <v>1.1641532182693481E-10</v>
      </c>
      <c r="J373" s="2">
        <f>J372*(1+(Assumptions!$E$51))</f>
        <v>1920841.0407423223</v>
      </c>
      <c r="K373" s="22">
        <f t="shared" si="86"/>
        <v>1920841.0407423223</v>
      </c>
      <c r="L373" s="5">
        <f t="shared" si="98"/>
        <v>425000</v>
      </c>
      <c r="M373" s="63">
        <f>L373/Assumptions!$D$6</f>
        <v>1</v>
      </c>
      <c r="N373" s="24">
        <f t="shared" si="102"/>
        <v>0</v>
      </c>
      <c r="O373" s="22">
        <f>N373*Assumptions!$E$25*-1</f>
        <v>0</v>
      </c>
      <c r="P373" s="5">
        <f>Assumptions!$E$35*J373*-1</f>
        <v>-3956.6180443235135</v>
      </c>
      <c r="Q373" s="5">
        <f>J373*Assumptions!$E$36*-1</f>
        <v>-1593.4108548961058</v>
      </c>
      <c r="R373" s="5">
        <f>R361+R361*Assumptions!$D$51</f>
        <v>-1404.2711100593692</v>
      </c>
      <c r="S373" s="5">
        <f>S361+(S361*Assumptions!$D$51)</f>
        <v>0</v>
      </c>
      <c r="T373" s="5">
        <f t="shared" si="92"/>
        <v>0</v>
      </c>
      <c r="U373" s="22">
        <f t="shared" si="87"/>
        <v>-6954.300009278988</v>
      </c>
      <c r="V373" s="5">
        <f>MAX(Assumptions!$E$18:$E$19)-U373</f>
        <v>9795.9330210776843</v>
      </c>
      <c r="W373" s="5">
        <f t="shared" si="88"/>
        <v>0</v>
      </c>
      <c r="X373" s="5">
        <f t="shared" si="93"/>
        <v>-6954.300009278988</v>
      </c>
      <c r="Y373" s="5">
        <f>D373*Assumptions!$D$44*-1</f>
        <v>0</v>
      </c>
      <c r="Z373" s="5">
        <f t="shared" si="89"/>
        <v>2841.6330117986963</v>
      </c>
      <c r="AA373" s="5">
        <f t="shared" si="99"/>
        <v>1312592.7660480654</v>
      </c>
      <c r="AB373" s="3">
        <f>Assumptions!$E$45</f>
        <v>6.9899151946608562E-3</v>
      </c>
      <c r="AC373" s="5">
        <f t="shared" si="100"/>
        <v>1324609.3111796654</v>
      </c>
      <c r="AD373" s="4">
        <f>AC373*Assumptions!$E$43</f>
        <v>1186.2876454443301</v>
      </c>
      <c r="AE373" s="2">
        <f>AD373*Assumptions!$D$44*-1</f>
        <v>-177.94314681664952</v>
      </c>
      <c r="AF373" s="2">
        <f>AC373*Assumptions!$E$46*-1</f>
        <v>-44.1455509394914</v>
      </c>
      <c r="AG373" s="5">
        <f t="shared" si="101"/>
        <v>1324387.2224819092</v>
      </c>
      <c r="AH373" s="20">
        <f>Model_30y[[#This Row],[Mortgage Payment]]+Model_30y[[#This Row],[Total Upkeep]]+Model_30y[[#This Row],[Monthly Investment]]</f>
        <v>-4112.6669974802917</v>
      </c>
      <c r="AI373" s="5">
        <f>Model_Renter!D373*-1</f>
        <v>8292.1380350277941</v>
      </c>
      <c r="AJ373" s="5">
        <f t="shared" si="94"/>
        <v>4179.4710375475024</v>
      </c>
    </row>
    <row r="374" spans="1:36" x14ac:dyDescent="0.25">
      <c r="A374" s="17">
        <f t="shared" si="95"/>
        <v>372</v>
      </c>
      <c r="B374" s="17">
        <f t="shared" si="90"/>
        <v>31</v>
      </c>
      <c r="C374" s="23">
        <f>IFERROR(PPMT(Assumptions!$E$17, A374, 180, Assumptions!$D$8), 0)</f>
        <v>0</v>
      </c>
      <c r="D374" s="38">
        <f>IFERROR(IPMT(Assumptions!$E$17,A374,180,Assumptions!$D$8), 0)</f>
        <v>0</v>
      </c>
      <c r="E374" s="2">
        <f t="shared" si="96"/>
        <v>0</v>
      </c>
      <c r="F374" s="2">
        <f>IF(I373&gt;1, Assumptions!$E$19, 0)*-1</f>
        <v>0</v>
      </c>
      <c r="G374" s="24">
        <f t="shared" si="91"/>
        <v>1</v>
      </c>
      <c r="H374" s="20">
        <f t="shared" si="97"/>
        <v>339999.99999999988</v>
      </c>
      <c r="I374" s="2">
        <f>MAX(Assumptions!$D$8-SUM(Model_15y!H374), 0)</f>
        <v>1.1641532182693481E-10</v>
      </c>
      <c r="J374" s="2">
        <f>J373*(1+(Assumptions!$E$51))</f>
        <v>1928666.7849110186</v>
      </c>
      <c r="K374" s="22">
        <f t="shared" si="86"/>
        <v>1928666.7849110183</v>
      </c>
      <c r="L374" s="5">
        <f t="shared" si="98"/>
        <v>425000</v>
      </c>
      <c r="M374" s="63">
        <f>L374/Assumptions!$D$6</f>
        <v>1</v>
      </c>
      <c r="N374" s="24">
        <f t="shared" si="102"/>
        <v>0</v>
      </c>
      <c r="O374" s="22">
        <f>N374*Assumptions!$E$25*-1</f>
        <v>0</v>
      </c>
      <c r="P374" s="5">
        <f>Assumptions!$E$35*J374*-1</f>
        <v>-3972.7377960007043</v>
      </c>
      <c r="Q374" s="5">
        <f>J374*Assumptions!$E$36*-1</f>
        <v>-1599.9026079571615</v>
      </c>
      <c r="R374" s="5">
        <f>R362+R362*Assumptions!$D$51</f>
        <v>-1404.2711100593692</v>
      </c>
      <c r="S374" s="5">
        <f>S362+(S362*Assumptions!$D$51)</f>
        <v>0</v>
      </c>
      <c r="T374" s="5">
        <f t="shared" si="92"/>
        <v>0</v>
      </c>
      <c r="U374" s="22">
        <f t="shared" si="87"/>
        <v>-6976.9115140172344</v>
      </c>
      <c r="V374" s="5">
        <f>MAX(Assumptions!$E$18:$E$19)-U374</f>
        <v>9818.5445258159307</v>
      </c>
      <c r="W374" s="5">
        <f t="shared" si="88"/>
        <v>0</v>
      </c>
      <c r="X374" s="5">
        <f t="shared" si="93"/>
        <v>-6976.9115140172344</v>
      </c>
      <c r="Y374" s="5">
        <f>D374*Assumptions!$D$44*-1</f>
        <v>0</v>
      </c>
      <c r="Z374" s="5">
        <f t="shared" si="89"/>
        <v>2841.6330117986963</v>
      </c>
      <c r="AA374" s="5">
        <f t="shared" si="99"/>
        <v>1324387.2224819092</v>
      </c>
      <c r="AB374" s="3">
        <f>Assumptions!$E$45</f>
        <v>6.9899151946608562E-3</v>
      </c>
      <c r="AC374" s="5">
        <f t="shared" si="100"/>
        <v>1336486.2098637489</v>
      </c>
      <c r="AD374" s="4">
        <f>AC374*Assumptions!$E$43</f>
        <v>1196.9243049153213</v>
      </c>
      <c r="AE374" s="2">
        <f>AD374*Assumptions!$D$44*-1</f>
        <v>-179.5386457372982</v>
      </c>
      <c r="AF374" s="2">
        <f>AC374*Assumptions!$E$46*-1</f>
        <v>-44.541374999790698</v>
      </c>
      <c r="AG374" s="5">
        <f t="shared" si="101"/>
        <v>1336262.1298430117</v>
      </c>
      <c r="AH374" s="20">
        <f>Model_30y[[#This Row],[Mortgage Payment]]+Model_30y[[#This Row],[Total Upkeep]]+Model_30y[[#This Row],[Monthly Investment]]</f>
        <v>-4135.2785022185381</v>
      </c>
      <c r="AI374" s="5">
        <f>Model_Renter!D374*-1</f>
        <v>8292.1380350277941</v>
      </c>
      <c r="AJ374" s="5">
        <f t="shared" si="94"/>
        <v>4156.8595328092561</v>
      </c>
    </row>
    <row r="375" spans="1:36" x14ac:dyDescent="0.25">
      <c r="A375" s="17">
        <f t="shared" si="95"/>
        <v>373</v>
      </c>
      <c r="B375" s="17">
        <f t="shared" si="90"/>
        <v>32</v>
      </c>
      <c r="C375" s="23">
        <f>IFERROR(PPMT(Assumptions!$E$17, A375, 180, Assumptions!$D$8), 0)</f>
        <v>0</v>
      </c>
      <c r="D375" s="38">
        <f>IFERROR(IPMT(Assumptions!$E$17,A375,180,Assumptions!$D$8), 0)</f>
        <v>0</v>
      </c>
      <c r="E375" s="2">
        <f t="shared" si="96"/>
        <v>0</v>
      </c>
      <c r="F375" s="2">
        <f>IF(I374&gt;1, Assumptions!$E$19, 0)*-1</f>
        <v>0</v>
      </c>
      <c r="G375" s="24">
        <f t="shared" si="91"/>
        <v>1</v>
      </c>
      <c r="H375" s="20">
        <f t="shared" si="97"/>
        <v>339999.99999999988</v>
      </c>
      <c r="I375" s="2">
        <f>MAX(Assumptions!$D$8-SUM(Model_15y!H375), 0)</f>
        <v>1.1641532182693481E-10</v>
      </c>
      <c r="J375" s="2">
        <f>J374*(1+(Assumptions!$E$51))</f>
        <v>1936524.4121301572</v>
      </c>
      <c r="K375" s="22">
        <f t="shared" si="86"/>
        <v>1936524.412130157</v>
      </c>
      <c r="L375" s="5">
        <f t="shared" si="98"/>
        <v>425000</v>
      </c>
      <c r="M375" s="63">
        <f>L375/Assumptions!$D$6</f>
        <v>1</v>
      </c>
      <c r="N375" s="24">
        <f t="shared" si="102"/>
        <v>0</v>
      </c>
      <c r="O375" s="22">
        <f>N375*Assumptions!$E$25*-1</f>
        <v>0</v>
      </c>
      <c r="P375" s="5">
        <f>Assumptions!$E$35*J375*-1</f>
        <v>-3988.9232215415896</v>
      </c>
      <c r="Q375" s="5">
        <f>J375*Assumptions!$E$36*-1</f>
        <v>-1606.4208092237609</v>
      </c>
      <c r="R375" s="5">
        <f>R363+R363*Assumptions!$D$51</f>
        <v>-1474.4846655623378</v>
      </c>
      <c r="S375" s="5">
        <f>S363+(S363*Assumptions!$D$51)</f>
        <v>0</v>
      </c>
      <c r="T375" s="5">
        <f t="shared" si="92"/>
        <v>0</v>
      </c>
      <c r="U375" s="22">
        <f t="shared" si="87"/>
        <v>-7069.8286963276887</v>
      </c>
      <c r="V375" s="5">
        <f>MAX(Assumptions!$E$18:$E$19)-U375</f>
        <v>9911.4617081263859</v>
      </c>
      <c r="W375" s="5">
        <f t="shared" si="88"/>
        <v>0</v>
      </c>
      <c r="X375" s="5">
        <f t="shared" si="93"/>
        <v>-7069.8286963276887</v>
      </c>
      <c r="Y375" s="5">
        <f>D375*Assumptions!$D$44*-1</f>
        <v>0</v>
      </c>
      <c r="Z375" s="5">
        <f t="shared" si="89"/>
        <v>2841.6330117986972</v>
      </c>
      <c r="AA375" s="5">
        <f t="shared" si="99"/>
        <v>1336262.1298430117</v>
      </c>
      <c r="AB375" s="3">
        <f>Assumptions!$E$45</f>
        <v>6.9899151946608562E-3</v>
      </c>
      <c r="AC375" s="5">
        <f t="shared" si="100"/>
        <v>1348444.1218202498</v>
      </c>
      <c r="AD375" s="4">
        <f>AC375*Assumptions!$E$43</f>
        <v>1207.6335178882202</v>
      </c>
      <c r="AE375" s="2">
        <f>AD375*Assumptions!$D$44*-1</f>
        <v>-181.14502768323302</v>
      </c>
      <c r="AF375" s="2">
        <f>AC375*Assumptions!$E$46*-1</f>
        <v>-44.939899007549286</v>
      </c>
      <c r="AG375" s="5">
        <f t="shared" si="101"/>
        <v>1348218.0368935592</v>
      </c>
      <c r="AH375" s="20">
        <f>Model_30y[[#This Row],[Mortgage Payment]]+Model_30y[[#This Row],[Total Upkeep]]+Model_30y[[#This Row],[Monthly Investment]]</f>
        <v>-4228.1956845289915</v>
      </c>
      <c r="AI375" s="5">
        <f>Model_Renter!D375*-1</f>
        <v>8602.2639975378352</v>
      </c>
      <c r="AJ375" s="5">
        <f t="shared" si="94"/>
        <v>4374.0683130088437</v>
      </c>
    </row>
    <row r="376" spans="1:36" x14ac:dyDescent="0.25">
      <c r="A376" s="17">
        <f t="shared" si="95"/>
        <v>374</v>
      </c>
      <c r="B376" s="17">
        <f t="shared" si="90"/>
        <v>32</v>
      </c>
      <c r="C376" s="23">
        <f>IFERROR(PPMT(Assumptions!$E$17, A376, 180, Assumptions!$D$8), 0)</f>
        <v>0</v>
      </c>
      <c r="D376" s="38">
        <f>IFERROR(IPMT(Assumptions!$E$17,A376,180,Assumptions!$D$8), 0)</f>
        <v>0</v>
      </c>
      <c r="E376" s="2">
        <f t="shared" si="96"/>
        <v>0</v>
      </c>
      <c r="F376" s="2">
        <f>IF(I375&gt;1, Assumptions!$E$19, 0)*-1</f>
        <v>0</v>
      </c>
      <c r="G376" s="24">
        <f t="shared" si="91"/>
        <v>1</v>
      </c>
      <c r="H376" s="20">
        <f t="shared" si="97"/>
        <v>339999.99999999988</v>
      </c>
      <c r="I376" s="2">
        <f>MAX(Assumptions!$D$8-SUM(Model_15y!H376), 0)</f>
        <v>1.1641532182693481E-10</v>
      </c>
      <c r="J376" s="2">
        <f>J375*(1+(Assumptions!$E$51))</f>
        <v>1944414.0522952324</v>
      </c>
      <c r="K376" s="22">
        <f t="shared" si="86"/>
        <v>1944414.0522952322</v>
      </c>
      <c r="L376" s="5">
        <f t="shared" si="98"/>
        <v>425000</v>
      </c>
      <c r="M376" s="63">
        <f>L376/Assumptions!$D$6</f>
        <v>1</v>
      </c>
      <c r="N376" s="24">
        <f t="shared" si="102"/>
        <v>0</v>
      </c>
      <c r="O376" s="22">
        <f>N376*Assumptions!$E$25*-1</f>
        <v>0</v>
      </c>
      <c r="P376" s="5">
        <f>Assumptions!$E$35*J376*-1</f>
        <v>-4005.1745885096198</v>
      </c>
      <c r="Q376" s="5">
        <f>J376*Assumptions!$E$36*-1</f>
        <v>-1612.9655664491672</v>
      </c>
      <c r="R376" s="5">
        <f>R364+R364*Assumptions!$D$51</f>
        <v>-1474.4846655623378</v>
      </c>
      <c r="S376" s="5">
        <f>S364+(S364*Assumptions!$D$51)</f>
        <v>0</v>
      </c>
      <c r="T376" s="5">
        <f t="shared" si="92"/>
        <v>0</v>
      </c>
      <c r="U376" s="22">
        <f t="shared" si="87"/>
        <v>-7092.624820521125</v>
      </c>
      <c r="V376" s="5">
        <f>MAX(Assumptions!$E$18:$E$19)-U376</f>
        <v>9934.2578323198213</v>
      </c>
      <c r="W376" s="5">
        <f t="shared" si="88"/>
        <v>0</v>
      </c>
      <c r="X376" s="5">
        <f t="shared" si="93"/>
        <v>-7092.624820521125</v>
      </c>
      <c r="Y376" s="5">
        <f>D376*Assumptions!$D$44*-1</f>
        <v>0</v>
      </c>
      <c r="Z376" s="5">
        <f t="shared" si="89"/>
        <v>2841.6330117986963</v>
      </c>
      <c r="AA376" s="5">
        <f t="shared" si="99"/>
        <v>1348218.0368935592</v>
      </c>
      <c r="AB376" s="3">
        <f>Assumptions!$E$45</f>
        <v>6.9899151946608562E-3</v>
      </c>
      <c r="AC376" s="5">
        <f t="shared" si="100"/>
        <v>1360483.599647156</v>
      </c>
      <c r="AD376" s="4">
        <f>AC376*Assumptions!$E$43</f>
        <v>1218.415779256246</v>
      </c>
      <c r="AE376" s="2">
        <f>AD376*Assumptions!$D$44*-1</f>
        <v>-182.7623668884369</v>
      </c>
      <c r="AF376" s="2">
        <f>AC376*Assumptions!$E$46*-1</f>
        <v>-45.341141379323972</v>
      </c>
      <c r="AG376" s="5">
        <f t="shared" si="101"/>
        <v>1360255.4961388882</v>
      </c>
      <c r="AH376" s="20">
        <f>Model_30y[[#This Row],[Mortgage Payment]]+Model_30y[[#This Row],[Total Upkeep]]+Model_30y[[#This Row],[Monthly Investment]]</f>
        <v>-4250.9918087224287</v>
      </c>
      <c r="AI376" s="5">
        <f>Model_Renter!D376*-1</f>
        <v>8602.2639975378352</v>
      </c>
      <c r="AJ376" s="5">
        <f t="shared" si="94"/>
        <v>4351.2721888154065</v>
      </c>
    </row>
    <row r="377" spans="1:36" x14ac:dyDescent="0.25">
      <c r="A377" s="17">
        <f t="shared" si="95"/>
        <v>375</v>
      </c>
      <c r="B377" s="17">
        <f t="shared" si="90"/>
        <v>32</v>
      </c>
      <c r="C377" s="23">
        <f>IFERROR(PPMT(Assumptions!$E$17, A377, 180, Assumptions!$D$8), 0)</f>
        <v>0</v>
      </c>
      <c r="D377" s="38">
        <f>IFERROR(IPMT(Assumptions!$E$17,A377,180,Assumptions!$D$8), 0)</f>
        <v>0</v>
      </c>
      <c r="E377" s="2">
        <f t="shared" si="96"/>
        <v>0</v>
      </c>
      <c r="F377" s="2">
        <f>IF(I376&gt;1, Assumptions!$E$19, 0)*-1</f>
        <v>0</v>
      </c>
      <c r="G377" s="24">
        <f t="shared" si="91"/>
        <v>1</v>
      </c>
      <c r="H377" s="20">
        <f t="shared" si="97"/>
        <v>339999.99999999988</v>
      </c>
      <c r="I377" s="2">
        <f>MAX(Assumptions!$D$8-SUM(Model_15y!H377), 0)</f>
        <v>1.1641532182693481E-10</v>
      </c>
      <c r="J377" s="2">
        <f>J376*(1+(Assumptions!$E$51))</f>
        <v>1952335.8358309485</v>
      </c>
      <c r="K377" s="22">
        <f t="shared" si="86"/>
        <v>1952335.8358309483</v>
      </c>
      <c r="L377" s="5">
        <f t="shared" si="98"/>
        <v>425000</v>
      </c>
      <c r="M377" s="63">
        <f>L377/Assumptions!$D$6</f>
        <v>1</v>
      </c>
      <c r="N377" s="24">
        <f t="shared" si="102"/>
        <v>0</v>
      </c>
      <c r="O377" s="22">
        <f>N377*Assumptions!$E$25*-1</f>
        <v>0</v>
      </c>
      <c r="P377" s="5">
        <f>Assumptions!$E$35*J377*-1</f>
        <v>-4021.4921655583307</v>
      </c>
      <c r="Q377" s="5">
        <f>J377*Assumptions!$E$36*-1</f>
        <v>-1619.5369878256436</v>
      </c>
      <c r="R377" s="5">
        <f>R365+R365*Assumptions!$D$51</f>
        <v>-1474.4846655623378</v>
      </c>
      <c r="S377" s="5">
        <f>S365+(S365*Assumptions!$D$51)</f>
        <v>0</v>
      </c>
      <c r="T377" s="5">
        <f t="shared" si="92"/>
        <v>0</v>
      </c>
      <c r="U377" s="22">
        <f t="shared" si="87"/>
        <v>-7115.5138189463123</v>
      </c>
      <c r="V377" s="5">
        <f>MAX(Assumptions!$E$18:$E$19)-U377</f>
        <v>9957.1468307450086</v>
      </c>
      <c r="W377" s="5">
        <f t="shared" si="88"/>
        <v>0</v>
      </c>
      <c r="X377" s="5">
        <f t="shared" si="93"/>
        <v>-7115.5138189463123</v>
      </c>
      <c r="Y377" s="5">
        <f>D377*Assumptions!$D$44*-1</f>
        <v>0</v>
      </c>
      <c r="Z377" s="5">
        <f t="shared" si="89"/>
        <v>2841.6330117986963</v>
      </c>
      <c r="AA377" s="5">
        <f t="shared" si="99"/>
        <v>1360255.4961388882</v>
      </c>
      <c r="AB377" s="3">
        <f>Assumptions!$E$45</f>
        <v>6.9899151946608562E-3</v>
      </c>
      <c r="AC377" s="5">
        <f t="shared" si="100"/>
        <v>1372605.1997117689</v>
      </c>
      <c r="AD377" s="4">
        <f>AC377*Assumptions!$E$43</f>
        <v>1229.2715872883225</v>
      </c>
      <c r="AE377" s="2">
        <f>AD377*Assumptions!$D$44*-1</f>
        <v>-184.39073809324836</v>
      </c>
      <c r="AF377" s="2">
        <f>AC377*Assumptions!$E$46*-1</f>
        <v>-45.745120657292318</v>
      </c>
      <c r="AG377" s="5">
        <f t="shared" si="101"/>
        <v>1372375.0638530185</v>
      </c>
      <c r="AH377" s="20">
        <f>Model_30y[[#This Row],[Mortgage Payment]]+Model_30y[[#This Row],[Total Upkeep]]+Model_30y[[#This Row],[Monthly Investment]]</f>
        <v>-4273.880807147616</v>
      </c>
      <c r="AI377" s="5">
        <f>Model_Renter!D377*-1</f>
        <v>8602.2639975378352</v>
      </c>
      <c r="AJ377" s="5">
        <f t="shared" si="94"/>
        <v>4328.3831903902192</v>
      </c>
    </row>
    <row r="378" spans="1:36" x14ac:dyDescent="0.25">
      <c r="A378" s="17">
        <f t="shared" si="95"/>
        <v>376</v>
      </c>
      <c r="B378" s="17">
        <f t="shared" si="90"/>
        <v>32</v>
      </c>
      <c r="C378" s="23">
        <f>IFERROR(PPMT(Assumptions!$E$17, A378, 180, Assumptions!$D$8), 0)</f>
        <v>0</v>
      </c>
      <c r="D378" s="38">
        <f>IFERROR(IPMT(Assumptions!$E$17,A378,180,Assumptions!$D$8), 0)</f>
        <v>0</v>
      </c>
      <c r="E378" s="2">
        <f t="shared" si="96"/>
        <v>0</v>
      </c>
      <c r="F378" s="2">
        <f>IF(I377&gt;1, Assumptions!$E$19, 0)*-1</f>
        <v>0</v>
      </c>
      <c r="G378" s="24">
        <f t="shared" si="91"/>
        <v>1</v>
      </c>
      <c r="H378" s="20">
        <f t="shared" si="97"/>
        <v>339999.99999999988</v>
      </c>
      <c r="I378" s="2">
        <f>MAX(Assumptions!$D$8-SUM(Model_15y!H378), 0)</f>
        <v>1.1641532182693481E-10</v>
      </c>
      <c r="J378" s="2">
        <f>J377*(1+(Assumptions!$E$51))</f>
        <v>1960289.8936933763</v>
      </c>
      <c r="K378" s="22">
        <f t="shared" si="86"/>
        <v>1960289.8936933763</v>
      </c>
      <c r="L378" s="5">
        <f t="shared" si="98"/>
        <v>425000</v>
      </c>
      <c r="M378" s="63">
        <f>L378/Assumptions!$D$6</f>
        <v>1</v>
      </c>
      <c r="N378" s="24">
        <f t="shared" si="102"/>
        <v>0</v>
      </c>
      <c r="O378" s="22">
        <f>N378*Assumptions!$E$25*-1</f>
        <v>0</v>
      </c>
      <c r="P378" s="5">
        <f>Assumptions!$E$35*J378*-1</f>
        <v>-4037.8762224357874</v>
      </c>
      <c r="Q378" s="5">
        <f>J378*Assumptions!$E$36*-1</f>
        <v>-1626.1351819862421</v>
      </c>
      <c r="R378" s="5">
        <f>R366+R366*Assumptions!$D$51</f>
        <v>-1474.4846655623378</v>
      </c>
      <c r="S378" s="5">
        <f>S366+(S366*Assumptions!$D$51)</f>
        <v>0</v>
      </c>
      <c r="T378" s="5">
        <f t="shared" si="92"/>
        <v>0</v>
      </c>
      <c r="U378" s="22">
        <f t="shared" si="87"/>
        <v>-7138.4960699843678</v>
      </c>
      <c r="V378" s="5">
        <f>MAX(Assumptions!$E$18:$E$19)-U378</f>
        <v>9980.129081783065</v>
      </c>
      <c r="W378" s="5">
        <f t="shared" si="88"/>
        <v>0</v>
      </c>
      <c r="X378" s="5">
        <f t="shared" si="93"/>
        <v>-7138.4960699843678</v>
      </c>
      <c r="Y378" s="5">
        <f>D378*Assumptions!$D$44*-1</f>
        <v>0</v>
      </c>
      <c r="Z378" s="5">
        <f t="shared" si="89"/>
        <v>2841.6330117986972</v>
      </c>
      <c r="AA378" s="5">
        <f t="shared" si="99"/>
        <v>1372375.0638530185</v>
      </c>
      <c r="AB378" s="3">
        <f>Assumptions!$E$45</f>
        <v>6.9899151946608562E-3</v>
      </c>
      <c r="AC378" s="5">
        <f t="shared" si="100"/>
        <v>1384809.482176417</v>
      </c>
      <c r="AD378" s="4">
        <f>AC378*Assumptions!$E$43</f>
        <v>1240.2014436521067</v>
      </c>
      <c r="AE378" s="2">
        <f>AD378*Assumptions!$D$44*-1</f>
        <v>-186.030216547816</v>
      </c>
      <c r="AF378" s="2">
        <f>AC378*Assumptions!$E$46*-1</f>
        <v>-46.151855510109606</v>
      </c>
      <c r="AG378" s="5">
        <f t="shared" si="101"/>
        <v>1384577.3001043592</v>
      </c>
      <c r="AH378" s="20">
        <f>Model_30y[[#This Row],[Mortgage Payment]]+Model_30y[[#This Row],[Total Upkeep]]+Model_30y[[#This Row],[Monthly Investment]]</f>
        <v>-4296.8630581856705</v>
      </c>
      <c r="AI378" s="5">
        <f>Model_Renter!D378*-1</f>
        <v>8602.2639975378352</v>
      </c>
      <c r="AJ378" s="5">
        <f t="shared" si="94"/>
        <v>4305.4009393521646</v>
      </c>
    </row>
    <row r="379" spans="1:36" x14ac:dyDescent="0.25">
      <c r="A379" s="17">
        <f t="shared" si="95"/>
        <v>377</v>
      </c>
      <c r="B379" s="17">
        <f t="shared" si="90"/>
        <v>32</v>
      </c>
      <c r="C379" s="23">
        <f>IFERROR(PPMT(Assumptions!$E$17, A379, 180, Assumptions!$D$8), 0)</f>
        <v>0</v>
      </c>
      <c r="D379" s="38">
        <f>IFERROR(IPMT(Assumptions!$E$17,A379,180,Assumptions!$D$8), 0)</f>
        <v>0</v>
      </c>
      <c r="E379" s="2">
        <f t="shared" si="96"/>
        <v>0</v>
      </c>
      <c r="F379" s="2">
        <f>IF(I378&gt;1, Assumptions!$E$19, 0)*-1</f>
        <v>0</v>
      </c>
      <c r="G379" s="24">
        <f t="shared" si="91"/>
        <v>1</v>
      </c>
      <c r="H379" s="20">
        <f t="shared" si="97"/>
        <v>339999.99999999988</v>
      </c>
      <c r="I379" s="2">
        <f>MAX(Assumptions!$D$8-SUM(Model_15y!H379), 0)</f>
        <v>1.1641532182693481E-10</v>
      </c>
      <c r="J379" s="2">
        <f>J378*(1+(Assumptions!$E$51))</f>
        <v>1968276.3573721179</v>
      </c>
      <c r="K379" s="22">
        <f t="shared" si="86"/>
        <v>1968276.3573721177</v>
      </c>
      <c r="L379" s="5">
        <f t="shared" si="98"/>
        <v>425000</v>
      </c>
      <c r="M379" s="63">
        <f>L379/Assumptions!$D$6</f>
        <v>1</v>
      </c>
      <c r="N379" s="24">
        <f t="shared" si="102"/>
        <v>0</v>
      </c>
      <c r="O379" s="22">
        <f>N379*Assumptions!$E$25*-1</f>
        <v>0</v>
      </c>
      <c r="P379" s="5">
        <f>Assumptions!$E$35*J379*-1</f>
        <v>-4054.327029989041</v>
      </c>
      <c r="Q379" s="5">
        <f>J379*Assumptions!$E$36*-1</f>
        <v>-1632.7602580065995</v>
      </c>
      <c r="R379" s="5">
        <f>R367+R367*Assumptions!$D$51</f>
        <v>-1474.4846655623378</v>
      </c>
      <c r="S379" s="5">
        <f>S367+(S367*Assumptions!$D$51)</f>
        <v>0</v>
      </c>
      <c r="T379" s="5">
        <f t="shared" si="92"/>
        <v>0</v>
      </c>
      <c r="U379" s="22">
        <f t="shared" si="87"/>
        <v>-7161.5719535579783</v>
      </c>
      <c r="V379" s="5">
        <f>MAX(Assumptions!$E$18:$E$19)-U379</f>
        <v>10003.204965356676</v>
      </c>
      <c r="W379" s="5">
        <f t="shared" si="88"/>
        <v>0</v>
      </c>
      <c r="X379" s="5">
        <f t="shared" si="93"/>
        <v>-7161.5719535579783</v>
      </c>
      <c r="Y379" s="5">
        <f>D379*Assumptions!$D$44*-1</f>
        <v>0</v>
      </c>
      <c r="Z379" s="5">
        <f t="shared" si="89"/>
        <v>2841.6330117986972</v>
      </c>
      <c r="AA379" s="5">
        <f t="shared" si="99"/>
        <v>1384577.3001043592</v>
      </c>
      <c r="AB379" s="3">
        <f>Assumptions!$E$45</f>
        <v>6.9899151946608562E-3</v>
      </c>
      <c r="AC379" s="5">
        <f t="shared" si="100"/>
        <v>1397097.0110243398</v>
      </c>
      <c r="AD379" s="4">
        <f>AC379*Assumptions!$E$43</f>
        <v>1251.2058534371702</v>
      </c>
      <c r="AE379" s="2">
        <f>AD379*Assumptions!$D$44*-1</f>
        <v>-187.68087801557553</v>
      </c>
      <c r="AF379" s="2">
        <f>AC379*Assumptions!$E$46*-1</f>
        <v>-46.561364733771455</v>
      </c>
      <c r="AG379" s="5">
        <f t="shared" si="101"/>
        <v>1396862.7687815905</v>
      </c>
      <c r="AH379" s="20">
        <f>Model_30y[[#This Row],[Mortgage Payment]]+Model_30y[[#This Row],[Total Upkeep]]+Model_30y[[#This Row],[Monthly Investment]]</f>
        <v>-4319.9389417592811</v>
      </c>
      <c r="AI379" s="5">
        <f>Model_Renter!D379*-1</f>
        <v>8602.2639975378352</v>
      </c>
      <c r="AJ379" s="5">
        <f t="shared" si="94"/>
        <v>4282.3250557785541</v>
      </c>
    </row>
    <row r="380" spans="1:36" x14ac:dyDescent="0.25">
      <c r="A380" s="17">
        <f t="shared" si="95"/>
        <v>378</v>
      </c>
      <c r="B380" s="17">
        <f t="shared" si="90"/>
        <v>32</v>
      </c>
      <c r="C380" s="23">
        <f>IFERROR(PPMT(Assumptions!$E$17, A380, 180, Assumptions!$D$8), 0)</f>
        <v>0</v>
      </c>
      <c r="D380" s="38">
        <f>IFERROR(IPMT(Assumptions!$E$17,A380,180,Assumptions!$D$8), 0)</f>
        <v>0</v>
      </c>
      <c r="E380" s="2">
        <f t="shared" si="96"/>
        <v>0</v>
      </c>
      <c r="F380" s="2">
        <f>IF(I379&gt;1, Assumptions!$E$19, 0)*-1</f>
        <v>0</v>
      </c>
      <c r="G380" s="24">
        <f t="shared" si="91"/>
        <v>1</v>
      </c>
      <c r="H380" s="20">
        <f t="shared" si="97"/>
        <v>339999.99999999988</v>
      </c>
      <c r="I380" s="2">
        <f>MAX(Assumptions!$D$8-SUM(Model_15y!H380), 0)</f>
        <v>1.1641532182693481E-10</v>
      </c>
      <c r="J380" s="2">
        <f>J379*(1+(Assumptions!$E$51))</f>
        <v>1976295.3588924804</v>
      </c>
      <c r="K380" s="22">
        <f t="shared" si="86"/>
        <v>1976295.3588924804</v>
      </c>
      <c r="L380" s="5">
        <f t="shared" si="98"/>
        <v>425000</v>
      </c>
      <c r="M380" s="63">
        <f>L380/Assumptions!$D$6</f>
        <v>1</v>
      </c>
      <c r="N380" s="24">
        <f t="shared" si="102"/>
        <v>0</v>
      </c>
      <c r="O380" s="22">
        <f>N380*Assumptions!$E$25*-1</f>
        <v>0</v>
      </c>
      <c r="P380" s="5">
        <f>Assumptions!$E$35*J380*-1</f>
        <v>-4070.8448601686077</v>
      </c>
      <c r="Q380" s="5">
        <f>J380*Assumptions!$E$36*-1</f>
        <v>-1639.4123254067401</v>
      </c>
      <c r="R380" s="5">
        <f>R368+R368*Assumptions!$D$51</f>
        <v>-1474.4846655623378</v>
      </c>
      <c r="S380" s="5">
        <f>S368+(S368*Assumptions!$D$51)</f>
        <v>0</v>
      </c>
      <c r="T380" s="5">
        <f t="shared" si="92"/>
        <v>0</v>
      </c>
      <c r="U380" s="22">
        <f t="shared" si="87"/>
        <v>-7184.7418511376854</v>
      </c>
      <c r="V380" s="5">
        <f>MAX(Assumptions!$E$18:$E$19)-U380</f>
        <v>10026.374862936382</v>
      </c>
      <c r="W380" s="5">
        <f t="shared" si="88"/>
        <v>0</v>
      </c>
      <c r="X380" s="5">
        <f t="shared" si="93"/>
        <v>-7184.7418511376854</v>
      </c>
      <c r="Y380" s="5">
        <f>D380*Assumptions!$D$44*-1</f>
        <v>0</v>
      </c>
      <c r="Z380" s="5">
        <f t="shared" si="89"/>
        <v>2841.6330117986963</v>
      </c>
      <c r="AA380" s="5">
        <f t="shared" si="99"/>
        <v>1396862.7687815905</v>
      </c>
      <c r="AB380" s="3">
        <f>Assumptions!$E$45</f>
        <v>6.9899151946608562E-3</v>
      </c>
      <c r="AC380" s="5">
        <f t="shared" si="100"/>
        <v>1409468.3540857516</v>
      </c>
      <c r="AD380" s="4">
        <f>AC380*Assumptions!$E$43</f>
        <v>1262.2853251783406</v>
      </c>
      <c r="AE380" s="2">
        <f>AD380*Assumptions!$D$44*-1</f>
        <v>-189.3427987767511</v>
      </c>
      <c r="AF380" s="2">
        <f>AC380*Assumptions!$E$46*-1</f>
        <v>-46.9736672524825</v>
      </c>
      <c r="AG380" s="5">
        <f t="shared" si="101"/>
        <v>1409232.0376197223</v>
      </c>
      <c r="AH380" s="20">
        <f>Model_30y[[#This Row],[Mortgage Payment]]+Model_30y[[#This Row],[Total Upkeep]]+Model_30y[[#This Row],[Monthly Investment]]</f>
        <v>-4343.1088393389891</v>
      </c>
      <c r="AI380" s="5">
        <f>Model_Renter!D380*-1</f>
        <v>8602.2639975378352</v>
      </c>
      <c r="AJ380" s="5">
        <f t="shared" si="94"/>
        <v>4259.155158198846</v>
      </c>
    </row>
    <row r="381" spans="1:36" x14ac:dyDescent="0.25">
      <c r="A381" s="17">
        <f t="shared" si="95"/>
        <v>379</v>
      </c>
      <c r="B381" s="17">
        <f t="shared" si="90"/>
        <v>32</v>
      </c>
      <c r="C381" s="23">
        <f>IFERROR(PPMT(Assumptions!$E$17, A381, 180, Assumptions!$D$8), 0)</f>
        <v>0</v>
      </c>
      <c r="D381" s="38">
        <f>IFERROR(IPMT(Assumptions!$E$17,A381,180,Assumptions!$D$8), 0)</f>
        <v>0</v>
      </c>
      <c r="E381" s="2">
        <f t="shared" si="96"/>
        <v>0</v>
      </c>
      <c r="F381" s="2">
        <f>IF(I380&gt;1, Assumptions!$E$19, 0)*-1</f>
        <v>0</v>
      </c>
      <c r="G381" s="24">
        <f t="shared" si="91"/>
        <v>1</v>
      </c>
      <c r="H381" s="20">
        <f t="shared" si="97"/>
        <v>339999.99999999988</v>
      </c>
      <c r="I381" s="2">
        <f>MAX(Assumptions!$D$8-SUM(Model_15y!H381), 0)</f>
        <v>1.1641532182693481E-10</v>
      </c>
      <c r="J381" s="2">
        <f>J380*(1+(Assumptions!$E$51))</f>
        <v>1984347.0308176582</v>
      </c>
      <c r="K381" s="22">
        <f t="shared" si="86"/>
        <v>1984347.0308176582</v>
      </c>
      <c r="L381" s="5">
        <f t="shared" si="98"/>
        <v>425000</v>
      </c>
      <c r="M381" s="63">
        <f>L381/Assumptions!$D$6</f>
        <v>1</v>
      </c>
      <c r="N381" s="24">
        <f t="shared" si="102"/>
        <v>0</v>
      </c>
      <c r="O381" s="22">
        <f>N381*Assumptions!$E$25*-1</f>
        <v>0</v>
      </c>
      <c r="P381" s="5">
        <f>Assumptions!$E$35*J381*-1</f>
        <v>-4087.4299860329634</v>
      </c>
      <c r="Q381" s="5">
        <f>J381*Assumptions!$E$36*-1</f>
        <v>-1646.0914941528861</v>
      </c>
      <c r="R381" s="5">
        <f>R369+R369*Assumptions!$D$51</f>
        <v>-1474.4846655623378</v>
      </c>
      <c r="S381" s="5">
        <f>S369+(S369*Assumptions!$D$51)</f>
        <v>0</v>
      </c>
      <c r="T381" s="5">
        <f t="shared" si="92"/>
        <v>0</v>
      </c>
      <c r="U381" s="22">
        <f t="shared" si="87"/>
        <v>-7208.006145748187</v>
      </c>
      <c r="V381" s="5">
        <f>MAX(Assumptions!$E$18:$E$19)-U381</f>
        <v>10049.639157546884</v>
      </c>
      <c r="W381" s="5">
        <f t="shared" si="88"/>
        <v>0</v>
      </c>
      <c r="X381" s="5">
        <f t="shared" si="93"/>
        <v>-7208.006145748187</v>
      </c>
      <c r="Y381" s="5">
        <f>D381*Assumptions!$D$44*-1</f>
        <v>0</v>
      </c>
      <c r="Z381" s="5">
        <f t="shared" si="89"/>
        <v>2841.6330117986972</v>
      </c>
      <c r="AA381" s="5">
        <f t="shared" si="99"/>
        <v>1409232.0376197223</v>
      </c>
      <c r="AB381" s="3">
        <f>Assumptions!$E$45</f>
        <v>6.9899151946608562E-3</v>
      </c>
      <c r="AC381" s="5">
        <f t="shared" si="100"/>
        <v>1421924.0830640818</v>
      </c>
      <c r="AD381" s="4">
        <f>AC381*Assumptions!$E$43</f>
        <v>1273.4403708792022</v>
      </c>
      <c r="AE381" s="2">
        <f>AD381*Assumptions!$D$44*-1</f>
        <v>-191.01605563188033</v>
      </c>
      <c r="AF381" s="2">
        <f>AC381*Assumptions!$E$46*-1</f>
        <v>-47.388782119530866</v>
      </c>
      <c r="AG381" s="5">
        <f t="shared" si="101"/>
        <v>1421685.6782263306</v>
      </c>
      <c r="AH381" s="20">
        <f>Model_30y[[#This Row],[Mortgage Payment]]+Model_30y[[#This Row],[Total Upkeep]]+Model_30y[[#This Row],[Monthly Investment]]</f>
        <v>-4366.3731339494898</v>
      </c>
      <c r="AI381" s="5">
        <f>Model_Renter!D381*-1</f>
        <v>8602.2639975378352</v>
      </c>
      <c r="AJ381" s="5">
        <f t="shared" si="94"/>
        <v>4235.8908635883454</v>
      </c>
    </row>
    <row r="382" spans="1:36" x14ac:dyDescent="0.25">
      <c r="A382" s="17">
        <f t="shared" si="95"/>
        <v>380</v>
      </c>
      <c r="B382" s="17">
        <f t="shared" si="90"/>
        <v>32</v>
      </c>
      <c r="C382" s="23">
        <f>IFERROR(PPMT(Assumptions!$E$17, A382, 180, Assumptions!$D$8), 0)</f>
        <v>0</v>
      </c>
      <c r="D382" s="38">
        <f>IFERROR(IPMT(Assumptions!$E$17,A382,180,Assumptions!$D$8), 0)</f>
        <v>0</v>
      </c>
      <c r="E382" s="2">
        <f t="shared" si="96"/>
        <v>0</v>
      </c>
      <c r="F382" s="2">
        <f>IF(I381&gt;1, Assumptions!$E$19, 0)*-1</f>
        <v>0</v>
      </c>
      <c r="G382" s="24">
        <f t="shared" si="91"/>
        <v>1</v>
      </c>
      <c r="H382" s="20">
        <f t="shared" si="97"/>
        <v>339999.99999999988</v>
      </c>
      <c r="I382" s="2">
        <f>MAX(Assumptions!$D$8-SUM(Model_15y!H382), 0)</f>
        <v>1.1641532182693481E-10</v>
      </c>
      <c r="J382" s="2">
        <f>J381*(1+(Assumptions!$E$51))</f>
        <v>1992431.5062509244</v>
      </c>
      <c r="K382" s="22">
        <f t="shared" si="86"/>
        <v>1992431.5062509244</v>
      </c>
      <c r="L382" s="5">
        <f t="shared" si="98"/>
        <v>425000</v>
      </c>
      <c r="M382" s="63">
        <f>L382/Assumptions!$D$6</f>
        <v>1</v>
      </c>
      <c r="N382" s="24">
        <f t="shared" si="102"/>
        <v>0</v>
      </c>
      <c r="O382" s="22">
        <f>N382*Assumptions!$E$25*-1</f>
        <v>0</v>
      </c>
      <c r="P382" s="5">
        <f>Assumptions!$E$35*J382*-1</f>
        <v>-4104.0826817530578</v>
      </c>
      <c r="Q382" s="5">
        <f>J382*Assumptions!$E$36*-1</f>
        <v>-1652.7978746592755</v>
      </c>
      <c r="R382" s="5">
        <f>R370+R370*Assumptions!$D$51</f>
        <v>-1474.4846655623378</v>
      </c>
      <c r="S382" s="5">
        <f>S370+(S370*Assumptions!$D$51)</f>
        <v>0</v>
      </c>
      <c r="T382" s="5">
        <f t="shared" si="92"/>
        <v>0</v>
      </c>
      <c r="U382" s="22">
        <f t="shared" si="87"/>
        <v>-7231.3652219746709</v>
      </c>
      <c r="V382" s="5">
        <f>MAX(Assumptions!$E$18:$E$19)-U382</f>
        <v>10072.998233773367</v>
      </c>
      <c r="W382" s="5">
        <f t="shared" si="88"/>
        <v>0</v>
      </c>
      <c r="X382" s="5">
        <f t="shared" si="93"/>
        <v>-7231.3652219746709</v>
      </c>
      <c r="Y382" s="5">
        <f>D382*Assumptions!$D$44*-1</f>
        <v>0</v>
      </c>
      <c r="Z382" s="5">
        <f t="shared" si="89"/>
        <v>2841.6330117986963</v>
      </c>
      <c r="AA382" s="5">
        <f t="shared" si="99"/>
        <v>1421685.6782263306</v>
      </c>
      <c r="AB382" s="3">
        <f>Assumptions!$E$45</f>
        <v>6.9899151946608562E-3</v>
      </c>
      <c r="AC382" s="5">
        <f t="shared" si="100"/>
        <v>1434464.773562395</v>
      </c>
      <c r="AD382" s="4">
        <f>AC382*Assumptions!$E$43</f>
        <v>1284.6715060357571</v>
      </c>
      <c r="AE382" s="2">
        <f>AD382*Assumptions!$D$44*-1</f>
        <v>-192.70072590536356</v>
      </c>
      <c r="AF382" s="2">
        <f>AC382*Assumptions!$E$46*-1</f>
        <v>-47.806728518168697</v>
      </c>
      <c r="AG382" s="5">
        <f t="shared" si="101"/>
        <v>1434224.2661079715</v>
      </c>
      <c r="AH382" s="20">
        <f>Model_30y[[#This Row],[Mortgage Payment]]+Model_30y[[#This Row],[Total Upkeep]]+Model_30y[[#This Row],[Monthly Investment]]</f>
        <v>-4389.7322101759746</v>
      </c>
      <c r="AI382" s="5">
        <f>Model_Renter!D382*-1</f>
        <v>8602.2639975378352</v>
      </c>
      <c r="AJ382" s="5">
        <f t="shared" si="94"/>
        <v>4212.5317873618606</v>
      </c>
    </row>
    <row r="383" spans="1:36" x14ac:dyDescent="0.25">
      <c r="A383" s="17">
        <f t="shared" si="95"/>
        <v>381</v>
      </c>
      <c r="B383" s="17">
        <f t="shared" si="90"/>
        <v>32</v>
      </c>
      <c r="C383" s="23">
        <f>IFERROR(PPMT(Assumptions!$E$17, A383, 180, Assumptions!$D$8), 0)</f>
        <v>0</v>
      </c>
      <c r="D383" s="38">
        <f>IFERROR(IPMT(Assumptions!$E$17,A383,180,Assumptions!$D$8), 0)</f>
        <v>0</v>
      </c>
      <c r="E383" s="2">
        <f t="shared" si="96"/>
        <v>0</v>
      </c>
      <c r="F383" s="2">
        <f>IF(I382&gt;1, Assumptions!$E$19, 0)*-1</f>
        <v>0</v>
      </c>
      <c r="G383" s="24">
        <f t="shared" si="91"/>
        <v>1</v>
      </c>
      <c r="H383" s="20">
        <f t="shared" si="97"/>
        <v>339999.99999999988</v>
      </c>
      <c r="I383" s="2">
        <f>MAX(Assumptions!$D$8-SUM(Model_15y!H383), 0)</f>
        <v>1.1641532182693481E-10</v>
      </c>
      <c r="J383" s="2">
        <f>J382*(1+(Assumptions!$E$51))</f>
        <v>2000548.9188378316</v>
      </c>
      <c r="K383" s="22">
        <f t="shared" si="86"/>
        <v>2000548.9188378314</v>
      </c>
      <c r="L383" s="5">
        <f t="shared" si="98"/>
        <v>425000</v>
      </c>
      <c r="M383" s="63">
        <f>L383/Assumptions!$D$6</f>
        <v>1</v>
      </c>
      <c r="N383" s="24">
        <f t="shared" si="102"/>
        <v>0</v>
      </c>
      <c r="O383" s="22">
        <f>N383*Assumptions!$E$25*-1</f>
        <v>0</v>
      </c>
      <c r="P383" s="5">
        <f>Assumptions!$E$35*J383*-1</f>
        <v>-4120.8032226168471</v>
      </c>
      <c r="Q383" s="5">
        <f>J383*Assumptions!$E$36*-1</f>
        <v>-1659.5315777899882</v>
      </c>
      <c r="R383" s="5">
        <f>R371+R371*Assumptions!$D$51</f>
        <v>-1474.4846655623378</v>
      </c>
      <c r="S383" s="5">
        <f>S371+(S371*Assumptions!$D$51)</f>
        <v>0</v>
      </c>
      <c r="T383" s="5">
        <f t="shared" si="92"/>
        <v>0</v>
      </c>
      <c r="U383" s="22">
        <f t="shared" si="87"/>
        <v>-7254.8194659691735</v>
      </c>
      <c r="V383" s="5">
        <f>MAX(Assumptions!$E$18:$E$19)-U383</f>
        <v>10096.452477767871</v>
      </c>
      <c r="W383" s="5">
        <f t="shared" si="88"/>
        <v>0</v>
      </c>
      <c r="X383" s="5">
        <f t="shared" si="93"/>
        <v>-7254.8194659691735</v>
      </c>
      <c r="Y383" s="5">
        <f>D383*Assumptions!$D$44*-1</f>
        <v>0</v>
      </c>
      <c r="Z383" s="5">
        <f t="shared" si="89"/>
        <v>2841.6330117986972</v>
      </c>
      <c r="AA383" s="5">
        <f t="shared" si="99"/>
        <v>1434224.2661079715</v>
      </c>
      <c r="AB383" s="3">
        <f>Assumptions!$E$45</f>
        <v>6.9899151946608562E-3</v>
      </c>
      <c r="AC383" s="5">
        <f t="shared" si="100"/>
        <v>1447091.0051099895</v>
      </c>
      <c r="AD383" s="4">
        <f>AC383*Assumptions!$E$43</f>
        <v>1295.9792496602463</v>
      </c>
      <c r="AE383" s="2">
        <f>AD383*Assumptions!$D$44*-1</f>
        <v>-194.39688744903694</v>
      </c>
      <c r="AF383" s="2">
        <f>AC383*Assumptions!$E$46*-1</f>
        <v>-48.227525762498615</v>
      </c>
      <c r="AG383" s="5">
        <f t="shared" si="101"/>
        <v>1446848.380696778</v>
      </c>
      <c r="AH383" s="20">
        <f>Model_30y[[#This Row],[Mortgage Payment]]+Model_30y[[#This Row],[Total Upkeep]]+Model_30y[[#This Row],[Monthly Investment]]</f>
        <v>-4413.1864541704763</v>
      </c>
      <c r="AI383" s="5">
        <f>Model_Renter!D383*-1</f>
        <v>8602.2639975378352</v>
      </c>
      <c r="AJ383" s="5">
        <f t="shared" si="94"/>
        <v>4189.0775433673589</v>
      </c>
    </row>
    <row r="384" spans="1:36" x14ac:dyDescent="0.25">
      <c r="A384" s="17">
        <f t="shared" si="95"/>
        <v>382</v>
      </c>
      <c r="B384" s="17">
        <f t="shared" si="90"/>
        <v>32</v>
      </c>
      <c r="C384" s="23">
        <f>IFERROR(PPMT(Assumptions!$E$17, A384, 180, Assumptions!$D$8), 0)</f>
        <v>0</v>
      </c>
      <c r="D384" s="38">
        <f>IFERROR(IPMT(Assumptions!$E$17,A384,180,Assumptions!$D$8), 0)</f>
        <v>0</v>
      </c>
      <c r="E384" s="2">
        <f t="shared" si="96"/>
        <v>0</v>
      </c>
      <c r="F384" s="2">
        <f>IF(I383&gt;1, Assumptions!$E$19, 0)*-1</f>
        <v>0</v>
      </c>
      <c r="G384" s="24">
        <f t="shared" si="91"/>
        <v>1</v>
      </c>
      <c r="H384" s="20">
        <f t="shared" si="97"/>
        <v>339999.99999999988</v>
      </c>
      <c r="I384" s="2">
        <f>MAX(Assumptions!$D$8-SUM(Model_15y!H384), 0)</f>
        <v>1.1641532182693481E-10</v>
      </c>
      <c r="J384" s="2">
        <f>J383*(1+(Assumptions!$E$51))</f>
        <v>2008699.4027684208</v>
      </c>
      <c r="K384" s="22">
        <f t="shared" si="86"/>
        <v>2008699.4027684205</v>
      </c>
      <c r="L384" s="5">
        <f t="shared" si="98"/>
        <v>425000</v>
      </c>
      <c r="M384" s="63">
        <f>L384/Assumptions!$D$6</f>
        <v>1</v>
      </c>
      <c r="N384" s="24">
        <f t="shared" si="102"/>
        <v>0</v>
      </c>
      <c r="O384" s="22">
        <f>N384*Assumptions!$E$25*-1</f>
        <v>0</v>
      </c>
      <c r="P384" s="5">
        <f>Assumptions!$E$35*J384*-1</f>
        <v>-4137.5918850338448</v>
      </c>
      <c r="Q384" s="5">
        <f>J384*Assumptions!$E$36*-1</f>
        <v>-1666.292714860778</v>
      </c>
      <c r="R384" s="5">
        <f>R372+R372*Assumptions!$D$51</f>
        <v>-1474.4846655623378</v>
      </c>
      <c r="S384" s="5">
        <f>S372+(S372*Assumptions!$D$51)</f>
        <v>0</v>
      </c>
      <c r="T384" s="5">
        <f t="shared" si="92"/>
        <v>0</v>
      </c>
      <c r="U384" s="22">
        <f t="shared" si="87"/>
        <v>-7278.3692654569604</v>
      </c>
      <c r="V384" s="5">
        <f>MAX(Assumptions!$E$18:$E$19)-U384</f>
        <v>10120.002277255657</v>
      </c>
      <c r="W384" s="5">
        <f t="shared" si="88"/>
        <v>0</v>
      </c>
      <c r="X384" s="5">
        <f t="shared" si="93"/>
        <v>-7278.3692654569604</v>
      </c>
      <c r="Y384" s="5">
        <f>D384*Assumptions!$D$44*-1</f>
        <v>0</v>
      </c>
      <c r="Z384" s="5">
        <f t="shared" si="89"/>
        <v>2841.6330117986963</v>
      </c>
      <c r="AA384" s="5">
        <f t="shared" si="99"/>
        <v>1446848.380696778</v>
      </c>
      <c r="AB384" s="3">
        <f>Assumptions!$E$45</f>
        <v>6.9899151946608562E-3</v>
      </c>
      <c r="AC384" s="5">
        <f t="shared" si="100"/>
        <v>1459803.3611891794</v>
      </c>
      <c r="AD384" s="4">
        <f>AC384*Assumptions!$E$43</f>
        <v>1307.3641243051343</v>
      </c>
      <c r="AE384" s="2">
        <f>AD384*Assumptions!$D$44*-1</f>
        <v>-196.10461864577013</v>
      </c>
      <c r="AF384" s="2">
        <f>AC384*Assumptions!$E$46*-1</f>
        <v>-48.651193298366259</v>
      </c>
      <c r="AG384" s="5">
        <f t="shared" si="101"/>
        <v>1459558.6053772352</v>
      </c>
      <c r="AH384" s="20">
        <f>Model_30y[[#This Row],[Mortgage Payment]]+Model_30y[[#This Row],[Total Upkeep]]+Model_30y[[#This Row],[Monthly Investment]]</f>
        <v>-4436.7362536582641</v>
      </c>
      <c r="AI384" s="5">
        <f>Model_Renter!D384*-1</f>
        <v>8602.2639975378352</v>
      </c>
      <c r="AJ384" s="5">
        <f t="shared" si="94"/>
        <v>4165.5277438795711</v>
      </c>
    </row>
    <row r="385" spans="1:36" x14ac:dyDescent="0.25">
      <c r="A385" s="17">
        <f t="shared" si="95"/>
        <v>383</v>
      </c>
      <c r="B385" s="17">
        <f t="shared" si="90"/>
        <v>32</v>
      </c>
      <c r="C385" s="23">
        <f>IFERROR(PPMT(Assumptions!$E$17, A385, 180, Assumptions!$D$8), 0)</f>
        <v>0</v>
      </c>
      <c r="D385" s="38">
        <f>IFERROR(IPMT(Assumptions!$E$17,A385,180,Assumptions!$D$8), 0)</f>
        <v>0</v>
      </c>
      <c r="E385" s="2">
        <f t="shared" si="96"/>
        <v>0</v>
      </c>
      <c r="F385" s="2">
        <f>IF(I384&gt;1, Assumptions!$E$19, 0)*-1</f>
        <v>0</v>
      </c>
      <c r="G385" s="24">
        <f t="shared" si="91"/>
        <v>1</v>
      </c>
      <c r="H385" s="20">
        <f t="shared" si="97"/>
        <v>339999.99999999988</v>
      </c>
      <c r="I385" s="2">
        <f>MAX(Assumptions!$D$8-SUM(Model_15y!H385), 0)</f>
        <v>1.1641532182693481E-10</v>
      </c>
      <c r="J385" s="2">
        <f>J384*(1+(Assumptions!$E$51))</f>
        <v>2016883.0927794399</v>
      </c>
      <c r="K385" s="22">
        <f t="shared" si="86"/>
        <v>2016883.0927794399</v>
      </c>
      <c r="L385" s="5">
        <f t="shared" si="98"/>
        <v>425000</v>
      </c>
      <c r="M385" s="63">
        <f>L385/Assumptions!$D$6</f>
        <v>1</v>
      </c>
      <c r="N385" s="24">
        <f t="shared" si="102"/>
        <v>0</v>
      </c>
      <c r="O385" s="22">
        <f>N385*Assumptions!$E$25*-1</f>
        <v>0</v>
      </c>
      <c r="P385" s="5">
        <f>Assumptions!$E$35*J385*-1</f>
        <v>-4154.4489465396919</v>
      </c>
      <c r="Q385" s="5">
        <f>J385*Assumptions!$E$36*-1</f>
        <v>-1673.0813976409122</v>
      </c>
      <c r="R385" s="5">
        <f>R373+R373*Assumptions!$D$51</f>
        <v>-1474.4846655623378</v>
      </c>
      <c r="S385" s="5">
        <f>S373+(S373*Assumptions!$D$51)</f>
        <v>0</v>
      </c>
      <c r="T385" s="5">
        <f t="shared" si="92"/>
        <v>0</v>
      </c>
      <c r="U385" s="22">
        <f t="shared" si="87"/>
        <v>-7302.0150097429423</v>
      </c>
      <c r="V385" s="5">
        <f>MAX(Assumptions!$E$18:$E$19)-U385</f>
        <v>10143.64802154164</v>
      </c>
      <c r="W385" s="5">
        <f t="shared" si="88"/>
        <v>0</v>
      </c>
      <c r="X385" s="5">
        <f t="shared" si="93"/>
        <v>-7302.0150097429423</v>
      </c>
      <c r="Y385" s="5">
        <f>D385*Assumptions!$D$44*-1</f>
        <v>0</v>
      </c>
      <c r="Z385" s="5">
        <f t="shared" si="89"/>
        <v>2841.6330117986972</v>
      </c>
      <c r="AA385" s="5">
        <f t="shared" si="99"/>
        <v>1459558.6053772352</v>
      </c>
      <c r="AB385" s="3">
        <f>Assumptions!$E$45</f>
        <v>6.9899151946608562E-3</v>
      </c>
      <c r="AC385" s="5">
        <f t="shared" si="100"/>
        <v>1472602.4292622581</v>
      </c>
      <c r="AD385" s="4">
        <f>AC385*Assumptions!$E$43</f>
        <v>1318.8266560872585</v>
      </c>
      <c r="AE385" s="2">
        <f>AD385*Assumptions!$D$44*-1</f>
        <v>-197.82399841308876</v>
      </c>
      <c r="AF385" s="2">
        <f>AC385*Assumptions!$E$46*-1</f>
        <v>-49.07775070425896</v>
      </c>
      <c r="AG385" s="5">
        <f t="shared" si="101"/>
        <v>1472355.5275131408</v>
      </c>
      <c r="AH385" s="20">
        <f>Model_30y[[#This Row],[Mortgage Payment]]+Model_30y[[#This Row],[Total Upkeep]]+Model_30y[[#This Row],[Monthly Investment]]</f>
        <v>-4460.3819979442451</v>
      </c>
      <c r="AI385" s="5">
        <f>Model_Renter!D385*-1</f>
        <v>8602.2639975378352</v>
      </c>
      <c r="AJ385" s="5">
        <f t="shared" si="94"/>
        <v>4141.8819995935901</v>
      </c>
    </row>
    <row r="386" spans="1:36" x14ac:dyDescent="0.25">
      <c r="A386" s="17">
        <f t="shared" si="95"/>
        <v>384</v>
      </c>
      <c r="B386" s="17">
        <f t="shared" si="90"/>
        <v>32</v>
      </c>
      <c r="C386" s="23">
        <f>IFERROR(PPMT(Assumptions!$E$17, A386, 180, Assumptions!$D$8), 0)</f>
        <v>0</v>
      </c>
      <c r="D386" s="38">
        <f>IFERROR(IPMT(Assumptions!$E$17,A386,180,Assumptions!$D$8), 0)</f>
        <v>0</v>
      </c>
      <c r="E386" s="2">
        <f t="shared" si="96"/>
        <v>0</v>
      </c>
      <c r="F386" s="2">
        <f>IF(I385&gt;1, Assumptions!$E$19, 0)*-1</f>
        <v>0</v>
      </c>
      <c r="G386" s="24">
        <f t="shared" si="91"/>
        <v>1</v>
      </c>
      <c r="H386" s="20">
        <f t="shared" si="97"/>
        <v>339999.99999999988</v>
      </c>
      <c r="I386" s="2">
        <f>MAX(Assumptions!$D$8-SUM(Model_15y!H386), 0)</f>
        <v>1.1641532182693481E-10</v>
      </c>
      <c r="J386" s="2">
        <f>J385*(1+(Assumptions!$E$51))</f>
        <v>2025100.1241565708</v>
      </c>
      <c r="K386" s="22">
        <f t="shared" ref="K386:K449" si="103">J386-I386</f>
        <v>2025100.1241565705</v>
      </c>
      <c r="L386" s="5">
        <f t="shared" si="98"/>
        <v>425000</v>
      </c>
      <c r="M386" s="63">
        <f>L386/Assumptions!$D$6</f>
        <v>1</v>
      </c>
      <c r="N386" s="24">
        <f t="shared" si="102"/>
        <v>0</v>
      </c>
      <c r="O386" s="22">
        <f>N386*Assumptions!$E$25*-1</f>
        <v>0</v>
      </c>
      <c r="P386" s="5">
        <f>Assumptions!$E$35*J386*-1</f>
        <v>-4171.3746858007416</v>
      </c>
      <c r="Q386" s="5">
        <f>J386*Assumptions!$E$36*-1</f>
        <v>-1679.8977383550207</v>
      </c>
      <c r="R386" s="5">
        <f>R374+R374*Assumptions!$D$51</f>
        <v>-1474.4846655623378</v>
      </c>
      <c r="S386" s="5">
        <f>S374+(S374*Assumptions!$D$51)</f>
        <v>0</v>
      </c>
      <c r="T386" s="5">
        <f t="shared" si="92"/>
        <v>0</v>
      </c>
      <c r="U386" s="22">
        <f t="shared" ref="U386:U449" si="104">SUM(P386:T386)</f>
        <v>-7325.7570897181004</v>
      </c>
      <c r="V386" s="5">
        <f>MAX(Assumptions!$E$18:$E$19)-U386</f>
        <v>10167.390101516798</v>
      </c>
      <c r="W386" s="5">
        <f t="shared" ref="W386:W449" si="105">F386</f>
        <v>0</v>
      </c>
      <c r="X386" s="5">
        <f t="shared" si="93"/>
        <v>-7325.7570897181004</v>
      </c>
      <c r="Y386" s="5">
        <f>D386*Assumptions!$D$44*-1</f>
        <v>0</v>
      </c>
      <c r="Z386" s="5">
        <f t="shared" ref="Z386:Z449" si="106">SUM(V386:Y386)</f>
        <v>2841.6330117986972</v>
      </c>
      <c r="AA386" s="5">
        <f t="shared" si="99"/>
        <v>1472355.5275131408</v>
      </c>
      <c r="AB386" s="3">
        <f>Assumptions!$E$45</f>
        <v>6.9899151946608562E-3</v>
      </c>
      <c r="AC386" s="5">
        <f t="shared" si="100"/>
        <v>1485488.8007986464</v>
      </c>
      <c r="AD386" s="4">
        <f>AC386*Assumptions!$E$43</f>
        <v>1330.3673747121402</v>
      </c>
      <c r="AE386" s="2">
        <f>AD386*Assumptions!$D$44*-1</f>
        <v>-199.55510620682102</v>
      </c>
      <c r="AF386" s="2">
        <f>AC386*Assumptions!$E$46*-1</f>
        <v>-49.50721769221046</v>
      </c>
      <c r="AG386" s="5">
        <f t="shared" si="101"/>
        <v>1485239.7384747474</v>
      </c>
      <c r="AH386" s="20">
        <f>Model_30y[[#This Row],[Mortgage Payment]]+Model_30y[[#This Row],[Total Upkeep]]+Model_30y[[#This Row],[Monthly Investment]]</f>
        <v>-4484.1240779194031</v>
      </c>
      <c r="AI386" s="5">
        <f>Model_Renter!D386*-1</f>
        <v>8602.2639975378352</v>
      </c>
      <c r="AJ386" s="5">
        <f t="shared" si="94"/>
        <v>4118.139919618432</v>
      </c>
    </row>
    <row r="387" spans="1:36" x14ac:dyDescent="0.25">
      <c r="A387" s="17">
        <f t="shared" si="95"/>
        <v>385</v>
      </c>
      <c r="B387" s="17">
        <f t="shared" ref="B387:B450" si="107">ROUNDUP(A387/12,0)</f>
        <v>33</v>
      </c>
      <c r="C387" s="23">
        <f>IFERROR(PPMT(Assumptions!$E$17, A387, 180, Assumptions!$D$8), 0)</f>
        <v>0</v>
      </c>
      <c r="D387" s="38">
        <f>IFERROR(IPMT(Assumptions!$E$17,A387,180,Assumptions!$D$8), 0)</f>
        <v>0</v>
      </c>
      <c r="E387" s="2">
        <f t="shared" si="96"/>
        <v>0</v>
      </c>
      <c r="F387" s="2">
        <f>IF(I386&gt;1, Assumptions!$E$19, 0)*-1</f>
        <v>0</v>
      </c>
      <c r="G387" s="24">
        <f t="shared" ref="G387:G450" si="108">IF(E387-F387&lt;1, 1, 0)</f>
        <v>1</v>
      </c>
      <c r="H387" s="20">
        <f t="shared" si="97"/>
        <v>339999.99999999988</v>
      </c>
      <c r="I387" s="2">
        <f>MAX(Assumptions!$D$8-SUM(Model_15y!H387), 0)</f>
        <v>1.1641532182693481E-10</v>
      </c>
      <c r="J387" s="2">
        <f>J386*(1+(Assumptions!$E$51))</f>
        <v>2033350.6327366664</v>
      </c>
      <c r="K387" s="22">
        <f t="shared" si="103"/>
        <v>2033350.6327366661</v>
      </c>
      <c r="L387" s="5">
        <f t="shared" si="98"/>
        <v>425000</v>
      </c>
      <c r="M387" s="63">
        <f>L387/Assumptions!$D$6</f>
        <v>1</v>
      </c>
      <c r="N387" s="24">
        <f t="shared" si="102"/>
        <v>0</v>
      </c>
      <c r="O387" s="22">
        <f>N387*Assumptions!$E$25*-1</f>
        <v>0</v>
      </c>
      <c r="P387" s="5">
        <f>Assumptions!$E$35*J387*-1</f>
        <v>-4188.3693826186718</v>
      </c>
      <c r="Q387" s="5">
        <f>J387*Assumptions!$E$36*-1</f>
        <v>-1686.74184968495</v>
      </c>
      <c r="R387" s="5">
        <f>R375+R375*Assumptions!$D$51</f>
        <v>-1548.2088988404546</v>
      </c>
      <c r="S387" s="5">
        <f>S375+(S375*Assumptions!$D$51)</f>
        <v>0</v>
      </c>
      <c r="T387" s="5">
        <f t="shared" ref="T387:T450" si="109">O387</f>
        <v>0</v>
      </c>
      <c r="U387" s="22">
        <f t="shared" si="104"/>
        <v>-7423.3201311440762</v>
      </c>
      <c r="V387" s="5">
        <f>MAX(Assumptions!$E$18:$E$19)-U387</f>
        <v>10264.953142942773</v>
      </c>
      <c r="W387" s="5">
        <f t="shared" si="105"/>
        <v>0</v>
      </c>
      <c r="X387" s="5">
        <f t="shared" ref="X387:X450" si="110">U387</f>
        <v>-7423.3201311440762</v>
      </c>
      <c r="Y387" s="5">
        <f>D387*Assumptions!$D$44*-1</f>
        <v>0</v>
      </c>
      <c r="Z387" s="5">
        <f t="shared" si="106"/>
        <v>2841.6330117986972</v>
      </c>
      <c r="AA387" s="5">
        <f t="shared" si="99"/>
        <v>1485239.7384747474</v>
      </c>
      <c r="AB387" s="3">
        <f>Assumptions!$E$45</f>
        <v>6.9899151946608562E-3</v>
      </c>
      <c r="AC387" s="5">
        <f t="shared" si="100"/>
        <v>1498463.0713022246</v>
      </c>
      <c r="AD387" s="4">
        <f>AC387*Assumptions!$E$43</f>
        <v>1341.9868134984647</v>
      </c>
      <c r="AE387" s="2">
        <f>AD387*Assumptions!$D$44*-1</f>
        <v>-201.29802202476969</v>
      </c>
      <c r="AF387" s="2">
        <f>AC387*Assumptions!$E$46*-1</f>
        <v>-49.939614108711844</v>
      </c>
      <c r="AG387" s="5">
        <f t="shared" si="101"/>
        <v>1498211.8336660911</v>
      </c>
      <c r="AH387" s="20">
        <f>Model_30y[[#This Row],[Mortgage Payment]]+Model_30y[[#This Row],[Total Upkeep]]+Model_30y[[#This Row],[Monthly Investment]]</f>
        <v>-4581.687119345379</v>
      </c>
      <c r="AI387" s="5">
        <f>Model_Renter!D387*-1</f>
        <v>8923.9886710457504</v>
      </c>
      <c r="AJ387" s="5">
        <f t="shared" ref="AJ387:AJ450" si="111">SUM(AH387:AI387)</f>
        <v>4342.3015517003714</v>
      </c>
    </row>
    <row r="388" spans="1:36" x14ac:dyDescent="0.25">
      <c r="A388" s="17">
        <f t="shared" ref="A388:A451" si="112">A387+1</f>
        <v>386</v>
      </c>
      <c r="B388" s="17">
        <f t="shared" si="107"/>
        <v>33</v>
      </c>
      <c r="C388" s="23">
        <f>IFERROR(PPMT(Assumptions!$E$17, A388, 180, Assumptions!$D$8), 0)</f>
        <v>0</v>
      </c>
      <c r="D388" s="38">
        <f>IFERROR(IPMT(Assumptions!$E$17,A388,180,Assumptions!$D$8), 0)</f>
        <v>0</v>
      </c>
      <c r="E388" s="2">
        <f t="shared" ref="E388:E451" si="113">SUM(C388:D388)</f>
        <v>0</v>
      </c>
      <c r="F388" s="2">
        <f>IF(I387&gt;1, Assumptions!$E$19, 0)*-1</f>
        <v>0</v>
      </c>
      <c r="G388" s="24">
        <f t="shared" si="108"/>
        <v>1</v>
      </c>
      <c r="H388" s="20">
        <f t="shared" ref="H388:H451" si="114">H387+C388*-1</f>
        <v>339999.99999999988</v>
      </c>
      <c r="I388" s="2">
        <f>MAX(Assumptions!$D$8-SUM(Model_15y!H388), 0)</f>
        <v>1.1641532182693481E-10</v>
      </c>
      <c r="J388" s="2">
        <f>J387*(1+(Assumptions!$E$51))</f>
        <v>2041634.7549099952</v>
      </c>
      <c r="K388" s="22">
        <f t="shared" si="103"/>
        <v>2041634.754909995</v>
      </c>
      <c r="L388" s="5">
        <f t="shared" ref="L388:L451" si="115">L387+C388*-1</f>
        <v>425000</v>
      </c>
      <c r="M388" s="63">
        <f>L388/Assumptions!$D$6</f>
        <v>1</v>
      </c>
      <c r="N388" s="24">
        <f t="shared" si="102"/>
        <v>0</v>
      </c>
      <c r="O388" s="22">
        <f>N388*Assumptions!$E$25*-1</f>
        <v>0</v>
      </c>
      <c r="P388" s="5">
        <f>Assumptions!$E$35*J388*-1</f>
        <v>-4205.4333179351033</v>
      </c>
      <c r="Q388" s="5">
        <f>J388*Assumptions!$E$36*-1</f>
        <v>-1693.6138447716264</v>
      </c>
      <c r="R388" s="5">
        <f>R376+R376*Assumptions!$D$51</f>
        <v>-1548.2088988404546</v>
      </c>
      <c r="S388" s="5">
        <f>S376+(S376*Assumptions!$D$51)</f>
        <v>0</v>
      </c>
      <c r="T388" s="5">
        <f t="shared" si="109"/>
        <v>0</v>
      </c>
      <c r="U388" s="22">
        <f t="shared" si="104"/>
        <v>-7447.2560615471848</v>
      </c>
      <c r="V388" s="5">
        <f>MAX(Assumptions!$E$18:$E$19)-U388</f>
        <v>10288.889073345881</v>
      </c>
      <c r="W388" s="5">
        <f t="shared" si="105"/>
        <v>0</v>
      </c>
      <c r="X388" s="5">
        <f t="shared" si="110"/>
        <v>-7447.2560615471848</v>
      </c>
      <c r="Y388" s="5">
        <f>D388*Assumptions!$D$44*-1</f>
        <v>0</v>
      </c>
      <c r="Z388" s="5">
        <f t="shared" si="106"/>
        <v>2841.6330117986963</v>
      </c>
      <c r="AA388" s="5">
        <f t="shared" ref="AA388:AA451" si="116">AG387</f>
        <v>1498211.8336660911</v>
      </c>
      <c r="AB388" s="3">
        <f>Assumptions!$E$45</f>
        <v>6.9899151946608562E-3</v>
      </c>
      <c r="AC388" s="5">
        <f t="shared" ref="AC388:AC451" si="117">(AA388+Z388)+(AA388*AB388)</f>
        <v>1511525.840338853</v>
      </c>
      <c r="AD388" s="4">
        <f>AC388*Assumptions!$E$43</f>
        <v>1353.6855094027267</v>
      </c>
      <c r="AE388" s="2">
        <f>AD388*Assumptions!$D$44*-1</f>
        <v>-203.05282641040898</v>
      </c>
      <c r="AF388" s="2">
        <f>AC388*Assumptions!$E$46*-1</f>
        <v>-50.374959935628702</v>
      </c>
      <c r="AG388" s="5">
        <f t="shared" ref="AG388:AG451" si="118">AC388+SUM(AE388:AF388)</f>
        <v>1511272.4125525069</v>
      </c>
      <c r="AH388" s="20">
        <f>Model_30y[[#This Row],[Mortgage Payment]]+Model_30y[[#This Row],[Total Upkeep]]+Model_30y[[#This Row],[Monthly Investment]]</f>
        <v>-4605.6230497484885</v>
      </c>
      <c r="AI388" s="5">
        <f>Model_Renter!D388*-1</f>
        <v>8923.9886710457504</v>
      </c>
      <c r="AJ388" s="5">
        <f t="shared" si="111"/>
        <v>4318.3656212972619</v>
      </c>
    </row>
    <row r="389" spans="1:36" x14ac:dyDescent="0.25">
      <c r="A389" s="17">
        <f t="shared" si="112"/>
        <v>387</v>
      </c>
      <c r="B389" s="17">
        <f t="shared" si="107"/>
        <v>33</v>
      </c>
      <c r="C389" s="23">
        <f>IFERROR(PPMT(Assumptions!$E$17, A389, 180, Assumptions!$D$8), 0)</f>
        <v>0</v>
      </c>
      <c r="D389" s="38">
        <f>IFERROR(IPMT(Assumptions!$E$17,A389,180,Assumptions!$D$8), 0)</f>
        <v>0</v>
      </c>
      <c r="E389" s="2">
        <f t="shared" si="113"/>
        <v>0</v>
      </c>
      <c r="F389" s="2">
        <f>IF(I388&gt;1, Assumptions!$E$19, 0)*-1</f>
        <v>0</v>
      </c>
      <c r="G389" s="24">
        <f t="shared" si="108"/>
        <v>1</v>
      </c>
      <c r="H389" s="20">
        <f t="shared" si="114"/>
        <v>339999.99999999988</v>
      </c>
      <c r="I389" s="2">
        <f>MAX(Assumptions!$D$8-SUM(Model_15y!H389), 0)</f>
        <v>1.1641532182693481E-10</v>
      </c>
      <c r="J389" s="2">
        <f>J388*(1+(Assumptions!$E$51))</f>
        <v>2049952.627622497</v>
      </c>
      <c r="K389" s="22">
        <f t="shared" si="103"/>
        <v>2049952.6276224968</v>
      </c>
      <c r="L389" s="5">
        <f t="shared" si="115"/>
        <v>425000</v>
      </c>
      <c r="M389" s="63">
        <f>L389/Assumptions!$D$6</f>
        <v>1</v>
      </c>
      <c r="N389" s="24">
        <f t="shared" si="102"/>
        <v>0</v>
      </c>
      <c r="O389" s="22">
        <f>N389*Assumptions!$E$25*-1</f>
        <v>0</v>
      </c>
      <c r="P389" s="5">
        <f>Assumptions!$E$35*J389*-1</f>
        <v>-4222.566773836249</v>
      </c>
      <c r="Q389" s="5">
        <f>J389*Assumptions!$E$36*-1</f>
        <v>-1700.5138372169265</v>
      </c>
      <c r="R389" s="5">
        <f>R377+R377*Assumptions!$D$51</f>
        <v>-1548.2088988404546</v>
      </c>
      <c r="S389" s="5">
        <f>S377+(S377*Assumptions!$D$51)</f>
        <v>0</v>
      </c>
      <c r="T389" s="5">
        <f t="shared" si="109"/>
        <v>0</v>
      </c>
      <c r="U389" s="22">
        <f t="shared" si="104"/>
        <v>-7471.2895098936306</v>
      </c>
      <c r="V389" s="5">
        <f>MAX(Assumptions!$E$18:$E$19)-U389</f>
        <v>10312.922521692328</v>
      </c>
      <c r="W389" s="5">
        <f t="shared" si="105"/>
        <v>0</v>
      </c>
      <c r="X389" s="5">
        <f t="shared" si="110"/>
        <v>-7471.2895098936306</v>
      </c>
      <c r="Y389" s="5">
        <f>D389*Assumptions!$D$44*-1</f>
        <v>0</v>
      </c>
      <c r="Z389" s="5">
        <f t="shared" si="106"/>
        <v>2841.6330117986972</v>
      </c>
      <c r="AA389" s="5">
        <f t="shared" si="116"/>
        <v>1511272.4125525069</v>
      </c>
      <c r="AB389" s="3">
        <f>Assumptions!$E$45</f>
        <v>6.9899151946608562E-3</v>
      </c>
      <c r="AC389" s="5">
        <f t="shared" si="117"/>
        <v>1524677.711564078</v>
      </c>
      <c r="AD389" s="4">
        <f>AC389*Assumptions!$E$43</f>
        <v>1365.4640030440439</v>
      </c>
      <c r="AE389" s="2">
        <f>AD389*Assumptions!$D$44*-1</f>
        <v>-204.81960045660659</v>
      </c>
      <c r="AF389" s="2">
        <f>AC389*Assumptions!$E$46*-1</f>
        <v>-50.813275291124533</v>
      </c>
      <c r="AG389" s="5">
        <f t="shared" si="118"/>
        <v>1524422.0786883302</v>
      </c>
      <c r="AH389" s="20">
        <f>Model_30y[[#This Row],[Mortgage Payment]]+Model_30y[[#This Row],[Total Upkeep]]+Model_30y[[#This Row],[Monthly Investment]]</f>
        <v>-4629.6564980949333</v>
      </c>
      <c r="AI389" s="5">
        <f>Model_Renter!D389*-1</f>
        <v>8923.9886710457504</v>
      </c>
      <c r="AJ389" s="5">
        <f t="shared" si="111"/>
        <v>4294.332172950817</v>
      </c>
    </row>
    <row r="390" spans="1:36" x14ac:dyDescent="0.25">
      <c r="A390" s="17">
        <f t="shared" si="112"/>
        <v>388</v>
      </c>
      <c r="B390" s="17">
        <f t="shared" si="107"/>
        <v>33</v>
      </c>
      <c r="C390" s="23">
        <f>IFERROR(PPMT(Assumptions!$E$17, A390, 180, Assumptions!$D$8), 0)</f>
        <v>0</v>
      </c>
      <c r="D390" s="38">
        <f>IFERROR(IPMT(Assumptions!$E$17,A390,180,Assumptions!$D$8), 0)</f>
        <v>0</v>
      </c>
      <c r="E390" s="2">
        <f t="shared" si="113"/>
        <v>0</v>
      </c>
      <c r="F390" s="2">
        <f>IF(I389&gt;1, Assumptions!$E$19, 0)*-1</f>
        <v>0</v>
      </c>
      <c r="G390" s="24">
        <f t="shared" si="108"/>
        <v>1</v>
      </c>
      <c r="H390" s="20">
        <f t="shared" si="114"/>
        <v>339999.99999999988</v>
      </c>
      <c r="I390" s="2">
        <f>MAX(Assumptions!$D$8-SUM(Model_15y!H390), 0)</f>
        <v>1.1641532182693481E-10</v>
      </c>
      <c r="J390" s="2">
        <f>J389*(1+(Assumptions!$E$51))</f>
        <v>2058304.3883780462</v>
      </c>
      <c r="K390" s="22">
        <f t="shared" si="103"/>
        <v>2058304.388378046</v>
      </c>
      <c r="L390" s="5">
        <f t="shared" si="115"/>
        <v>425000</v>
      </c>
      <c r="M390" s="63">
        <f>L390/Assumptions!$D$6</f>
        <v>1</v>
      </c>
      <c r="N390" s="24">
        <f t="shared" si="102"/>
        <v>0</v>
      </c>
      <c r="O390" s="22">
        <f>N390*Assumptions!$E$25*-1</f>
        <v>0</v>
      </c>
      <c r="P390" s="5">
        <f>Assumptions!$E$35*J390*-1</f>
        <v>-4239.7700335575792</v>
      </c>
      <c r="Q390" s="5">
        <f>J390*Assumptions!$E$36*-1</f>
        <v>-1707.4419410855551</v>
      </c>
      <c r="R390" s="5">
        <f>R378+R378*Assumptions!$D$51</f>
        <v>-1548.2088988404546</v>
      </c>
      <c r="S390" s="5">
        <f>S378+(S378*Assumptions!$D$51)</f>
        <v>0</v>
      </c>
      <c r="T390" s="5">
        <f t="shared" si="109"/>
        <v>0</v>
      </c>
      <c r="U390" s="22">
        <f t="shared" si="104"/>
        <v>-7495.4208734835893</v>
      </c>
      <c r="V390" s="5">
        <f>MAX(Assumptions!$E$18:$E$19)-U390</f>
        <v>10337.053885282287</v>
      </c>
      <c r="W390" s="5">
        <f t="shared" si="105"/>
        <v>0</v>
      </c>
      <c r="X390" s="5">
        <f t="shared" si="110"/>
        <v>-7495.4208734835893</v>
      </c>
      <c r="Y390" s="5">
        <f>D390*Assumptions!$D$44*-1</f>
        <v>0</v>
      </c>
      <c r="Z390" s="5">
        <f t="shared" si="106"/>
        <v>2841.6330117986972</v>
      </c>
      <c r="AA390" s="5">
        <f t="shared" si="116"/>
        <v>1524422.0786883302</v>
      </c>
      <c r="AB390" s="3">
        <f>Assumptions!$E$45</f>
        <v>6.9899151946608562E-3</v>
      </c>
      <c r="AC390" s="5">
        <f t="shared" si="117"/>
        <v>1537919.2927510289</v>
      </c>
      <c r="AD390" s="4">
        <f>AC390*Assumptions!$E$43</f>
        <v>1377.3228387291399</v>
      </c>
      <c r="AE390" s="2">
        <f>AD390*Assumptions!$D$44*-1</f>
        <v>-206.59842580937098</v>
      </c>
      <c r="AF390" s="2">
        <f>AC390*Assumptions!$E$46*-1</f>
        <v>-51.254580430590423</v>
      </c>
      <c r="AG390" s="5">
        <f t="shared" si="118"/>
        <v>1537661.4397447889</v>
      </c>
      <c r="AH390" s="20">
        <f>Model_30y[[#This Row],[Mortgage Payment]]+Model_30y[[#This Row],[Total Upkeep]]+Model_30y[[#This Row],[Monthly Investment]]</f>
        <v>-4653.7878616848921</v>
      </c>
      <c r="AI390" s="5">
        <f>Model_Renter!D390*-1</f>
        <v>8923.9886710457504</v>
      </c>
      <c r="AJ390" s="5">
        <f t="shared" si="111"/>
        <v>4270.2008093608583</v>
      </c>
    </row>
    <row r="391" spans="1:36" x14ac:dyDescent="0.25">
      <c r="A391" s="17">
        <f t="shared" si="112"/>
        <v>389</v>
      </c>
      <c r="B391" s="17">
        <f t="shared" si="107"/>
        <v>33</v>
      </c>
      <c r="C391" s="23">
        <f>IFERROR(PPMT(Assumptions!$E$17, A391, 180, Assumptions!$D$8), 0)</f>
        <v>0</v>
      </c>
      <c r="D391" s="38">
        <f>IFERROR(IPMT(Assumptions!$E$17,A391,180,Assumptions!$D$8), 0)</f>
        <v>0</v>
      </c>
      <c r="E391" s="2">
        <f t="shared" si="113"/>
        <v>0</v>
      </c>
      <c r="F391" s="2">
        <f>IF(I390&gt;1, Assumptions!$E$19, 0)*-1</f>
        <v>0</v>
      </c>
      <c r="G391" s="24">
        <f t="shared" si="108"/>
        <v>1</v>
      </c>
      <c r="H391" s="20">
        <f t="shared" si="114"/>
        <v>339999.99999999988</v>
      </c>
      <c r="I391" s="2">
        <f>MAX(Assumptions!$D$8-SUM(Model_15y!H391), 0)</f>
        <v>1.1641532182693481E-10</v>
      </c>
      <c r="J391" s="2">
        <f>J390*(1+(Assumptions!$E$51))</f>
        <v>2066690.175240725</v>
      </c>
      <c r="K391" s="22">
        <f t="shared" si="103"/>
        <v>2066690.1752407248</v>
      </c>
      <c r="L391" s="5">
        <f t="shared" si="115"/>
        <v>425000</v>
      </c>
      <c r="M391" s="63">
        <f>L391/Assumptions!$D$6</f>
        <v>1</v>
      </c>
      <c r="N391" s="24">
        <f t="shared" si="102"/>
        <v>0</v>
      </c>
      <c r="O391" s="22">
        <f>N391*Assumptions!$E$25*-1</f>
        <v>0</v>
      </c>
      <c r="P391" s="5">
        <f>Assumptions!$E$35*J391*-1</f>
        <v>-4257.0433814884955</v>
      </c>
      <c r="Q391" s="5">
        <f>J391*Assumptions!$E$36*-1</f>
        <v>-1714.3982709069305</v>
      </c>
      <c r="R391" s="5">
        <f>R379+R379*Assumptions!$D$51</f>
        <v>-1548.2088988404546</v>
      </c>
      <c r="S391" s="5">
        <f>S379+(S379*Assumptions!$D$51)</f>
        <v>0</v>
      </c>
      <c r="T391" s="5">
        <f t="shared" si="109"/>
        <v>0</v>
      </c>
      <c r="U391" s="22">
        <f t="shared" si="104"/>
        <v>-7519.6505512358808</v>
      </c>
      <c r="V391" s="5">
        <f>MAX(Assumptions!$E$18:$E$19)-U391</f>
        <v>10361.283563034578</v>
      </c>
      <c r="W391" s="5">
        <f t="shared" si="105"/>
        <v>0</v>
      </c>
      <c r="X391" s="5">
        <f t="shared" si="110"/>
        <v>-7519.6505512358808</v>
      </c>
      <c r="Y391" s="5">
        <f>D391*Assumptions!$D$44*-1</f>
        <v>0</v>
      </c>
      <c r="Z391" s="5">
        <f t="shared" si="106"/>
        <v>2841.6330117986972</v>
      </c>
      <c r="AA391" s="5">
        <f t="shared" si="116"/>
        <v>1537661.4397447889</v>
      </c>
      <c r="AB391" s="3">
        <f>Assumptions!$E$45</f>
        <v>6.9899151946608562E-3</v>
      </c>
      <c r="AC391" s="5">
        <f t="shared" si="117"/>
        <v>1551251.1958185036</v>
      </c>
      <c r="AD391" s="4">
        <f>AC391*Assumptions!$E$43</f>
        <v>1389.262564477498</v>
      </c>
      <c r="AE391" s="2">
        <f>AD391*Assumptions!$D$44*-1</f>
        <v>-208.3893846716247</v>
      </c>
      <c r="AF391" s="2">
        <f>AC391*Assumptions!$E$46*-1</f>
        <v>-51.698895747581076</v>
      </c>
      <c r="AG391" s="5">
        <f t="shared" si="118"/>
        <v>1550991.1075380845</v>
      </c>
      <c r="AH391" s="20">
        <f>Model_30y[[#This Row],[Mortgage Payment]]+Model_30y[[#This Row],[Total Upkeep]]+Model_30y[[#This Row],[Monthly Investment]]</f>
        <v>-4678.0175394371836</v>
      </c>
      <c r="AI391" s="5">
        <f>Model_Renter!D391*-1</f>
        <v>8923.9886710457504</v>
      </c>
      <c r="AJ391" s="5">
        <f t="shared" si="111"/>
        <v>4245.9711316085668</v>
      </c>
    </row>
    <row r="392" spans="1:36" x14ac:dyDescent="0.25">
      <c r="A392" s="17">
        <f t="shared" si="112"/>
        <v>390</v>
      </c>
      <c r="B392" s="17">
        <f t="shared" si="107"/>
        <v>33</v>
      </c>
      <c r="C392" s="23">
        <f>IFERROR(PPMT(Assumptions!$E$17, A392, 180, Assumptions!$D$8), 0)</f>
        <v>0</v>
      </c>
      <c r="D392" s="38">
        <f>IFERROR(IPMT(Assumptions!$E$17,A392,180,Assumptions!$D$8), 0)</f>
        <v>0</v>
      </c>
      <c r="E392" s="2">
        <f t="shared" si="113"/>
        <v>0</v>
      </c>
      <c r="F392" s="2">
        <f>IF(I391&gt;1, Assumptions!$E$19, 0)*-1</f>
        <v>0</v>
      </c>
      <c r="G392" s="24">
        <f t="shared" si="108"/>
        <v>1</v>
      </c>
      <c r="H392" s="20">
        <f t="shared" si="114"/>
        <v>339999.99999999988</v>
      </c>
      <c r="I392" s="2">
        <f>MAX(Assumptions!$D$8-SUM(Model_15y!H392), 0)</f>
        <v>1.1641532182693481E-10</v>
      </c>
      <c r="J392" s="2">
        <f>J391*(1+(Assumptions!$E$51))</f>
        <v>2075110.1268371057</v>
      </c>
      <c r="K392" s="22">
        <f t="shared" si="103"/>
        <v>2075110.1268371055</v>
      </c>
      <c r="L392" s="5">
        <f t="shared" si="115"/>
        <v>425000</v>
      </c>
      <c r="M392" s="63">
        <f>L392/Assumptions!$D$6</f>
        <v>1</v>
      </c>
      <c r="N392" s="24">
        <f t="shared" si="102"/>
        <v>0</v>
      </c>
      <c r="O392" s="22">
        <f>N392*Assumptions!$E$25*-1</f>
        <v>0</v>
      </c>
      <c r="P392" s="5">
        <f>Assumptions!$E$35*J392*-1</f>
        <v>-4274.3871031770404</v>
      </c>
      <c r="Q392" s="5">
        <f>J392*Assumptions!$E$36*-1</f>
        <v>-1721.3829416770782</v>
      </c>
      <c r="R392" s="5">
        <f>R380+R380*Assumptions!$D$51</f>
        <v>-1548.2088988404546</v>
      </c>
      <c r="S392" s="5">
        <f>S380+(S380*Assumptions!$D$51)</f>
        <v>0</v>
      </c>
      <c r="T392" s="5">
        <f t="shared" si="109"/>
        <v>0</v>
      </c>
      <c r="U392" s="22">
        <f t="shared" si="104"/>
        <v>-7543.978943694573</v>
      </c>
      <c r="V392" s="5">
        <f>MAX(Assumptions!$E$18:$E$19)-U392</f>
        <v>10385.61195549327</v>
      </c>
      <c r="W392" s="5">
        <f t="shared" si="105"/>
        <v>0</v>
      </c>
      <c r="X392" s="5">
        <f t="shared" si="110"/>
        <v>-7543.978943694573</v>
      </c>
      <c r="Y392" s="5">
        <f>D392*Assumptions!$D$44*-1</f>
        <v>0</v>
      </c>
      <c r="Z392" s="5">
        <f t="shared" si="106"/>
        <v>2841.6330117986972</v>
      </c>
      <c r="AA392" s="5">
        <f t="shared" si="116"/>
        <v>1550991.1075380845</v>
      </c>
      <c r="AB392" s="3">
        <f>Assumptions!$E$45</f>
        <v>6.9899151946608562E-3</v>
      </c>
      <c r="AC392" s="5">
        <f t="shared" si="117"/>
        <v>1564674.0368592474</v>
      </c>
      <c r="AD392" s="4">
        <f>AC392*Assumptions!$E$43</f>
        <v>1401.2837320466861</v>
      </c>
      <c r="AE392" s="2">
        <f>AD392*Assumptions!$D$44*-1</f>
        <v>-210.19255980700291</v>
      </c>
      <c r="AF392" s="2">
        <f>AC392*Assumptions!$E$46*-1</f>
        <v>-52.146241774757293</v>
      </c>
      <c r="AG392" s="5">
        <f t="shared" si="118"/>
        <v>1564411.6980576657</v>
      </c>
      <c r="AH392" s="20">
        <f>Model_30y[[#This Row],[Mortgage Payment]]+Model_30y[[#This Row],[Total Upkeep]]+Model_30y[[#This Row],[Monthly Investment]]</f>
        <v>-4702.3459318958758</v>
      </c>
      <c r="AI392" s="5">
        <f>Model_Renter!D392*-1</f>
        <v>8923.9886710457504</v>
      </c>
      <c r="AJ392" s="5">
        <f t="shared" si="111"/>
        <v>4221.6427391498746</v>
      </c>
    </row>
    <row r="393" spans="1:36" x14ac:dyDescent="0.25">
      <c r="A393" s="17">
        <f t="shared" si="112"/>
        <v>391</v>
      </c>
      <c r="B393" s="17">
        <f t="shared" si="107"/>
        <v>33</v>
      </c>
      <c r="C393" s="23">
        <f>IFERROR(PPMT(Assumptions!$E$17, A393, 180, Assumptions!$D$8), 0)</f>
        <v>0</v>
      </c>
      <c r="D393" s="38">
        <f>IFERROR(IPMT(Assumptions!$E$17,A393,180,Assumptions!$D$8), 0)</f>
        <v>0</v>
      </c>
      <c r="E393" s="2">
        <f t="shared" si="113"/>
        <v>0</v>
      </c>
      <c r="F393" s="2">
        <f>IF(I392&gt;1, Assumptions!$E$19, 0)*-1</f>
        <v>0</v>
      </c>
      <c r="G393" s="24">
        <f t="shared" si="108"/>
        <v>1</v>
      </c>
      <c r="H393" s="20">
        <f t="shared" si="114"/>
        <v>339999.99999999988</v>
      </c>
      <c r="I393" s="2">
        <f>MAX(Assumptions!$D$8-SUM(Model_15y!H393), 0)</f>
        <v>1.1641532182693481E-10</v>
      </c>
      <c r="J393" s="2">
        <f>J392*(1+(Assumptions!$E$51))</f>
        <v>2083564.3823585424</v>
      </c>
      <c r="K393" s="22">
        <f t="shared" si="103"/>
        <v>2083564.3823585422</v>
      </c>
      <c r="L393" s="5">
        <f t="shared" si="115"/>
        <v>425000</v>
      </c>
      <c r="M393" s="63">
        <f>L393/Assumptions!$D$6</f>
        <v>1</v>
      </c>
      <c r="N393" s="24">
        <f t="shared" si="102"/>
        <v>0</v>
      </c>
      <c r="O393" s="22">
        <f>N393*Assumptions!$E$25*-1</f>
        <v>0</v>
      </c>
      <c r="P393" s="5">
        <f>Assumptions!$E$35*J393*-1</f>
        <v>-4291.801485334614</v>
      </c>
      <c r="Q393" s="5">
        <f>J393*Assumptions!$E$36*-1</f>
        <v>-1728.3960688605314</v>
      </c>
      <c r="R393" s="5">
        <f>R381+R381*Assumptions!$D$51</f>
        <v>-1548.2088988404546</v>
      </c>
      <c r="S393" s="5">
        <f>S381+(S381*Assumptions!$D$51)</f>
        <v>0</v>
      </c>
      <c r="T393" s="5">
        <f t="shared" si="109"/>
        <v>0</v>
      </c>
      <c r="U393" s="22">
        <f t="shared" si="104"/>
        <v>-7568.4064530356</v>
      </c>
      <c r="V393" s="5">
        <f>MAX(Assumptions!$E$18:$E$19)-U393</f>
        <v>10410.039464834297</v>
      </c>
      <c r="W393" s="5">
        <f t="shared" si="105"/>
        <v>0</v>
      </c>
      <c r="X393" s="5">
        <f t="shared" si="110"/>
        <v>-7568.4064530356</v>
      </c>
      <c r="Y393" s="5">
        <f>D393*Assumptions!$D$44*-1</f>
        <v>0</v>
      </c>
      <c r="Z393" s="5">
        <f t="shared" si="106"/>
        <v>2841.6330117986972</v>
      </c>
      <c r="AA393" s="5">
        <f t="shared" si="116"/>
        <v>1564411.6980576657</v>
      </c>
      <c r="AB393" s="3">
        <f>Assumptions!$E$45</f>
        <v>6.9899151946608562E-3</v>
      </c>
      <c r="AC393" s="5">
        <f t="shared" si="117"/>
        <v>1578188.4361684227</v>
      </c>
      <c r="AD393" s="4">
        <f>AC393*Assumptions!$E$43</f>
        <v>1413.3868969578539</v>
      </c>
      <c r="AE393" s="2">
        <f>AD393*Assumptions!$D$44*-1</f>
        <v>-212.00803454367806</v>
      </c>
      <c r="AF393" s="2">
        <f>AC393*Assumptions!$E$46*-1</f>
        <v>-52.596639184834764</v>
      </c>
      <c r="AG393" s="5">
        <f t="shared" si="118"/>
        <v>1577923.8314946941</v>
      </c>
      <c r="AH393" s="20">
        <f>Model_30y[[#This Row],[Mortgage Payment]]+Model_30y[[#This Row],[Total Upkeep]]+Model_30y[[#This Row],[Monthly Investment]]</f>
        <v>-4726.7734412369027</v>
      </c>
      <c r="AI393" s="5">
        <f>Model_Renter!D393*-1</f>
        <v>8923.9886710457504</v>
      </c>
      <c r="AJ393" s="5">
        <f t="shared" si="111"/>
        <v>4197.2152298088477</v>
      </c>
    </row>
    <row r="394" spans="1:36" x14ac:dyDescent="0.25">
      <c r="A394" s="17">
        <f t="shared" si="112"/>
        <v>392</v>
      </c>
      <c r="B394" s="17">
        <f t="shared" si="107"/>
        <v>33</v>
      </c>
      <c r="C394" s="23">
        <f>IFERROR(PPMT(Assumptions!$E$17, A394, 180, Assumptions!$D$8), 0)</f>
        <v>0</v>
      </c>
      <c r="D394" s="38">
        <f>IFERROR(IPMT(Assumptions!$E$17,A394,180,Assumptions!$D$8), 0)</f>
        <v>0</v>
      </c>
      <c r="E394" s="2">
        <f t="shared" si="113"/>
        <v>0</v>
      </c>
      <c r="F394" s="2">
        <f>IF(I393&gt;1, Assumptions!$E$19, 0)*-1</f>
        <v>0</v>
      </c>
      <c r="G394" s="24">
        <f t="shared" si="108"/>
        <v>1</v>
      </c>
      <c r="H394" s="20">
        <f t="shared" si="114"/>
        <v>339999.99999999988</v>
      </c>
      <c r="I394" s="2">
        <f>MAX(Assumptions!$D$8-SUM(Model_15y!H394), 0)</f>
        <v>1.1641532182693481E-10</v>
      </c>
      <c r="J394" s="2">
        <f>J393*(1+(Assumptions!$E$51))</f>
        <v>2092053.081563472</v>
      </c>
      <c r="K394" s="22">
        <f t="shared" si="103"/>
        <v>2092053.0815634718</v>
      </c>
      <c r="L394" s="5">
        <f t="shared" si="115"/>
        <v>425000</v>
      </c>
      <c r="M394" s="63">
        <f>L394/Assumptions!$D$6</f>
        <v>1</v>
      </c>
      <c r="N394" s="24">
        <f t="shared" si="102"/>
        <v>0</v>
      </c>
      <c r="O394" s="22">
        <f>N394*Assumptions!$E$25*-1</f>
        <v>0</v>
      </c>
      <c r="P394" s="5">
        <f>Assumptions!$E$35*J394*-1</f>
        <v>-4309.2868158407136</v>
      </c>
      <c r="Q394" s="5">
        <f>J394*Assumptions!$E$36*-1</f>
        <v>-1735.4377683922405</v>
      </c>
      <c r="R394" s="5">
        <f>R382+R382*Assumptions!$D$51</f>
        <v>-1548.2088988404546</v>
      </c>
      <c r="S394" s="5">
        <f>S382+(S382*Assumptions!$D$51)</f>
        <v>0</v>
      </c>
      <c r="T394" s="5">
        <f t="shared" si="109"/>
        <v>0</v>
      </c>
      <c r="U394" s="22">
        <f t="shared" si="104"/>
        <v>-7592.9334830734088</v>
      </c>
      <c r="V394" s="5">
        <f>MAX(Assumptions!$E$18:$E$19)-U394</f>
        <v>10434.566494872106</v>
      </c>
      <c r="W394" s="5">
        <f t="shared" si="105"/>
        <v>0</v>
      </c>
      <c r="X394" s="5">
        <f t="shared" si="110"/>
        <v>-7592.9334830734088</v>
      </c>
      <c r="Y394" s="5">
        <f>D394*Assumptions!$D$44*-1</f>
        <v>0</v>
      </c>
      <c r="Z394" s="5">
        <f t="shared" si="106"/>
        <v>2841.6330117986972</v>
      </c>
      <c r="AA394" s="5">
        <f t="shared" si="116"/>
        <v>1577923.8314946941</v>
      </c>
      <c r="AB394" s="3">
        <f>Assumptions!$E$45</f>
        <v>6.9899151946608562E-3</v>
      </c>
      <c r="AC394" s="5">
        <f t="shared" si="117"/>
        <v>1591795.0182722749</v>
      </c>
      <c r="AD394" s="4">
        <f>AC394*Assumptions!$E$43</f>
        <v>1425.572618521406</v>
      </c>
      <c r="AE394" s="2">
        <f>AD394*Assumptions!$D$44*-1</f>
        <v>-213.83589277821088</v>
      </c>
      <c r="AF394" s="2">
        <f>AC394*Assumptions!$E$46*-1</f>
        <v>-53.050108791539429</v>
      </c>
      <c r="AG394" s="5">
        <f t="shared" si="118"/>
        <v>1591528.1322707052</v>
      </c>
      <c r="AH394" s="20">
        <f>Model_30y[[#This Row],[Mortgage Payment]]+Model_30y[[#This Row],[Total Upkeep]]+Model_30y[[#This Row],[Monthly Investment]]</f>
        <v>-4751.3004712747115</v>
      </c>
      <c r="AI394" s="5">
        <f>Model_Renter!D394*-1</f>
        <v>8923.9886710457504</v>
      </c>
      <c r="AJ394" s="5">
        <f t="shared" si="111"/>
        <v>4172.6881997710389</v>
      </c>
    </row>
    <row r="395" spans="1:36" x14ac:dyDescent="0.25">
      <c r="A395" s="17">
        <f t="shared" si="112"/>
        <v>393</v>
      </c>
      <c r="B395" s="17">
        <f t="shared" si="107"/>
        <v>33</v>
      </c>
      <c r="C395" s="23">
        <f>IFERROR(PPMT(Assumptions!$E$17, A395, 180, Assumptions!$D$8), 0)</f>
        <v>0</v>
      </c>
      <c r="D395" s="38">
        <f>IFERROR(IPMT(Assumptions!$E$17,A395,180,Assumptions!$D$8), 0)</f>
        <v>0</v>
      </c>
      <c r="E395" s="2">
        <f t="shared" si="113"/>
        <v>0</v>
      </c>
      <c r="F395" s="2">
        <f>IF(I394&gt;1, Assumptions!$E$19, 0)*-1</f>
        <v>0</v>
      </c>
      <c r="G395" s="24">
        <f t="shared" si="108"/>
        <v>1</v>
      </c>
      <c r="H395" s="20">
        <f t="shared" si="114"/>
        <v>339999.99999999988</v>
      </c>
      <c r="I395" s="2">
        <f>MAX(Assumptions!$D$8-SUM(Model_15y!H395), 0)</f>
        <v>1.1641532182693481E-10</v>
      </c>
      <c r="J395" s="2">
        <f>J394*(1+(Assumptions!$E$51))</f>
        <v>2100576.3647797247</v>
      </c>
      <c r="K395" s="22">
        <f t="shared" si="103"/>
        <v>2100576.3647797247</v>
      </c>
      <c r="L395" s="5">
        <f t="shared" si="115"/>
        <v>425000</v>
      </c>
      <c r="M395" s="63">
        <f>L395/Assumptions!$D$6</f>
        <v>1</v>
      </c>
      <c r="N395" s="24">
        <f t="shared" si="102"/>
        <v>0</v>
      </c>
      <c r="O395" s="22">
        <f>N395*Assumptions!$E$25*-1</f>
        <v>0</v>
      </c>
      <c r="P395" s="5">
        <f>Assumptions!$E$35*J395*-1</f>
        <v>-4326.8433837476923</v>
      </c>
      <c r="Q395" s="5">
        <f>J395*Assumptions!$E$36*-1</f>
        <v>-1742.508156679489</v>
      </c>
      <c r="R395" s="5">
        <f>R383+R383*Assumptions!$D$51</f>
        <v>-1548.2088988404546</v>
      </c>
      <c r="S395" s="5">
        <f>S383+(S383*Assumptions!$D$51)</f>
        <v>0</v>
      </c>
      <c r="T395" s="5">
        <f t="shared" si="109"/>
        <v>0</v>
      </c>
      <c r="U395" s="22">
        <f t="shared" si="104"/>
        <v>-7617.560439267636</v>
      </c>
      <c r="V395" s="5">
        <f>MAX(Assumptions!$E$18:$E$19)-U395</f>
        <v>10459.193451066332</v>
      </c>
      <c r="W395" s="5">
        <f t="shared" si="105"/>
        <v>0</v>
      </c>
      <c r="X395" s="5">
        <f t="shared" si="110"/>
        <v>-7617.560439267636</v>
      </c>
      <c r="Y395" s="5">
        <f>D395*Assumptions!$D$44*-1</f>
        <v>0</v>
      </c>
      <c r="Z395" s="5">
        <f t="shared" si="106"/>
        <v>2841.6330117986963</v>
      </c>
      <c r="AA395" s="5">
        <f t="shared" si="116"/>
        <v>1591528.1322707052</v>
      </c>
      <c r="AB395" s="3">
        <f>Assumptions!$E$45</f>
        <v>6.9899151946608562E-3</v>
      </c>
      <c r="AC395" s="5">
        <f t="shared" si="117"/>
        <v>1605494.4119569929</v>
      </c>
      <c r="AD395" s="4">
        <f>AC395*Assumptions!$E$43</f>
        <v>1437.8414598628472</v>
      </c>
      <c r="AE395" s="2">
        <f>AD395*Assumptions!$D$44*-1</f>
        <v>-215.67621897942706</v>
      </c>
      <c r="AF395" s="2">
        <f>AC395*Assumptions!$E$46*-1</f>
        <v>-53.506671550569315</v>
      </c>
      <c r="AG395" s="5">
        <f t="shared" si="118"/>
        <v>1605225.229066463</v>
      </c>
      <c r="AH395" s="20">
        <f>Model_30y[[#This Row],[Mortgage Payment]]+Model_30y[[#This Row],[Total Upkeep]]+Model_30y[[#This Row],[Monthly Investment]]</f>
        <v>-4775.9274274689396</v>
      </c>
      <c r="AI395" s="5">
        <f>Model_Renter!D395*-1</f>
        <v>8923.9886710457504</v>
      </c>
      <c r="AJ395" s="5">
        <f t="shared" si="111"/>
        <v>4148.0612435768107</v>
      </c>
    </row>
    <row r="396" spans="1:36" x14ac:dyDescent="0.25">
      <c r="A396" s="17">
        <f t="shared" si="112"/>
        <v>394</v>
      </c>
      <c r="B396" s="17">
        <f t="shared" si="107"/>
        <v>33</v>
      </c>
      <c r="C396" s="23">
        <f>IFERROR(PPMT(Assumptions!$E$17, A396, 180, Assumptions!$D$8), 0)</f>
        <v>0</v>
      </c>
      <c r="D396" s="38">
        <f>IFERROR(IPMT(Assumptions!$E$17,A396,180,Assumptions!$D$8), 0)</f>
        <v>0</v>
      </c>
      <c r="E396" s="2">
        <f t="shared" si="113"/>
        <v>0</v>
      </c>
      <c r="F396" s="2">
        <f>IF(I395&gt;1, Assumptions!$E$19, 0)*-1</f>
        <v>0</v>
      </c>
      <c r="G396" s="24">
        <f t="shared" si="108"/>
        <v>1</v>
      </c>
      <c r="H396" s="20">
        <f t="shared" si="114"/>
        <v>339999.99999999988</v>
      </c>
      <c r="I396" s="2">
        <f>MAX(Assumptions!$D$8-SUM(Model_15y!H396), 0)</f>
        <v>1.1641532182693481E-10</v>
      </c>
      <c r="J396" s="2">
        <f>J395*(1+(Assumptions!$E$51))</f>
        <v>2109134.3729068432</v>
      </c>
      <c r="K396" s="22">
        <f t="shared" si="103"/>
        <v>2109134.3729068432</v>
      </c>
      <c r="L396" s="5">
        <f t="shared" si="115"/>
        <v>425000</v>
      </c>
      <c r="M396" s="63">
        <f>L396/Assumptions!$D$6</f>
        <v>1</v>
      </c>
      <c r="N396" s="24">
        <f t="shared" si="102"/>
        <v>0</v>
      </c>
      <c r="O396" s="22">
        <f>N396*Assumptions!$E$25*-1</f>
        <v>0</v>
      </c>
      <c r="P396" s="5">
        <f>Assumptions!$E$35*J396*-1</f>
        <v>-4344.4714792855402</v>
      </c>
      <c r="Q396" s="5">
        <f>J396*Assumptions!$E$36*-1</f>
        <v>-1749.6073506038181</v>
      </c>
      <c r="R396" s="5">
        <f>R384+R384*Assumptions!$D$51</f>
        <v>-1548.2088988404546</v>
      </c>
      <c r="S396" s="5">
        <f>S384+(S384*Assumptions!$D$51)</f>
        <v>0</v>
      </c>
      <c r="T396" s="5">
        <f t="shared" si="109"/>
        <v>0</v>
      </c>
      <c r="U396" s="22">
        <f t="shared" si="104"/>
        <v>-7642.2877287298134</v>
      </c>
      <c r="V396" s="5">
        <f>MAX(Assumptions!$E$18:$E$19)-U396</f>
        <v>10483.920740528511</v>
      </c>
      <c r="W396" s="5">
        <f t="shared" si="105"/>
        <v>0</v>
      </c>
      <c r="X396" s="5">
        <f t="shared" si="110"/>
        <v>-7642.2877287298134</v>
      </c>
      <c r="Y396" s="5">
        <f>D396*Assumptions!$D$44*-1</f>
        <v>0</v>
      </c>
      <c r="Z396" s="5">
        <f t="shared" si="106"/>
        <v>2841.6330117986972</v>
      </c>
      <c r="AA396" s="5">
        <f t="shared" si="116"/>
        <v>1605225.229066463</v>
      </c>
      <c r="AB396" s="3">
        <f>Assumptions!$E$45</f>
        <v>6.9899151946608562E-3</v>
      </c>
      <c r="AC396" s="5">
        <f t="shared" si="117"/>
        <v>1619287.2502977662</v>
      </c>
      <c r="AD396" s="4">
        <f>AC396*Assumptions!$E$43</f>
        <v>1450.1939879488066</v>
      </c>
      <c r="AE396" s="2">
        <f>AD396*Assumptions!$D$44*-1</f>
        <v>-217.52909819232099</v>
      </c>
      <c r="AF396" s="2">
        <f>AC396*Assumptions!$E$46*-1</f>
        <v>-53.966348560562935</v>
      </c>
      <c r="AG396" s="5">
        <f t="shared" si="118"/>
        <v>1619015.7548510132</v>
      </c>
      <c r="AH396" s="20">
        <f>Model_30y[[#This Row],[Mortgage Payment]]+Model_30y[[#This Row],[Total Upkeep]]+Model_30y[[#This Row],[Monthly Investment]]</f>
        <v>-4800.6547169311161</v>
      </c>
      <c r="AI396" s="5">
        <f>Model_Renter!D396*-1</f>
        <v>8923.9886710457504</v>
      </c>
      <c r="AJ396" s="5">
        <f t="shared" si="111"/>
        <v>4123.3339541146343</v>
      </c>
    </row>
    <row r="397" spans="1:36" x14ac:dyDescent="0.25">
      <c r="A397" s="17">
        <f t="shared" si="112"/>
        <v>395</v>
      </c>
      <c r="B397" s="17">
        <f t="shared" si="107"/>
        <v>33</v>
      </c>
      <c r="C397" s="23">
        <f>IFERROR(PPMT(Assumptions!$E$17, A397, 180, Assumptions!$D$8), 0)</f>
        <v>0</v>
      </c>
      <c r="D397" s="38">
        <f>IFERROR(IPMT(Assumptions!$E$17,A397,180,Assumptions!$D$8), 0)</f>
        <v>0</v>
      </c>
      <c r="E397" s="2">
        <f t="shared" si="113"/>
        <v>0</v>
      </c>
      <c r="F397" s="2">
        <f>IF(I396&gt;1, Assumptions!$E$19, 0)*-1</f>
        <v>0</v>
      </c>
      <c r="G397" s="24">
        <f t="shared" si="108"/>
        <v>1</v>
      </c>
      <c r="H397" s="20">
        <f t="shared" si="114"/>
        <v>339999.99999999988</v>
      </c>
      <c r="I397" s="2">
        <f>MAX(Assumptions!$D$8-SUM(Model_15y!H397), 0)</f>
        <v>1.1641532182693481E-10</v>
      </c>
      <c r="J397" s="2">
        <f>J396*(1+(Assumptions!$E$51))</f>
        <v>2117727.2474184134</v>
      </c>
      <c r="K397" s="22">
        <f t="shared" si="103"/>
        <v>2117727.2474184134</v>
      </c>
      <c r="L397" s="5">
        <f t="shared" si="115"/>
        <v>425000</v>
      </c>
      <c r="M397" s="63">
        <f>L397/Assumptions!$D$6</f>
        <v>1</v>
      </c>
      <c r="N397" s="24">
        <f t="shared" si="102"/>
        <v>0</v>
      </c>
      <c r="O397" s="22">
        <f>N397*Assumptions!$E$25*-1</f>
        <v>0</v>
      </c>
      <c r="P397" s="5">
        <f>Assumptions!$E$35*J397*-1</f>
        <v>-4362.1713938666799</v>
      </c>
      <c r="Q397" s="5">
        <f>J397*Assumptions!$E$36*-1</f>
        <v>-1756.7354675229592</v>
      </c>
      <c r="R397" s="5">
        <f>R385+R385*Assumptions!$D$51</f>
        <v>-1548.2088988404546</v>
      </c>
      <c r="S397" s="5">
        <f>S385+(S385*Assumptions!$D$51)</f>
        <v>0</v>
      </c>
      <c r="T397" s="5">
        <f t="shared" si="109"/>
        <v>0</v>
      </c>
      <c r="U397" s="22">
        <f t="shared" si="104"/>
        <v>-7667.1157602300937</v>
      </c>
      <c r="V397" s="5">
        <f>MAX(Assumptions!$E$18:$E$19)-U397</f>
        <v>10508.74877202879</v>
      </c>
      <c r="W397" s="5">
        <f t="shared" si="105"/>
        <v>0</v>
      </c>
      <c r="X397" s="5">
        <f t="shared" si="110"/>
        <v>-7667.1157602300937</v>
      </c>
      <c r="Y397" s="5">
        <f>D397*Assumptions!$D$44*-1</f>
        <v>0</v>
      </c>
      <c r="Z397" s="5">
        <f t="shared" si="106"/>
        <v>2841.6330117986963</v>
      </c>
      <c r="AA397" s="5">
        <f t="shared" si="116"/>
        <v>1619015.7548510132</v>
      </c>
      <c r="AB397" s="3">
        <f>Assumptions!$E$45</f>
        <v>6.9899151946608562E-3</v>
      </c>
      <c r="AC397" s="5">
        <f t="shared" si="117"/>
        <v>1633174.1706880403</v>
      </c>
      <c r="AD397" s="4">
        <f>AC397*Assumptions!$E$43</f>
        <v>1462.6307736132376</v>
      </c>
      <c r="AE397" s="2">
        <f>AD397*Assumptions!$D$44*-1</f>
        <v>-219.39461604198564</v>
      </c>
      <c r="AF397" s="2">
        <f>AC397*Assumptions!$E$46*-1</f>
        <v>-54.429161064074286</v>
      </c>
      <c r="AG397" s="5">
        <f t="shared" si="118"/>
        <v>1632900.3469109342</v>
      </c>
      <c r="AH397" s="20">
        <f>Model_30y[[#This Row],[Mortgage Payment]]+Model_30y[[#This Row],[Total Upkeep]]+Model_30y[[#This Row],[Monthly Investment]]</f>
        <v>-4825.4827484313973</v>
      </c>
      <c r="AI397" s="5">
        <f>Model_Renter!D397*-1</f>
        <v>8923.9886710457504</v>
      </c>
      <c r="AJ397" s="5">
        <f t="shared" si="111"/>
        <v>4098.505922614353</v>
      </c>
    </row>
    <row r="398" spans="1:36" x14ac:dyDescent="0.25">
      <c r="A398" s="17">
        <f t="shared" si="112"/>
        <v>396</v>
      </c>
      <c r="B398" s="17">
        <f t="shared" si="107"/>
        <v>33</v>
      </c>
      <c r="C398" s="23">
        <f>IFERROR(PPMT(Assumptions!$E$17, A398, 180, Assumptions!$D$8), 0)</f>
        <v>0</v>
      </c>
      <c r="D398" s="38">
        <f>IFERROR(IPMT(Assumptions!$E$17,A398,180,Assumptions!$D$8), 0)</f>
        <v>0</v>
      </c>
      <c r="E398" s="2">
        <f t="shared" si="113"/>
        <v>0</v>
      </c>
      <c r="F398" s="2">
        <f>IF(I397&gt;1, Assumptions!$E$19, 0)*-1</f>
        <v>0</v>
      </c>
      <c r="G398" s="24">
        <f t="shared" si="108"/>
        <v>1</v>
      </c>
      <c r="H398" s="20">
        <f t="shared" si="114"/>
        <v>339999.99999999988</v>
      </c>
      <c r="I398" s="2">
        <f>MAX(Assumptions!$D$8-SUM(Model_15y!H398), 0)</f>
        <v>1.1641532182693481E-10</v>
      </c>
      <c r="J398" s="2">
        <f>J397*(1+(Assumptions!$E$51))</f>
        <v>2126355.1303644008</v>
      </c>
      <c r="K398" s="22">
        <f t="shared" si="103"/>
        <v>2126355.1303644008</v>
      </c>
      <c r="L398" s="5">
        <f t="shared" si="115"/>
        <v>425000</v>
      </c>
      <c r="M398" s="63">
        <f>L398/Assumptions!$D$6</f>
        <v>1</v>
      </c>
      <c r="N398" s="24">
        <f t="shared" si="102"/>
        <v>0</v>
      </c>
      <c r="O398" s="22">
        <f>N398*Assumptions!$E$25*-1</f>
        <v>0</v>
      </c>
      <c r="P398" s="5">
        <f>Assumptions!$E$35*J398*-1</f>
        <v>-4379.9434200907826</v>
      </c>
      <c r="Q398" s="5">
        <f>J398*Assumptions!$E$36*-1</f>
        <v>-1763.8926252727729</v>
      </c>
      <c r="R398" s="5">
        <f>R386+R386*Assumptions!$D$51</f>
        <v>-1548.2088988404546</v>
      </c>
      <c r="S398" s="5">
        <f>S386+(S386*Assumptions!$D$51)</f>
        <v>0</v>
      </c>
      <c r="T398" s="5">
        <f t="shared" si="109"/>
        <v>0</v>
      </c>
      <c r="U398" s="22">
        <f t="shared" si="104"/>
        <v>-7692.0449442040108</v>
      </c>
      <c r="V398" s="5">
        <f>MAX(Assumptions!$E$18:$E$19)-U398</f>
        <v>10533.677956002708</v>
      </c>
      <c r="W398" s="5">
        <f t="shared" si="105"/>
        <v>0</v>
      </c>
      <c r="X398" s="5">
        <f t="shared" si="110"/>
        <v>-7692.0449442040108</v>
      </c>
      <c r="Y398" s="5">
        <f>D398*Assumptions!$D$44*-1</f>
        <v>0</v>
      </c>
      <c r="Z398" s="5">
        <f t="shared" si="106"/>
        <v>2841.6330117986972</v>
      </c>
      <c r="AA398" s="5">
        <f t="shared" si="116"/>
        <v>1632900.3469109342</v>
      </c>
      <c r="AB398" s="3">
        <f>Assumptions!$E$45</f>
        <v>6.9899151946608562E-3</v>
      </c>
      <c r="AC398" s="5">
        <f t="shared" si="117"/>
        <v>1647155.8148689726</v>
      </c>
      <c r="AD398" s="4">
        <f>AC398*Assumptions!$E$43</f>
        <v>1475.1523915837977</v>
      </c>
      <c r="AE398" s="2">
        <f>AD398*Assumptions!$D$44*-1</f>
        <v>-221.27285873756963</v>
      </c>
      <c r="AF398" s="2">
        <f>AC398*Assumptions!$E$46*-1</f>
        <v>-54.895130448554532</v>
      </c>
      <c r="AG398" s="5">
        <f t="shared" si="118"/>
        <v>1646879.6468797866</v>
      </c>
      <c r="AH398" s="20">
        <f>Model_30y[[#This Row],[Mortgage Payment]]+Model_30y[[#This Row],[Total Upkeep]]+Model_30y[[#This Row],[Monthly Investment]]</f>
        <v>-4850.4119324053136</v>
      </c>
      <c r="AI398" s="5">
        <f>Model_Renter!D398*-1</f>
        <v>8923.9886710457504</v>
      </c>
      <c r="AJ398" s="5">
        <f t="shared" si="111"/>
        <v>4073.5767386404368</v>
      </c>
    </row>
    <row r="399" spans="1:36" x14ac:dyDescent="0.25">
      <c r="A399" s="17">
        <f t="shared" si="112"/>
        <v>397</v>
      </c>
      <c r="B399" s="17">
        <f t="shared" si="107"/>
        <v>34</v>
      </c>
      <c r="C399" s="23">
        <f>IFERROR(PPMT(Assumptions!$E$17, A399, 180, Assumptions!$D$8), 0)</f>
        <v>0</v>
      </c>
      <c r="D399" s="38">
        <f>IFERROR(IPMT(Assumptions!$E$17,A399,180,Assumptions!$D$8), 0)</f>
        <v>0</v>
      </c>
      <c r="E399" s="2">
        <f t="shared" si="113"/>
        <v>0</v>
      </c>
      <c r="F399" s="2">
        <f>IF(I398&gt;1, Assumptions!$E$19, 0)*-1</f>
        <v>0</v>
      </c>
      <c r="G399" s="24">
        <f t="shared" si="108"/>
        <v>1</v>
      </c>
      <c r="H399" s="20">
        <f t="shared" si="114"/>
        <v>339999.99999999988</v>
      </c>
      <c r="I399" s="2">
        <f>MAX(Assumptions!$D$8-SUM(Model_15y!H399), 0)</f>
        <v>1.1641532182693481E-10</v>
      </c>
      <c r="J399" s="2">
        <f>J398*(1+(Assumptions!$E$51))</f>
        <v>2135018.1643735012</v>
      </c>
      <c r="K399" s="22">
        <f t="shared" si="103"/>
        <v>2135018.1643735012</v>
      </c>
      <c r="L399" s="5">
        <f t="shared" si="115"/>
        <v>425000</v>
      </c>
      <c r="M399" s="63">
        <f>L399/Assumptions!$D$6</f>
        <v>1</v>
      </c>
      <c r="N399" s="24">
        <f t="shared" si="102"/>
        <v>0</v>
      </c>
      <c r="O399" s="22">
        <f>N399*Assumptions!$E$25*-1</f>
        <v>0</v>
      </c>
      <c r="P399" s="5">
        <f>Assumptions!$E$35*J399*-1</f>
        <v>-4397.7878517496083</v>
      </c>
      <c r="Q399" s="5">
        <f>J399*Assumptions!$E$36*-1</f>
        <v>-1771.0789421691989</v>
      </c>
      <c r="R399" s="5">
        <f>R387+R387*Assumptions!$D$51</f>
        <v>-1625.6193437824772</v>
      </c>
      <c r="S399" s="5">
        <f>S387+(S387*Assumptions!$D$51)</f>
        <v>0</v>
      </c>
      <c r="T399" s="5">
        <f t="shared" si="109"/>
        <v>0</v>
      </c>
      <c r="U399" s="22">
        <f t="shared" si="104"/>
        <v>-7794.486137701284</v>
      </c>
      <c r="V399" s="5">
        <f>MAX(Assumptions!$E$18:$E$19)-U399</f>
        <v>10636.11914949998</v>
      </c>
      <c r="W399" s="5">
        <f t="shared" si="105"/>
        <v>0</v>
      </c>
      <c r="X399" s="5">
        <f t="shared" si="110"/>
        <v>-7794.486137701284</v>
      </c>
      <c r="Y399" s="5">
        <f>D399*Assumptions!$D$44*-1</f>
        <v>0</v>
      </c>
      <c r="Z399" s="5">
        <f t="shared" si="106"/>
        <v>2841.6330117986963</v>
      </c>
      <c r="AA399" s="5">
        <f t="shared" si="116"/>
        <v>1646879.6468797866</v>
      </c>
      <c r="AB399" s="3">
        <f>Assumptions!$E$45</f>
        <v>6.9899151946608562E-3</v>
      </c>
      <c r="AC399" s="5">
        <f t="shared" si="117"/>
        <v>1661232.8289590881</v>
      </c>
      <c r="AD399" s="4">
        <f>AC399*Assumptions!$E$43</f>
        <v>1487.7594205084076</v>
      </c>
      <c r="AE399" s="2">
        <f>AD399*Assumptions!$D$44*-1</f>
        <v>-223.16391307626114</v>
      </c>
      <c r="AF399" s="2">
        <f>AC399*Assumptions!$E$46*-1</f>
        <v>-55.364278247340344</v>
      </c>
      <c r="AG399" s="5">
        <f t="shared" si="118"/>
        <v>1660954.3007677644</v>
      </c>
      <c r="AH399" s="20">
        <f>Model_30y[[#This Row],[Mortgage Payment]]+Model_30y[[#This Row],[Total Upkeep]]+Model_30y[[#This Row],[Monthly Investment]]</f>
        <v>-4952.8531259025876</v>
      </c>
      <c r="AI399" s="5">
        <f>Model_Renter!D399*-1</f>
        <v>9257.7458473428615</v>
      </c>
      <c r="AJ399" s="5">
        <f t="shared" si="111"/>
        <v>4304.8927214402738</v>
      </c>
    </row>
    <row r="400" spans="1:36" x14ac:dyDescent="0.25">
      <c r="A400" s="17">
        <f t="shared" si="112"/>
        <v>398</v>
      </c>
      <c r="B400" s="17">
        <f t="shared" si="107"/>
        <v>34</v>
      </c>
      <c r="C400" s="23">
        <f>IFERROR(PPMT(Assumptions!$E$17, A400, 180, Assumptions!$D$8), 0)</f>
        <v>0</v>
      </c>
      <c r="D400" s="38">
        <f>IFERROR(IPMT(Assumptions!$E$17,A400,180,Assumptions!$D$8), 0)</f>
        <v>0</v>
      </c>
      <c r="E400" s="2">
        <f t="shared" si="113"/>
        <v>0</v>
      </c>
      <c r="F400" s="2">
        <f>IF(I399&gt;1, Assumptions!$E$19, 0)*-1</f>
        <v>0</v>
      </c>
      <c r="G400" s="24">
        <f t="shared" si="108"/>
        <v>1</v>
      </c>
      <c r="H400" s="20">
        <f t="shared" si="114"/>
        <v>339999.99999999988</v>
      </c>
      <c r="I400" s="2">
        <f>MAX(Assumptions!$D$8-SUM(Model_15y!H400), 0)</f>
        <v>1.1641532182693481E-10</v>
      </c>
      <c r="J400" s="2">
        <f>J399*(1+(Assumptions!$E$51))</f>
        <v>2143716.4926554966</v>
      </c>
      <c r="K400" s="22">
        <f t="shared" si="103"/>
        <v>2143716.4926554966</v>
      </c>
      <c r="L400" s="5">
        <f t="shared" si="115"/>
        <v>425000</v>
      </c>
      <c r="M400" s="63">
        <f>L400/Assumptions!$D$6</f>
        <v>1</v>
      </c>
      <c r="N400" s="24">
        <f t="shared" si="102"/>
        <v>0</v>
      </c>
      <c r="O400" s="22">
        <f>N400*Assumptions!$E$25*-1</f>
        <v>0</v>
      </c>
      <c r="P400" s="5">
        <f>Assumptions!$E$35*J400*-1</f>
        <v>-4415.7049838318617</v>
      </c>
      <c r="Q400" s="5">
        <f>J400*Assumptions!$E$36*-1</f>
        <v>-1778.2945370102091</v>
      </c>
      <c r="R400" s="5">
        <f>R388+R388*Assumptions!$D$51</f>
        <v>-1625.6193437824772</v>
      </c>
      <c r="S400" s="5">
        <f>S388+(S388*Assumptions!$D$51)</f>
        <v>0</v>
      </c>
      <c r="T400" s="5">
        <f t="shared" si="109"/>
        <v>0</v>
      </c>
      <c r="U400" s="22">
        <f t="shared" si="104"/>
        <v>-7819.6188646245482</v>
      </c>
      <c r="V400" s="5">
        <f>MAX(Assumptions!$E$18:$E$19)-U400</f>
        <v>10661.251876423245</v>
      </c>
      <c r="W400" s="5">
        <f t="shared" si="105"/>
        <v>0</v>
      </c>
      <c r="X400" s="5">
        <f t="shared" si="110"/>
        <v>-7819.6188646245482</v>
      </c>
      <c r="Y400" s="5">
        <f>D400*Assumptions!$D$44*-1</f>
        <v>0</v>
      </c>
      <c r="Z400" s="5">
        <f t="shared" si="106"/>
        <v>2841.6330117986963</v>
      </c>
      <c r="AA400" s="5">
        <f t="shared" si="116"/>
        <v>1660954.3007677644</v>
      </c>
      <c r="AB400" s="3">
        <f>Assumptions!$E$45</f>
        <v>6.9899151946608562E-3</v>
      </c>
      <c r="AC400" s="5">
        <f t="shared" si="117"/>
        <v>1675405.863484137</v>
      </c>
      <c r="AD400" s="4">
        <f>AC400*Assumptions!$E$43</f>
        <v>1500.4524429819912</v>
      </c>
      <c r="AE400" s="2">
        <f>AD400*Assumptions!$D$44*-1</f>
        <v>-225.06786644729868</v>
      </c>
      <c r="AF400" s="2">
        <f>AC400*Assumptions!$E$46*-1</f>
        <v>-55.836626140648981</v>
      </c>
      <c r="AG400" s="5">
        <f t="shared" si="118"/>
        <v>1675124.958991549</v>
      </c>
      <c r="AH400" s="20">
        <f>Model_30y[[#This Row],[Mortgage Payment]]+Model_30y[[#This Row],[Total Upkeep]]+Model_30y[[#This Row],[Monthly Investment]]</f>
        <v>-4977.9858528258519</v>
      </c>
      <c r="AI400" s="5">
        <f>Model_Renter!D400*-1</f>
        <v>9257.7458473428615</v>
      </c>
      <c r="AJ400" s="5">
        <f t="shared" si="111"/>
        <v>4279.7599945170095</v>
      </c>
    </row>
    <row r="401" spans="1:36" x14ac:dyDescent="0.25">
      <c r="A401" s="17">
        <f t="shared" si="112"/>
        <v>399</v>
      </c>
      <c r="B401" s="17">
        <f t="shared" si="107"/>
        <v>34</v>
      </c>
      <c r="C401" s="23">
        <f>IFERROR(PPMT(Assumptions!$E$17, A401, 180, Assumptions!$D$8), 0)</f>
        <v>0</v>
      </c>
      <c r="D401" s="38">
        <f>IFERROR(IPMT(Assumptions!$E$17,A401,180,Assumptions!$D$8), 0)</f>
        <v>0</v>
      </c>
      <c r="E401" s="2">
        <f t="shared" si="113"/>
        <v>0</v>
      </c>
      <c r="F401" s="2">
        <f>IF(I400&gt;1, Assumptions!$E$19, 0)*-1</f>
        <v>0</v>
      </c>
      <c r="G401" s="24">
        <f t="shared" si="108"/>
        <v>1</v>
      </c>
      <c r="H401" s="20">
        <f t="shared" si="114"/>
        <v>339999.99999999988</v>
      </c>
      <c r="I401" s="2">
        <f>MAX(Assumptions!$D$8-SUM(Model_15y!H401), 0)</f>
        <v>1.1641532182693481E-10</v>
      </c>
      <c r="J401" s="2">
        <f>J400*(1+(Assumptions!$E$51))</f>
        <v>2152450.2590036234</v>
      </c>
      <c r="K401" s="22">
        <f t="shared" si="103"/>
        <v>2152450.2590036234</v>
      </c>
      <c r="L401" s="5">
        <f t="shared" si="115"/>
        <v>425000</v>
      </c>
      <c r="M401" s="63">
        <f>L401/Assumptions!$D$6</f>
        <v>1</v>
      </c>
      <c r="N401" s="24">
        <f t="shared" si="102"/>
        <v>0</v>
      </c>
      <c r="O401" s="22">
        <f>N401*Assumptions!$E$25*-1</f>
        <v>0</v>
      </c>
      <c r="P401" s="5">
        <f>Assumptions!$E$35*J401*-1</f>
        <v>-4433.6951125280648</v>
      </c>
      <c r="Q401" s="5">
        <f>J401*Assumptions!$E$36*-1</f>
        <v>-1785.5395290777742</v>
      </c>
      <c r="R401" s="5">
        <f>R389+R389*Assumptions!$D$51</f>
        <v>-1625.6193437824772</v>
      </c>
      <c r="S401" s="5">
        <f>S389+(S389*Assumptions!$D$51)</f>
        <v>0</v>
      </c>
      <c r="T401" s="5">
        <f t="shared" si="109"/>
        <v>0</v>
      </c>
      <c r="U401" s="22">
        <f t="shared" si="104"/>
        <v>-7844.8539853883158</v>
      </c>
      <c r="V401" s="5">
        <f>MAX(Assumptions!$E$18:$E$19)-U401</f>
        <v>10686.486997187012</v>
      </c>
      <c r="W401" s="5">
        <f t="shared" si="105"/>
        <v>0</v>
      </c>
      <c r="X401" s="5">
        <f t="shared" si="110"/>
        <v>-7844.8539853883158</v>
      </c>
      <c r="Y401" s="5">
        <f>D401*Assumptions!$D$44*-1</f>
        <v>0</v>
      </c>
      <c r="Z401" s="5">
        <f t="shared" si="106"/>
        <v>2841.6330117986963</v>
      </c>
      <c r="AA401" s="5">
        <f t="shared" si="116"/>
        <v>1675124.958991549</v>
      </c>
      <c r="AB401" s="3">
        <f>Assumptions!$E$45</f>
        <v>6.9899151946608562E-3</v>
      </c>
      <c r="AC401" s="5">
        <f t="shared" si="117"/>
        <v>1689675.5734071583</v>
      </c>
      <c r="AD401" s="4">
        <f>AC401*Assumptions!$E$43</f>
        <v>1513.2320455733991</v>
      </c>
      <c r="AE401" s="2">
        <f>AD401*Assumptions!$D$44*-1</f>
        <v>-226.98480683600985</v>
      </c>
      <c r="AF401" s="2">
        <f>AC401*Assumptions!$E$46*-1</f>
        <v>-56.312195956580204</v>
      </c>
      <c r="AG401" s="5">
        <f t="shared" si="118"/>
        <v>1689392.2764043657</v>
      </c>
      <c r="AH401" s="20">
        <f>Model_30y[[#This Row],[Mortgage Payment]]+Model_30y[[#This Row],[Total Upkeep]]+Model_30y[[#This Row],[Monthly Investment]]</f>
        <v>-5003.2209735896195</v>
      </c>
      <c r="AI401" s="5">
        <f>Model_Renter!D401*-1</f>
        <v>9257.7458473428615</v>
      </c>
      <c r="AJ401" s="5">
        <f t="shared" si="111"/>
        <v>4254.524873753242</v>
      </c>
    </row>
    <row r="402" spans="1:36" x14ac:dyDescent="0.25">
      <c r="A402" s="17">
        <f t="shared" si="112"/>
        <v>400</v>
      </c>
      <c r="B402" s="17">
        <f t="shared" si="107"/>
        <v>34</v>
      </c>
      <c r="C402" s="23">
        <f>IFERROR(PPMT(Assumptions!$E$17, A402, 180, Assumptions!$D$8), 0)</f>
        <v>0</v>
      </c>
      <c r="D402" s="38">
        <f>IFERROR(IPMT(Assumptions!$E$17,A402,180,Assumptions!$D$8), 0)</f>
        <v>0</v>
      </c>
      <c r="E402" s="2">
        <f t="shared" si="113"/>
        <v>0</v>
      </c>
      <c r="F402" s="2">
        <f>IF(I401&gt;1, Assumptions!$E$19, 0)*-1</f>
        <v>0</v>
      </c>
      <c r="G402" s="24">
        <f t="shared" si="108"/>
        <v>1</v>
      </c>
      <c r="H402" s="20">
        <f t="shared" si="114"/>
        <v>339999.99999999988</v>
      </c>
      <c r="I402" s="2">
        <f>MAX(Assumptions!$D$8-SUM(Model_15y!H402), 0)</f>
        <v>1.1641532182693481E-10</v>
      </c>
      <c r="J402" s="2">
        <f>J401*(1+(Assumptions!$E$51))</f>
        <v>2161219.6077969503</v>
      </c>
      <c r="K402" s="22">
        <f t="shared" si="103"/>
        <v>2161219.6077969503</v>
      </c>
      <c r="L402" s="5">
        <f t="shared" si="115"/>
        <v>425000</v>
      </c>
      <c r="M402" s="63">
        <f>L402/Assumptions!$D$6</f>
        <v>1</v>
      </c>
      <c r="N402" s="24">
        <f t="shared" ref="N402:N465" si="119">IF(M402&lt;0.2, 1, 0)</f>
        <v>0</v>
      </c>
      <c r="O402" s="22">
        <f>N402*Assumptions!$E$25*-1</f>
        <v>0</v>
      </c>
      <c r="P402" s="5">
        <f>Assumptions!$E$35*J402*-1</f>
        <v>-4451.7585352354617</v>
      </c>
      <c r="Q402" s="5">
        <f>J402*Assumptions!$E$36*-1</f>
        <v>-1792.8140381398343</v>
      </c>
      <c r="R402" s="5">
        <f>R390+R390*Assumptions!$D$51</f>
        <v>-1625.6193437824772</v>
      </c>
      <c r="S402" s="5">
        <f>S390+(S390*Assumptions!$D$51)</f>
        <v>0</v>
      </c>
      <c r="T402" s="5">
        <f t="shared" si="109"/>
        <v>0</v>
      </c>
      <c r="U402" s="22">
        <f t="shared" si="104"/>
        <v>-7870.1919171577738</v>
      </c>
      <c r="V402" s="5">
        <f>MAX(Assumptions!$E$18:$E$19)-U402</f>
        <v>10711.82492895647</v>
      </c>
      <c r="W402" s="5">
        <f t="shared" si="105"/>
        <v>0</v>
      </c>
      <c r="X402" s="5">
        <f t="shared" si="110"/>
        <v>-7870.1919171577738</v>
      </c>
      <c r="Y402" s="5">
        <f>D402*Assumptions!$D$44*-1</f>
        <v>0</v>
      </c>
      <c r="Z402" s="5">
        <f t="shared" si="106"/>
        <v>2841.6330117986963</v>
      </c>
      <c r="AA402" s="5">
        <f t="shared" si="116"/>
        <v>1689392.2764043657</v>
      </c>
      <c r="AB402" s="3">
        <f>Assumptions!$E$45</f>
        <v>6.9899151946608562E-3</v>
      </c>
      <c r="AC402" s="5">
        <f t="shared" si="117"/>
        <v>1704042.6181587458</v>
      </c>
      <c r="AD402" s="4">
        <f>AC402*Assumptions!$E$43</f>
        <v>1526.0988188525146</v>
      </c>
      <c r="AE402" s="2">
        <f>AD402*Assumptions!$D$44*-1</f>
        <v>-228.91482282787717</v>
      </c>
      <c r="AF402" s="2">
        <f>AC402*Assumptions!$E$46*-1</f>
        <v>-56.791009672125</v>
      </c>
      <c r="AG402" s="5">
        <f t="shared" si="118"/>
        <v>1703756.9123262458</v>
      </c>
      <c r="AH402" s="20">
        <f>Model_30y[[#This Row],[Mortgage Payment]]+Model_30y[[#This Row],[Total Upkeep]]+Model_30y[[#This Row],[Monthly Investment]]</f>
        <v>-5028.5589053590775</v>
      </c>
      <c r="AI402" s="5">
        <f>Model_Renter!D402*-1</f>
        <v>9257.7458473428615</v>
      </c>
      <c r="AJ402" s="5">
        <f t="shared" si="111"/>
        <v>4229.186941983784</v>
      </c>
    </row>
    <row r="403" spans="1:36" x14ac:dyDescent="0.25">
      <c r="A403" s="17">
        <f t="shared" si="112"/>
        <v>401</v>
      </c>
      <c r="B403" s="17">
        <f t="shared" si="107"/>
        <v>34</v>
      </c>
      <c r="C403" s="23">
        <f>IFERROR(PPMT(Assumptions!$E$17, A403, 180, Assumptions!$D$8), 0)</f>
        <v>0</v>
      </c>
      <c r="D403" s="38">
        <f>IFERROR(IPMT(Assumptions!$E$17,A403,180,Assumptions!$D$8), 0)</f>
        <v>0</v>
      </c>
      <c r="E403" s="2">
        <f t="shared" si="113"/>
        <v>0</v>
      </c>
      <c r="F403" s="2">
        <f>IF(I402&gt;1, Assumptions!$E$19, 0)*-1</f>
        <v>0</v>
      </c>
      <c r="G403" s="24">
        <f t="shared" si="108"/>
        <v>1</v>
      </c>
      <c r="H403" s="20">
        <f t="shared" si="114"/>
        <v>339999.99999999988</v>
      </c>
      <c r="I403" s="2">
        <f>MAX(Assumptions!$D$8-SUM(Model_15y!H403), 0)</f>
        <v>1.1641532182693481E-10</v>
      </c>
      <c r="J403" s="2">
        <f>J402*(1+(Assumptions!$E$51))</f>
        <v>2170024.6840027631</v>
      </c>
      <c r="K403" s="22">
        <f t="shared" si="103"/>
        <v>2170024.6840027631</v>
      </c>
      <c r="L403" s="5">
        <f t="shared" si="115"/>
        <v>425000</v>
      </c>
      <c r="M403" s="63">
        <f>L403/Assumptions!$D$6</f>
        <v>1</v>
      </c>
      <c r="N403" s="24">
        <f t="shared" si="119"/>
        <v>0</v>
      </c>
      <c r="O403" s="22">
        <f>N403*Assumptions!$E$25*-1</f>
        <v>0</v>
      </c>
      <c r="P403" s="5">
        <f>Assumptions!$E$35*J403*-1</f>
        <v>-4469.8955505629237</v>
      </c>
      <c r="Q403" s="5">
        <f>J403*Assumptions!$E$36*-1</f>
        <v>-1800.1181844522787</v>
      </c>
      <c r="R403" s="5">
        <f>R391+R391*Assumptions!$D$51</f>
        <v>-1625.6193437824772</v>
      </c>
      <c r="S403" s="5">
        <f>S391+(S391*Assumptions!$D$51)</f>
        <v>0</v>
      </c>
      <c r="T403" s="5">
        <f t="shared" si="109"/>
        <v>0</v>
      </c>
      <c r="U403" s="22">
        <f t="shared" si="104"/>
        <v>-7895.6330787976804</v>
      </c>
      <c r="V403" s="5">
        <f>MAX(Assumptions!$E$18:$E$19)-U403</f>
        <v>10737.266090596377</v>
      </c>
      <c r="W403" s="5">
        <f t="shared" si="105"/>
        <v>0</v>
      </c>
      <c r="X403" s="5">
        <f t="shared" si="110"/>
        <v>-7895.6330787976804</v>
      </c>
      <c r="Y403" s="5">
        <f>D403*Assumptions!$D$44*-1</f>
        <v>0</v>
      </c>
      <c r="Z403" s="5">
        <f t="shared" si="106"/>
        <v>2841.6330117986963</v>
      </c>
      <c r="AA403" s="5">
        <f t="shared" si="116"/>
        <v>1703756.9123262458</v>
      </c>
      <c r="AB403" s="3">
        <f>Assumptions!$E$45</f>
        <v>6.9899151946608562E-3</v>
      </c>
      <c r="AC403" s="5">
        <f t="shared" si="117"/>
        <v>1718507.661667522</v>
      </c>
      <c r="AD403" s="4">
        <f>AC403*Assumptions!$E$43</f>
        <v>1539.0533574175454</v>
      </c>
      <c r="AE403" s="2">
        <f>AD403*Assumptions!$D$44*-1</f>
        <v>-230.85800361263179</v>
      </c>
      <c r="AF403" s="2">
        <f>AC403*Assumptions!$E$46*-1</f>
        <v>-57.273089414181129</v>
      </c>
      <c r="AG403" s="5">
        <f t="shared" si="118"/>
        <v>1718219.5305744952</v>
      </c>
      <c r="AH403" s="20">
        <f>Model_30y[[#This Row],[Mortgage Payment]]+Model_30y[[#This Row],[Total Upkeep]]+Model_30y[[#This Row],[Monthly Investment]]</f>
        <v>-5054.000066998984</v>
      </c>
      <c r="AI403" s="5">
        <f>Model_Renter!D403*-1</f>
        <v>9257.7458473428615</v>
      </c>
      <c r="AJ403" s="5">
        <f t="shared" si="111"/>
        <v>4203.7457803438774</v>
      </c>
    </row>
    <row r="404" spans="1:36" x14ac:dyDescent="0.25">
      <c r="A404" s="17">
        <f t="shared" si="112"/>
        <v>402</v>
      </c>
      <c r="B404" s="17">
        <f t="shared" si="107"/>
        <v>34</v>
      </c>
      <c r="C404" s="23">
        <f>IFERROR(PPMT(Assumptions!$E$17, A404, 180, Assumptions!$D$8), 0)</f>
        <v>0</v>
      </c>
      <c r="D404" s="38">
        <f>IFERROR(IPMT(Assumptions!$E$17,A404,180,Assumptions!$D$8), 0)</f>
        <v>0</v>
      </c>
      <c r="E404" s="2">
        <f t="shared" si="113"/>
        <v>0</v>
      </c>
      <c r="F404" s="2">
        <f>IF(I403&gt;1, Assumptions!$E$19, 0)*-1</f>
        <v>0</v>
      </c>
      <c r="G404" s="24">
        <f t="shared" si="108"/>
        <v>1</v>
      </c>
      <c r="H404" s="20">
        <f t="shared" si="114"/>
        <v>339999.99999999988</v>
      </c>
      <c r="I404" s="2">
        <f>MAX(Assumptions!$D$8-SUM(Model_15y!H404), 0)</f>
        <v>1.1641532182693481E-10</v>
      </c>
      <c r="J404" s="2">
        <f>J403*(1+(Assumptions!$E$51))</f>
        <v>2178865.6331789629</v>
      </c>
      <c r="K404" s="22">
        <f t="shared" si="103"/>
        <v>2178865.6331789629</v>
      </c>
      <c r="L404" s="5">
        <f t="shared" si="115"/>
        <v>425000</v>
      </c>
      <c r="M404" s="63">
        <f>L404/Assumptions!$D$6</f>
        <v>1</v>
      </c>
      <c r="N404" s="24">
        <f t="shared" si="119"/>
        <v>0</v>
      </c>
      <c r="O404" s="22">
        <f>N404*Assumptions!$E$25*-1</f>
        <v>0</v>
      </c>
      <c r="P404" s="5">
        <f>Assumptions!$E$35*J404*-1</f>
        <v>-4488.1064583358966</v>
      </c>
      <c r="Q404" s="5">
        <f>J404*Assumptions!$E$36*-1</f>
        <v>-1807.4520887609335</v>
      </c>
      <c r="R404" s="5">
        <f>R392+R392*Assumptions!$D$51</f>
        <v>-1625.6193437824772</v>
      </c>
      <c r="S404" s="5">
        <f>S392+(S392*Assumptions!$D$51)</f>
        <v>0</v>
      </c>
      <c r="T404" s="5">
        <f t="shared" si="109"/>
        <v>0</v>
      </c>
      <c r="U404" s="22">
        <f t="shared" si="104"/>
        <v>-7921.1778908793076</v>
      </c>
      <c r="V404" s="5">
        <f>MAX(Assumptions!$E$18:$E$19)-U404</f>
        <v>10762.810902678004</v>
      </c>
      <c r="W404" s="5">
        <f t="shared" si="105"/>
        <v>0</v>
      </c>
      <c r="X404" s="5">
        <f t="shared" si="110"/>
        <v>-7921.1778908793076</v>
      </c>
      <c r="Y404" s="5">
        <f>D404*Assumptions!$D$44*-1</f>
        <v>0</v>
      </c>
      <c r="Z404" s="5">
        <f t="shared" si="106"/>
        <v>2841.6330117986963</v>
      </c>
      <c r="AA404" s="5">
        <f t="shared" si="116"/>
        <v>1718219.5305744952</v>
      </c>
      <c r="AB404" s="3">
        <f>Assumptions!$E$45</f>
        <v>6.9899151946608562E-3</v>
      </c>
      <c r="AC404" s="5">
        <f t="shared" si="117"/>
        <v>1733071.3723908195</v>
      </c>
      <c r="AD404" s="4">
        <f>AC404*Assumptions!$E$43</f>
        <v>1552.0962599225011</v>
      </c>
      <c r="AE404" s="2">
        <f>AD404*Assumptions!$D$44*-1</f>
        <v>-232.81443898837514</v>
      </c>
      <c r="AF404" s="2">
        <f>AC404*Assumptions!$E$46*-1</f>
        <v>-57.758457460575706</v>
      </c>
      <c r="AG404" s="5">
        <f t="shared" si="118"/>
        <v>1732780.7994943706</v>
      </c>
      <c r="AH404" s="20">
        <f>Model_30y[[#This Row],[Mortgage Payment]]+Model_30y[[#This Row],[Total Upkeep]]+Model_30y[[#This Row],[Monthly Investment]]</f>
        <v>-5079.5448790806113</v>
      </c>
      <c r="AI404" s="5">
        <f>Model_Renter!D404*-1</f>
        <v>9257.7458473428615</v>
      </c>
      <c r="AJ404" s="5">
        <f t="shared" si="111"/>
        <v>4178.2009682622502</v>
      </c>
    </row>
    <row r="405" spans="1:36" x14ac:dyDescent="0.25">
      <c r="A405" s="17">
        <f t="shared" si="112"/>
        <v>403</v>
      </c>
      <c r="B405" s="17">
        <f t="shared" si="107"/>
        <v>34</v>
      </c>
      <c r="C405" s="23">
        <f>IFERROR(PPMT(Assumptions!$E$17, A405, 180, Assumptions!$D$8), 0)</f>
        <v>0</v>
      </c>
      <c r="D405" s="38">
        <f>IFERROR(IPMT(Assumptions!$E$17,A405,180,Assumptions!$D$8), 0)</f>
        <v>0</v>
      </c>
      <c r="E405" s="2">
        <f t="shared" si="113"/>
        <v>0</v>
      </c>
      <c r="F405" s="2">
        <f>IF(I404&gt;1, Assumptions!$E$19, 0)*-1</f>
        <v>0</v>
      </c>
      <c r="G405" s="24">
        <f t="shared" si="108"/>
        <v>1</v>
      </c>
      <c r="H405" s="20">
        <f t="shared" si="114"/>
        <v>339999.99999999988</v>
      </c>
      <c r="I405" s="2">
        <f>MAX(Assumptions!$D$8-SUM(Model_15y!H405), 0)</f>
        <v>1.1641532182693481E-10</v>
      </c>
      <c r="J405" s="2">
        <f>J404*(1+(Assumptions!$E$51))</f>
        <v>2187742.6014764714</v>
      </c>
      <c r="K405" s="22">
        <f t="shared" si="103"/>
        <v>2187742.6014764714</v>
      </c>
      <c r="L405" s="5">
        <f t="shared" si="115"/>
        <v>425000</v>
      </c>
      <c r="M405" s="63">
        <f>L405/Assumptions!$D$6</f>
        <v>1</v>
      </c>
      <c r="N405" s="24">
        <f t="shared" si="119"/>
        <v>0</v>
      </c>
      <c r="O405" s="22">
        <f>N405*Assumptions!$E$25*-1</f>
        <v>0</v>
      </c>
      <c r="P405" s="5">
        <f>Assumptions!$E$35*J405*-1</f>
        <v>-4506.3915596013485</v>
      </c>
      <c r="Q405" s="5">
        <f>J405*Assumptions!$E$36*-1</f>
        <v>-1814.8158723035594</v>
      </c>
      <c r="R405" s="5">
        <f>R393+R393*Assumptions!$D$51</f>
        <v>-1625.6193437824772</v>
      </c>
      <c r="S405" s="5">
        <f>S393+(S393*Assumptions!$D$51)</f>
        <v>0</v>
      </c>
      <c r="T405" s="5">
        <f t="shared" si="109"/>
        <v>0</v>
      </c>
      <c r="U405" s="22">
        <f t="shared" si="104"/>
        <v>-7946.8267756873847</v>
      </c>
      <c r="V405" s="5">
        <f>MAX(Assumptions!$E$18:$E$19)-U405</f>
        <v>10788.459787486081</v>
      </c>
      <c r="W405" s="5">
        <f t="shared" si="105"/>
        <v>0</v>
      </c>
      <c r="X405" s="5">
        <f t="shared" si="110"/>
        <v>-7946.8267756873847</v>
      </c>
      <c r="Y405" s="5">
        <f>D405*Assumptions!$D$44*-1</f>
        <v>0</v>
      </c>
      <c r="Z405" s="5">
        <f t="shared" si="106"/>
        <v>2841.6330117986963</v>
      </c>
      <c r="AA405" s="5">
        <f t="shared" si="116"/>
        <v>1732780.7994943706</v>
      </c>
      <c r="AB405" s="3">
        <f>Assumptions!$E$45</f>
        <v>6.9899151946608562E-3</v>
      </c>
      <c r="AC405" s="5">
        <f t="shared" si="117"/>
        <v>1747734.4233455714</v>
      </c>
      <c r="AD405" s="4">
        <f>AC405*Assumptions!$E$43</f>
        <v>1565.2281291048575</v>
      </c>
      <c r="AE405" s="2">
        <f>AD405*Assumptions!$D$44*-1</f>
        <v>-234.78421936572863</v>
      </c>
      <c r="AF405" s="2">
        <f>AC405*Assumptions!$E$46*-1</f>
        <v>-58.24713624109468</v>
      </c>
      <c r="AG405" s="5">
        <f t="shared" si="118"/>
        <v>1747441.3919899645</v>
      </c>
      <c r="AH405" s="20">
        <f>Model_30y[[#This Row],[Mortgage Payment]]+Model_30y[[#This Row],[Total Upkeep]]+Model_30y[[#This Row],[Monthly Investment]]</f>
        <v>-5105.1937638886884</v>
      </c>
      <c r="AI405" s="5">
        <f>Model_Renter!D405*-1</f>
        <v>9257.7458473428615</v>
      </c>
      <c r="AJ405" s="5">
        <f t="shared" si="111"/>
        <v>4152.552083454173</v>
      </c>
    </row>
    <row r="406" spans="1:36" x14ac:dyDescent="0.25">
      <c r="A406" s="17">
        <f t="shared" si="112"/>
        <v>404</v>
      </c>
      <c r="B406" s="17">
        <f t="shared" si="107"/>
        <v>34</v>
      </c>
      <c r="C406" s="23">
        <f>IFERROR(PPMT(Assumptions!$E$17, A406, 180, Assumptions!$D$8), 0)</f>
        <v>0</v>
      </c>
      <c r="D406" s="38">
        <f>IFERROR(IPMT(Assumptions!$E$17,A406,180,Assumptions!$D$8), 0)</f>
        <v>0</v>
      </c>
      <c r="E406" s="2">
        <f t="shared" si="113"/>
        <v>0</v>
      </c>
      <c r="F406" s="2">
        <f>IF(I405&gt;1, Assumptions!$E$19, 0)*-1</f>
        <v>0</v>
      </c>
      <c r="G406" s="24">
        <f t="shared" si="108"/>
        <v>1</v>
      </c>
      <c r="H406" s="20">
        <f t="shared" si="114"/>
        <v>339999.99999999988</v>
      </c>
      <c r="I406" s="2">
        <f>MAX(Assumptions!$D$8-SUM(Model_15y!H406), 0)</f>
        <v>1.1641532182693481E-10</v>
      </c>
      <c r="J406" s="2">
        <f>J405*(1+(Assumptions!$E$51))</f>
        <v>2196655.7356416476</v>
      </c>
      <c r="K406" s="22">
        <f t="shared" si="103"/>
        <v>2196655.7356416476</v>
      </c>
      <c r="L406" s="5">
        <f t="shared" si="115"/>
        <v>425000</v>
      </c>
      <c r="M406" s="63">
        <f>L406/Assumptions!$D$6</f>
        <v>1</v>
      </c>
      <c r="N406" s="24">
        <f t="shared" si="119"/>
        <v>0</v>
      </c>
      <c r="O406" s="22">
        <f>N406*Assumptions!$E$25*-1</f>
        <v>0</v>
      </c>
      <c r="P406" s="5">
        <f>Assumptions!$E$35*J406*-1</f>
        <v>-4524.751156632753</v>
      </c>
      <c r="Q406" s="5">
        <f>J406*Assumptions!$E$36*-1</f>
        <v>-1822.2096568118541</v>
      </c>
      <c r="R406" s="5">
        <f>R394+R394*Assumptions!$D$51</f>
        <v>-1625.6193437824772</v>
      </c>
      <c r="S406" s="5">
        <f>S394+(S394*Assumptions!$D$51)</f>
        <v>0</v>
      </c>
      <c r="T406" s="5">
        <f t="shared" si="109"/>
        <v>0</v>
      </c>
      <c r="U406" s="22">
        <f t="shared" si="104"/>
        <v>-7972.5801572270848</v>
      </c>
      <c r="V406" s="5">
        <f>MAX(Assumptions!$E$18:$E$19)-U406</f>
        <v>10814.213169025781</v>
      </c>
      <c r="W406" s="5">
        <f t="shared" si="105"/>
        <v>0</v>
      </c>
      <c r="X406" s="5">
        <f t="shared" si="110"/>
        <v>-7972.5801572270848</v>
      </c>
      <c r="Y406" s="5">
        <f>D406*Assumptions!$D$44*-1</f>
        <v>0</v>
      </c>
      <c r="Z406" s="5">
        <f t="shared" si="106"/>
        <v>2841.6330117986963</v>
      </c>
      <c r="AA406" s="5">
        <f t="shared" si="116"/>
        <v>1747441.3919899645</v>
      </c>
      <c r="AB406" s="3">
        <f>Assumptions!$E$45</f>
        <v>6.9899151946608562E-3</v>
      </c>
      <c r="AC406" s="5">
        <f t="shared" si="117"/>
        <v>1762497.492139413</v>
      </c>
      <c r="AD406" s="4">
        <f>AC406*Assumptions!$E$43</f>
        <v>1578.4495718134117</v>
      </c>
      <c r="AE406" s="2">
        <f>AD406*Assumptions!$D$44*-1</f>
        <v>-236.76743577201174</v>
      </c>
      <c r="AF406" s="2">
        <f>AC406*Assumptions!$E$46*-1</f>
        <v>-58.73914833851935</v>
      </c>
      <c r="AG406" s="5">
        <f t="shared" si="118"/>
        <v>1762201.9855553026</v>
      </c>
      <c r="AH406" s="20">
        <f>Model_30y[[#This Row],[Mortgage Payment]]+Model_30y[[#This Row],[Total Upkeep]]+Model_30y[[#This Row],[Monthly Investment]]</f>
        <v>-5130.9471454283885</v>
      </c>
      <c r="AI406" s="5">
        <f>Model_Renter!D406*-1</f>
        <v>9257.7458473428615</v>
      </c>
      <c r="AJ406" s="5">
        <f t="shared" si="111"/>
        <v>4126.798701914473</v>
      </c>
    </row>
    <row r="407" spans="1:36" x14ac:dyDescent="0.25">
      <c r="A407" s="17">
        <f t="shared" si="112"/>
        <v>405</v>
      </c>
      <c r="B407" s="17">
        <f t="shared" si="107"/>
        <v>34</v>
      </c>
      <c r="C407" s="23">
        <f>IFERROR(PPMT(Assumptions!$E$17, A407, 180, Assumptions!$D$8), 0)</f>
        <v>0</v>
      </c>
      <c r="D407" s="38">
        <f>IFERROR(IPMT(Assumptions!$E$17,A407,180,Assumptions!$D$8), 0)</f>
        <v>0</v>
      </c>
      <c r="E407" s="2">
        <f t="shared" si="113"/>
        <v>0</v>
      </c>
      <c r="F407" s="2">
        <f>IF(I406&gt;1, Assumptions!$E$19, 0)*-1</f>
        <v>0</v>
      </c>
      <c r="G407" s="24">
        <f t="shared" si="108"/>
        <v>1</v>
      </c>
      <c r="H407" s="20">
        <f t="shared" si="114"/>
        <v>339999.99999999988</v>
      </c>
      <c r="I407" s="2">
        <f>MAX(Assumptions!$D$8-SUM(Model_15y!H407), 0)</f>
        <v>1.1641532182693481E-10</v>
      </c>
      <c r="J407" s="2">
        <f>J406*(1+(Assumptions!$E$51))</f>
        <v>2205605.1830187128</v>
      </c>
      <c r="K407" s="22">
        <f t="shared" si="103"/>
        <v>2205605.1830187128</v>
      </c>
      <c r="L407" s="5">
        <f t="shared" si="115"/>
        <v>425000</v>
      </c>
      <c r="M407" s="63">
        <f>L407/Assumptions!$D$6</f>
        <v>1</v>
      </c>
      <c r="N407" s="24">
        <f t="shared" si="119"/>
        <v>0</v>
      </c>
      <c r="O407" s="22">
        <f>N407*Assumptions!$E$25*-1</f>
        <v>0</v>
      </c>
      <c r="P407" s="5">
        <f>Assumptions!$E$35*J407*-1</f>
        <v>-4543.1855529350814</v>
      </c>
      <c r="Q407" s="5">
        <f>J407*Assumptions!$E$36*-1</f>
        <v>-1829.633564513465</v>
      </c>
      <c r="R407" s="5">
        <f>R395+R395*Assumptions!$D$51</f>
        <v>-1625.6193437824772</v>
      </c>
      <c r="S407" s="5">
        <f>S395+(S395*Assumptions!$D$51)</f>
        <v>0</v>
      </c>
      <c r="T407" s="5">
        <f t="shared" si="109"/>
        <v>0</v>
      </c>
      <c r="U407" s="22">
        <f t="shared" si="104"/>
        <v>-7998.4384612310241</v>
      </c>
      <c r="V407" s="5">
        <f>MAX(Assumptions!$E$18:$E$19)-U407</f>
        <v>10840.07147302972</v>
      </c>
      <c r="W407" s="5">
        <f t="shared" si="105"/>
        <v>0</v>
      </c>
      <c r="X407" s="5">
        <f t="shared" si="110"/>
        <v>-7998.4384612310241</v>
      </c>
      <c r="Y407" s="5">
        <f>D407*Assumptions!$D$44*-1</f>
        <v>0</v>
      </c>
      <c r="Z407" s="5">
        <f t="shared" si="106"/>
        <v>2841.6330117986963</v>
      </c>
      <c r="AA407" s="5">
        <f t="shared" si="116"/>
        <v>1762201.9855553026</v>
      </c>
      <c r="AB407" s="3">
        <f>Assumptions!$E$45</f>
        <v>6.9899151946608562E-3</v>
      </c>
      <c r="AC407" s="5">
        <f t="shared" si="117"/>
        <v>1777361.2610019958</v>
      </c>
      <c r="AD407" s="4">
        <f>AC407*Assumptions!$E$43</f>
        <v>1591.7611990363237</v>
      </c>
      <c r="AE407" s="2">
        <f>AD407*Assumptions!$D$44*-1</f>
        <v>-238.76417985544853</v>
      </c>
      <c r="AF407" s="2">
        <f>AC407*Assumptions!$E$46*-1</f>
        <v>-59.234516489669971</v>
      </c>
      <c r="AG407" s="5">
        <f t="shared" si="118"/>
        <v>1777063.2623056506</v>
      </c>
      <c r="AH407" s="20">
        <f>Model_30y[[#This Row],[Mortgage Payment]]+Model_30y[[#This Row],[Total Upkeep]]+Model_30y[[#This Row],[Monthly Investment]]</f>
        <v>-5156.8054494323278</v>
      </c>
      <c r="AI407" s="5">
        <f>Model_Renter!D407*-1</f>
        <v>9257.7458473428615</v>
      </c>
      <c r="AJ407" s="5">
        <f t="shared" si="111"/>
        <v>4100.9403979105336</v>
      </c>
    </row>
    <row r="408" spans="1:36" x14ac:dyDescent="0.25">
      <c r="A408" s="17">
        <f t="shared" si="112"/>
        <v>406</v>
      </c>
      <c r="B408" s="17">
        <f t="shared" si="107"/>
        <v>34</v>
      </c>
      <c r="C408" s="23">
        <f>IFERROR(PPMT(Assumptions!$E$17, A408, 180, Assumptions!$D$8), 0)</f>
        <v>0</v>
      </c>
      <c r="D408" s="38">
        <f>IFERROR(IPMT(Assumptions!$E$17,A408,180,Assumptions!$D$8), 0)</f>
        <v>0</v>
      </c>
      <c r="E408" s="2">
        <f t="shared" si="113"/>
        <v>0</v>
      </c>
      <c r="F408" s="2">
        <f>IF(I407&gt;1, Assumptions!$E$19, 0)*-1</f>
        <v>0</v>
      </c>
      <c r="G408" s="24">
        <f t="shared" si="108"/>
        <v>1</v>
      </c>
      <c r="H408" s="20">
        <f t="shared" si="114"/>
        <v>339999.99999999988</v>
      </c>
      <c r="I408" s="2">
        <f>MAX(Assumptions!$D$8-SUM(Model_15y!H408), 0)</f>
        <v>1.1641532182693481E-10</v>
      </c>
      <c r="J408" s="2">
        <f>J407*(1+(Assumptions!$E$51))</f>
        <v>2214591.0915521872</v>
      </c>
      <c r="K408" s="22">
        <f t="shared" si="103"/>
        <v>2214591.0915521872</v>
      </c>
      <c r="L408" s="5">
        <f t="shared" si="115"/>
        <v>425000</v>
      </c>
      <c r="M408" s="63">
        <f>L408/Assumptions!$D$6</f>
        <v>1</v>
      </c>
      <c r="N408" s="24">
        <f t="shared" si="119"/>
        <v>0</v>
      </c>
      <c r="O408" s="22">
        <f>N408*Assumptions!$E$25*-1</f>
        <v>0</v>
      </c>
      <c r="P408" s="5">
        <f>Assumptions!$E$35*J408*-1</f>
        <v>-4561.6950532498213</v>
      </c>
      <c r="Q408" s="5">
        <f>J408*Assumptions!$E$36*-1</f>
        <v>-1837.0877181340104</v>
      </c>
      <c r="R408" s="5">
        <f>R396+R396*Assumptions!$D$51</f>
        <v>-1625.6193437824772</v>
      </c>
      <c r="S408" s="5">
        <f>S396+(S396*Assumptions!$D$51)</f>
        <v>0</v>
      </c>
      <c r="T408" s="5">
        <f t="shared" si="109"/>
        <v>0</v>
      </c>
      <c r="U408" s="22">
        <f t="shared" si="104"/>
        <v>-8024.4021151663092</v>
      </c>
      <c r="V408" s="5">
        <f>MAX(Assumptions!$E$18:$E$19)-U408</f>
        <v>10866.035126965005</v>
      </c>
      <c r="W408" s="5">
        <f t="shared" si="105"/>
        <v>0</v>
      </c>
      <c r="X408" s="5">
        <f t="shared" si="110"/>
        <v>-8024.4021151663092</v>
      </c>
      <c r="Y408" s="5">
        <f>D408*Assumptions!$D$44*-1</f>
        <v>0</v>
      </c>
      <c r="Z408" s="5">
        <f t="shared" si="106"/>
        <v>2841.6330117986963</v>
      </c>
      <c r="AA408" s="5">
        <f t="shared" si="116"/>
        <v>1777063.2623056506</v>
      </c>
      <c r="AB408" s="3">
        <f>Assumptions!$E$45</f>
        <v>6.9899151946608562E-3</v>
      </c>
      <c r="AC408" s="5">
        <f t="shared" si="117"/>
        <v>1792326.4168165131</v>
      </c>
      <c r="AD408" s="4">
        <f>AC408*Assumptions!$E$43</f>
        <v>1605.163625929353</v>
      </c>
      <c r="AE408" s="2">
        <f>AD408*Assumptions!$D$44*-1</f>
        <v>-240.77454388940293</v>
      </c>
      <c r="AF408" s="2">
        <f>AC408*Assumptions!$E$46*-1</f>
        <v>-59.733263586456452</v>
      </c>
      <c r="AG408" s="5">
        <f t="shared" si="118"/>
        <v>1792025.9090090373</v>
      </c>
      <c r="AH408" s="20">
        <f>Model_30y[[#This Row],[Mortgage Payment]]+Model_30y[[#This Row],[Total Upkeep]]+Model_30y[[#This Row],[Monthly Investment]]</f>
        <v>-5182.7691033676128</v>
      </c>
      <c r="AI408" s="5">
        <f>Model_Renter!D408*-1</f>
        <v>9257.7458473428615</v>
      </c>
      <c r="AJ408" s="5">
        <f t="shared" si="111"/>
        <v>4074.9767439752486</v>
      </c>
    </row>
    <row r="409" spans="1:36" x14ac:dyDescent="0.25">
      <c r="A409" s="17">
        <f t="shared" si="112"/>
        <v>407</v>
      </c>
      <c r="B409" s="17">
        <f t="shared" si="107"/>
        <v>34</v>
      </c>
      <c r="C409" s="23">
        <f>IFERROR(PPMT(Assumptions!$E$17, A409, 180, Assumptions!$D$8), 0)</f>
        <v>0</v>
      </c>
      <c r="D409" s="38">
        <f>IFERROR(IPMT(Assumptions!$E$17,A409,180,Assumptions!$D$8), 0)</f>
        <v>0</v>
      </c>
      <c r="E409" s="2">
        <f t="shared" si="113"/>
        <v>0</v>
      </c>
      <c r="F409" s="2">
        <f>IF(I408&gt;1, Assumptions!$E$19, 0)*-1</f>
        <v>0</v>
      </c>
      <c r="G409" s="24">
        <f t="shared" si="108"/>
        <v>1</v>
      </c>
      <c r="H409" s="20">
        <f t="shared" si="114"/>
        <v>339999.99999999988</v>
      </c>
      <c r="I409" s="2">
        <f>MAX(Assumptions!$D$8-SUM(Model_15y!H409), 0)</f>
        <v>1.1641532182693481E-10</v>
      </c>
      <c r="J409" s="2">
        <f>J408*(1+(Assumptions!$E$51))</f>
        <v>2223613.6097893356</v>
      </c>
      <c r="K409" s="22">
        <f t="shared" si="103"/>
        <v>2223613.6097893356</v>
      </c>
      <c r="L409" s="5">
        <f t="shared" si="115"/>
        <v>425000</v>
      </c>
      <c r="M409" s="63">
        <f>L409/Assumptions!$D$6</f>
        <v>1</v>
      </c>
      <c r="N409" s="24">
        <f t="shared" si="119"/>
        <v>0</v>
      </c>
      <c r="O409" s="22">
        <f>N409*Assumptions!$E$25*-1</f>
        <v>0</v>
      </c>
      <c r="P409" s="5">
        <f>Assumptions!$E$35*J409*-1</f>
        <v>-4580.2799635600168</v>
      </c>
      <c r="Q409" s="5">
        <f>J409*Assumptions!$E$36*-1</f>
        <v>-1844.5722408991085</v>
      </c>
      <c r="R409" s="5">
        <f>R397+R397*Assumptions!$D$51</f>
        <v>-1625.6193437824772</v>
      </c>
      <c r="S409" s="5">
        <f>S397+(S397*Assumptions!$D$51)</f>
        <v>0</v>
      </c>
      <c r="T409" s="5">
        <f t="shared" si="109"/>
        <v>0</v>
      </c>
      <c r="U409" s="22">
        <f t="shared" si="104"/>
        <v>-8050.4715482416032</v>
      </c>
      <c r="V409" s="5">
        <f>MAX(Assumptions!$E$18:$E$19)-U409</f>
        <v>10892.104560040299</v>
      </c>
      <c r="W409" s="5">
        <f t="shared" si="105"/>
        <v>0</v>
      </c>
      <c r="X409" s="5">
        <f t="shared" si="110"/>
        <v>-8050.4715482416032</v>
      </c>
      <c r="Y409" s="5">
        <f>D409*Assumptions!$D$44*-1</f>
        <v>0</v>
      </c>
      <c r="Z409" s="5">
        <f t="shared" si="106"/>
        <v>2841.6330117986963</v>
      </c>
      <c r="AA409" s="5">
        <f t="shared" si="116"/>
        <v>1792025.9090090373</v>
      </c>
      <c r="AB409" s="3">
        <f>Assumptions!$E$45</f>
        <v>6.9899151946608562E-3</v>
      </c>
      <c r="AC409" s="5">
        <f t="shared" si="117"/>
        <v>1807393.6511514441</v>
      </c>
      <c r="AD409" s="4">
        <f>AC409*Assumptions!$E$43</f>
        <v>1618.6574718442853</v>
      </c>
      <c r="AE409" s="2">
        <f>AD409*Assumptions!$D$44*-1</f>
        <v>-242.79862077664279</v>
      </c>
      <c r="AF409" s="2">
        <f>AC409*Assumptions!$E$46*-1</f>
        <v>-60.235412676936264</v>
      </c>
      <c r="AG409" s="5">
        <f t="shared" si="118"/>
        <v>1807090.6171179905</v>
      </c>
      <c r="AH409" s="20">
        <f>Model_30y[[#This Row],[Mortgage Payment]]+Model_30y[[#This Row],[Total Upkeep]]+Model_30y[[#This Row],[Monthly Investment]]</f>
        <v>-5208.8385364429068</v>
      </c>
      <c r="AI409" s="5">
        <f>Model_Renter!D409*-1</f>
        <v>9257.7458473428615</v>
      </c>
      <c r="AJ409" s="5">
        <f t="shared" si="111"/>
        <v>4048.9073108999546</v>
      </c>
    </row>
    <row r="410" spans="1:36" x14ac:dyDescent="0.25">
      <c r="A410" s="17">
        <f t="shared" si="112"/>
        <v>408</v>
      </c>
      <c r="B410" s="17">
        <f t="shared" si="107"/>
        <v>34</v>
      </c>
      <c r="C410" s="23">
        <f>IFERROR(PPMT(Assumptions!$E$17, A410, 180, Assumptions!$D$8), 0)</f>
        <v>0</v>
      </c>
      <c r="D410" s="38">
        <f>IFERROR(IPMT(Assumptions!$E$17,A410,180,Assumptions!$D$8), 0)</f>
        <v>0</v>
      </c>
      <c r="E410" s="2">
        <f t="shared" si="113"/>
        <v>0</v>
      </c>
      <c r="F410" s="2">
        <f>IF(I409&gt;1, Assumptions!$E$19, 0)*-1</f>
        <v>0</v>
      </c>
      <c r="G410" s="24">
        <f t="shared" si="108"/>
        <v>1</v>
      </c>
      <c r="H410" s="20">
        <f t="shared" si="114"/>
        <v>339999.99999999988</v>
      </c>
      <c r="I410" s="2">
        <f>MAX(Assumptions!$D$8-SUM(Model_15y!H410), 0)</f>
        <v>1.1641532182693481E-10</v>
      </c>
      <c r="J410" s="2">
        <f>J409*(1+(Assumptions!$E$51))</f>
        <v>2232672.8868826227</v>
      </c>
      <c r="K410" s="22">
        <f t="shared" si="103"/>
        <v>2232672.8868826227</v>
      </c>
      <c r="L410" s="5">
        <f t="shared" si="115"/>
        <v>425000</v>
      </c>
      <c r="M410" s="63">
        <f>L410/Assumptions!$D$6</f>
        <v>1</v>
      </c>
      <c r="N410" s="24">
        <f t="shared" si="119"/>
        <v>0</v>
      </c>
      <c r="O410" s="22">
        <f>N410*Assumptions!$E$25*-1</f>
        <v>0</v>
      </c>
      <c r="P410" s="5">
        <f>Assumptions!$E$35*J410*-1</f>
        <v>-4598.9405910953255</v>
      </c>
      <c r="Q410" s="5">
        <f>J410*Assumptions!$E$36*-1</f>
        <v>-1852.0872565364132</v>
      </c>
      <c r="R410" s="5">
        <f>R398+R398*Assumptions!$D$51</f>
        <v>-1625.6193437824772</v>
      </c>
      <c r="S410" s="5">
        <f>S398+(S398*Assumptions!$D$51)</f>
        <v>0</v>
      </c>
      <c r="T410" s="5">
        <f t="shared" si="109"/>
        <v>0</v>
      </c>
      <c r="U410" s="22">
        <f t="shared" si="104"/>
        <v>-8076.6471914142166</v>
      </c>
      <c r="V410" s="5">
        <f>MAX(Assumptions!$E$18:$E$19)-U410</f>
        <v>10918.280203212913</v>
      </c>
      <c r="W410" s="5">
        <f t="shared" si="105"/>
        <v>0</v>
      </c>
      <c r="X410" s="5">
        <f t="shared" si="110"/>
        <v>-8076.6471914142166</v>
      </c>
      <c r="Y410" s="5">
        <f>D410*Assumptions!$D$44*-1</f>
        <v>0</v>
      </c>
      <c r="Z410" s="5">
        <f t="shared" si="106"/>
        <v>2841.6330117986963</v>
      </c>
      <c r="AA410" s="5">
        <f t="shared" si="116"/>
        <v>1807090.6171179905</v>
      </c>
      <c r="AB410" s="3">
        <f>Assumptions!$E$45</f>
        <v>6.9899151946608562E-3</v>
      </c>
      <c r="AC410" s="5">
        <f t="shared" si="117"/>
        <v>1822563.6602925111</v>
      </c>
      <c r="AD410" s="4">
        <f>AC410*Assumptions!$E$43</f>
        <v>1632.2433603575546</v>
      </c>
      <c r="AE410" s="2">
        <f>AD410*Assumptions!$D$44*-1</f>
        <v>-244.83650405363318</v>
      </c>
      <c r="AF410" s="2">
        <f>AC410*Assumptions!$E$46*-1</f>
        <v>-60.740986966379474</v>
      </c>
      <c r="AG410" s="5">
        <f t="shared" si="118"/>
        <v>1822258.082801491</v>
      </c>
      <c r="AH410" s="20">
        <f>Model_30y[[#This Row],[Mortgage Payment]]+Model_30y[[#This Row],[Total Upkeep]]+Model_30y[[#This Row],[Monthly Investment]]</f>
        <v>-5235.0141796155203</v>
      </c>
      <c r="AI410" s="5">
        <f>Model_Renter!D410*-1</f>
        <v>9257.7458473428615</v>
      </c>
      <c r="AJ410" s="5">
        <f t="shared" si="111"/>
        <v>4022.7316677273411</v>
      </c>
    </row>
    <row r="411" spans="1:36" x14ac:dyDescent="0.25">
      <c r="A411" s="17">
        <f t="shared" si="112"/>
        <v>409</v>
      </c>
      <c r="B411" s="17">
        <f t="shared" si="107"/>
        <v>35</v>
      </c>
      <c r="C411" s="23">
        <f>IFERROR(PPMT(Assumptions!$E$17, A411, 180, Assumptions!$D$8), 0)</f>
        <v>0</v>
      </c>
      <c r="D411" s="38">
        <f>IFERROR(IPMT(Assumptions!$E$17,A411,180,Assumptions!$D$8), 0)</f>
        <v>0</v>
      </c>
      <c r="E411" s="2">
        <f t="shared" si="113"/>
        <v>0</v>
      </c>
      <c r="F411" s="2">
        <f>IF(I410&gt;1, Assumptions!$E$19, 0)*-1</f>
        <v>0</v>
      </c>
      <c r="G411" s="24">
        <f t="shared" si="108"/>
        <v>1</v>
      </c>
      <c r="H411" s="20">
        <f t="shared" si="114"/>
        <v>339999.99999999988</v>
      </c>
      <c r="I411" s="2">
        <f>MAX(Assumptions!$D$8-SUM(Model_15y!H411), 0)</f>
        <v>1.1641532182693481E-10</v>
      </c>
      <c r="J411" s="2">
        <f>J410*(1+(Assumptions!$E$51))</f>
        <v>2241769.0725921779</v>
      </c>
      <c r="K411" s="22">
        <f t="shared" si="103"/>
        <v>2241769.0725921779</v>
      </c>
      <c r="L411" s="5">
        <f t="shared" si="115"/>
        <v>425000</v>
      </c>
      <c r="M411" s="63">
        <f>L411/Assumptions!$D$6</f>
        <v>1</v>
      </c>
      <c r="N411" s="24">
        <f t="shared" si="119"/>
        <v>0</v>
      </c>
      <c r="O411" s="22">
        <f>N411*Assumptions!$E$25*-1</f>
        <v>0</v>
      </c>
      <c r="P411" s="5">
        <f>Assumptions!$E$35*J411*-1</f>
        <v>-4617.6772443370919</v>
      </c>
      <c r="Q411" s="5">
        <f>J411*Assumptions!$E$36*-1</f>
        <v>-1859.6328892776601</v>
      </c>
      <c r="R411" s="5">
        <f>R399+R399*Assumptions!$D$51</f>
        <v>-1706.9003109716011</v>
      </c>
      <c r="S411" s="5">
        <f>S399+(S399*Assumptions!$D$51)</f>
        <v>0</v>
      </c>
      <c r="T411" s="5">
        <f t="shared" si="109"/>
        <v>0</v>
      </c>
      <c r="U411" s="22">
        <f t="shared" si="104"/>
        <v>-8184.2104445863533</v>
      </c>
      <c r="V411" s="5">
        <f>MAX(Assumptions!$E$18:$E$19)-U411</f>
        <v>11025.84345638505</v>
      </c>
      <c r="W411" s="5">
        <f t="shared" si="105"/>
        <v>0</v>
      </c>
      <c r="X411" s="5">
        <f t="shared" si="110"/>
        <v>-8184.2104445863533</v>
      </c>
      <c r="Y411" s="5">
        <f>D411*Assumptions!$D$44*-1</f>
        <v>0</v>
      </c>
      <c r="Z411" s="5">
        <f t="shared" si="106"/>
        <v>2841.6330117986963</v>
      </c>
      <c r="AA411" s="5">
        <f t="shared" si="116"/>
        <v>1822258.082801491</v>
      </c>
      <c r="AB411" s="3">
        <f>Assumptions!$E$45</f>
        <v>6.9899151946608562E-3</v>
      </c>
      <c r="AC411" s="5">
        <f t="shared" si="117"/>
        <v>1837837.1452748573</v>
      </c>
      <c r="AD411" s="4">
        <f>AC411*Assumptions!$E$43</f>
        <v>1645.9219192990593</v>
      </c>
      <c r="AE411" s="2">
        <f>AD411*Assumptions!$D$44*-1</f>
        <v>-246.88828789485888</v>
      </c>
      <c r="AF411" s="2">
        <f>AC411*Assumptions!$E$46*-1</f>
        <v>-61.250009818341191</v>
      </c>
      <c r="AG411" s="5">
        <f t="shared" si="118"/>
        <v>1837529.0069771442</v>
      </c>
      <c r="AH411" s="20">
        <f>Model_30y[[#This Row],[Mortgage Payment]]+Model_30y[[#This Row],[Total Upkeep]]+Model_30y[[#This Row],[Monthly Investment]]</f>
        <v>-5342.577432787657</v>
      </c>
      <c r="AI411" s="5">
        <f>Model_Renter!D411*-1</f>
        <v>9603.9855420334861</v>
      </c>
      <c r="AJ411" s="5">
        <f t="shared" si="111"/>
        <v>4261.4081092458291</v>
      </c>
    </row>
    <row r="412" spans="1:36" x14ac:dyDescent="0.25">
      <c r="A412" s="17">
        <f t="shared" si="112"/>
        <v>410</v>
      </c>
      <c r="B412" s="17">
        <f t="shared" si="107"/>
        <v>35</v>
      </c>
      <c r="C412" s="23">
        <f>IFERROR(PPMT(Assumptions!$E$17, A412, 180, Assumptions!$D$8), 0)</f>
        <v>0</v>
      </c>
      <c r="D412" s="38">
        <f>IFERROR(IPMT(Assumptions!$E$17,A412,180,Assumptions!$D$8), 0)</f>
        <v>0</v>
      </c>
      <c r="E412" s="2">
        <f t="shared" si="113"/>
        <v>0</v>
      </c>
      <c r="F412" s="2">
        <f>IF(I411&gt;1, Assumptions!$E$19, 0)*-1</f>
        <v>0</v>
      </c>
      <c r="G412" s="24">
        <f t="shared" si="108"/>
        <v>1</v>
      </c>
      <c r="H412" s="20">
        <f t="shared" si="114"/>
        <v>339999.99999999988</v>
      </c>
      <c r="I412" s="2">
        <f>MAX(Assumptions!$D$8-SUM(Model_15y!H412), 0)</f>
        <v>1.1641532182693481E-10</v>
      </c>
      <c r="J412" s="2">
        <f>J411*(1+(Assumptions!$E$51))</f>
        <v>2250902.317288273</v>
      </c>
      <c r="K412" s="22">
        <f t="shared" si="103"/>
        <v>2250902.317288273</v>
      </c>
      <c r="L412" s="5">
        <f t="shared" si="115"/>
        <v>425000</v>
      </c>
      <c r="M412" s="63">
        <f>L412/Assumptions!$D$6</f>
        <v>1</v>
      </c>
      <c r="N412" s="24">
        <f t="shared" si="119"/>
        <v>0</v>
      </c>
      <c r="O412" s="22">
        <f>N412*Assumptions!$E$25*-1</f>
        <v>0</v>
      </c>
      <c r="P412" s="5">
        <f>Assumptions!$E$35*J412*-1</f>
        <v>-4636.4902330234581</v>
      </c>
      <c r="Q412" s="5">
        <f>J412*Assumptions!$E$36*-1</f>
        <v>-1867.209263860721</v>
      </c>
      <c r="R412" s="5">
        <f>R400+R400*Assumptions!$D$51</f>
        <v>-1706.9003109716011</v>
      </c>
      <c r="S412" s="5">
        <f>S400+(S400*Assumptions!$D$51)</f>
        <v>0</v>
      </c>
      <c r="T412" s="5">
        <f t="shared" si="109"/>
        <v>0</v>
      </c>
      <c r="U412" s="22">
        <f t="shared" si="104"/>
        <v>-8210.5998078557805</v>
      </c>
      <c r="V412" s="5">
        <f>MAX(Assumptions!$E$18:$E$19)-U412</f>
        <v>11052.232819654477</v>
      </c>
      <c r="W412" s="5">
        <f t="shared" si="105"/>
        <v>0</v>
      </c>
      <c r="X412" s="5">
        <f t="shared" si="110"/>
        <v>-8210.5998078557805</v>
      </c>
      <c r="Y412" s="5">
        <f>D412*Assumptions!$D$44*-1</f>
        <v>0</v>
      </c>
      <c r="Z412" s="5">
        <f t="shared" si="106"/>
        <v>2841.6330117986963</v>
      </c>
      <c r="AA412" s="5">
        <f t="shared" si="116"/>
        <v>1837529.0069771442</v>
      </c>
      <c r="AB412" s="3">
        <f>Assumptions!$E$45</f>
        <v>6.9899151946608562E-3</v>
      </c>
      <c r="AC412" s="5">
        <f t="shared" si="117"/>
        <v>1853214.8119154423</v>
      </c>
      <c r="AD412" s="4">
        <f>AC412*Assumptions!$E$43</f>
        <v>1659.6937807811753</v>
      </c>
      <c r="AE412" s="2">
        <f>AD412*Assumptions!$D$44*-1</f>
        <v>-248.95406711717629</v>
      </c>
      <c r="AF412" s="2">
        <f>AC412*Assumptions!$E$46*-1</f>
        <v>-61.762504755741183</v>
      </c>
      <c r="AG412" s="5">
        <f t="shared" si="118"/>
        <v>1852904.0953435695</v>
      </c>
      <c r="AH412" s="20">
        <f>Model_30y[[#This Row],[Mortgage Payment]]+Model_30y[[#This Row],[Total Upkeep]]+Model_30y[[#This Row],[Monthly Investment]]</f>
        <v>-5368.9667960570841</v>
      </c>
      <c r="AI412" s="5">
        <f>Model_Renter!D412*-1</f>
        <v>9603.9855420334861</v>
      </c>
      <c r="AJ412" s="5">
        <f t="shared" si="111"/>
        <v>4235.018745976402</v>
      </c>
    </row>
    <row r="413" spans="1:36" x14ac:dyDescent="0.25">
      <c r="A413" s="17">
        <f t="shared" si="112"/>
        <v>411</v>
      </c>
      <c r="B413" s="17">
        <f t="shared" si="107"/>
        <v>35</v>
      </c>
      <c r="C413" s="23">
        <f>IFERROR(PPMT(Assumptions!$E$17, A413, 180, Assumptions!$D$8), 0)</f>
        <v>0</v>
      </c>
      <c r="D413" s="38">
        <f>IFERROR(IPMT(Assumptions!$E$17,A413,180,Assumptions!$D$8), 0)</f>
        <v>0</v>
      </c>
      <c r="E413" s="2">
        <f t="shared" si="113"/>
        <v>0</v>
      </c>
      <c r="F413" s="2">
        <f>IF(I412&gt;1, Assumptions!$E$19, 0)*-1</f>
        <v>0</v>
      </c>
      <c r="G413" s="24">
        <f t="shared" si="108"/>
        <v>1</v>
      </c>
      <c r="H413" s="20">
        <f t="shared" si="114"/>
        <v>339999.99999999988</v>
      </c>
      <c r="I413" s="2">
        <f>MAX(Assumptions!$D$8-SUM(Model_15y!H413), 0)</f>
        <v>1.1641532182693481E-10</v>
      </c>
      <c r="J413" s="2">
        <f>J412*(1+(Assumptions!$E$51))</f>
        <v>2260072.7719538063</v>
      </c>
      <c r="K413" s="22">
        <f t="shared" si="103"/>
        <v>2260072.7719538063</v>
      </c>
      <c r="L413" s="5">
        <f t="shared" si="115"/>
        <v>425000</v>
      </c>
      <c r="M413" s="63">
        <f>L413/Assumptions!$D$6</f>
        <v>1</v>
      </c>
      <c r="N413" s="24">
        <f t="shared" si="119"/>
        <v>0</v>
      </c>
      <c r="O413" s="22">
        <f>N413*Assumptions!$E$25*-1</f>
        <v>0</v>
      </c>
      <c r="P413" s="5">
        <f>Assumptions!$E$35*J413*-1</f>
        <v>-4655.3798681544713</v>
      </c>
      <c r="Q413" s="5">
        <f>J413*Assumptions!$E$36*-1</f>
        <v>-1874.8165055316642</v>
      </c>
      <c r="R413" s="5">
        <f>R401+R401*Assumptions!$D$51</f>
        <v>-1706.9003109716011</v>
      </c>
      <c r="S413" s="5">
        <f>S401+(S401*Assumptions!$D$51)</f>
        <v>0</v>
      </c>
      <c r="T413" s="5">
        <f t="shared" si="109"/>
        <v>0</v>
      </c>
      <c r="U413" s="22">
        <f t="shared" si="104"/>
        <v>-8237.0966846577358</v>
      </c>
      <c r="V413" s="5">
        <f>MAX(Assumptions!$E$18:$E$19)-U413</f>
        <v>11078.729696456432</v>
      </c>
      <c r="W413" s="5">
        <f t="shared" si="105"/>
        <v>0</v>
      </c>
      <c r="X413" s="5">
        <f t="shared" si="110"/>
        <v>-8237.0966846577358</v>
      </c>
      <c r="Y413" s="5">
        <f>D413*Assumptions!$D$44*-1</f>
        <v>0</v>
      </c>
      <c r="Z413" s="5">
        <f t="shared" si="106"/>
        <v>2841.6330117986963</v>
      </c>
      <c r="AA413" s="5">
        <f t="shared" si="116"/>
        <v>1852904.0953435695</v>
      </c>
      <c r="AB413" s="3">
        <f>Assumptions!$E$45</f>
        <v>6.9899151946608562E-3</v>
      </c>
      <c r="AC413" s="5">
        <f t="shared" si="117"/>
        <v>1868697.3708456594</v>
      </c>
      <c r="AD413" s="4">
        <f>AC413*Assumptions!$E$43</f>
        <v>1673.5595812279676</v>
      </c>
      <c r="AE413" s="2">
        <f>AD413*Assumptions!$D$44*-1</f>
        <v>-251.03393718419511</v>
      </c>
      <c r="AF413" s="2">
        <f>AC413*Assumptions!$E$46*-1</f>
        <v>-62.278495461950911</v>
      </c>
      <c r="AG413" s="5">
        <f t="shared" si="118"/>
        <v>1868384.0584130134</v>
      </c>
      <c r="AH413" s="20">
        <f>Model_30y[[#This Row],[Mortgage Payment]]+Model_30y[[#This Row],[Total Upkeep]]+Model_30y[[#This Row],[Monthly Investment]]</f>
        <v>-5395.4636728590394</v>
      </c>
      <c r="AI413" s="5">
        <f>Model_Renter!D413*-1</f>
        <v>9603.9855420334861</v>
      </c>
      <c r="AJ413" s="5">
        <f t="shared" si="111"/>
        <v>4208.5218691744467</v>
      </c>
    </row>
    <row r="414" spans="1:36" x14ac:dyDescent="0.25">
      <c r="A414" s="17">
        <f t="shared" si="112"/>
        <v>412</v>
      </c>
      <c r="B414" s="17">
        <f t="shared" si="107"/>
        <v>35</v>
      </c>
      <c r="C414" s="23">
        <f>IFERROR(PPMT(Assumptions!$E$17, A414, 180, Assumptions!$D$8), 0)</f>
        <v>0</v>
      </c>
      <c r="D414" s="38">
        <f>IFERROR(IPMT(Assumptions!$E$17,A414,180,Assumptions!$D$8), 0)</f>
        <v>0</v>
      </c>
      <c r="E414" s="2">
        <f t="shared" si="113"/>
        <v>0</v>
      </c>
      <c r="F414" s="2">
        <f>IF(I413&gt;1, Assumptions!$E$19, 0)*-1</f>
        <v>0</v>
      </c>
      <c r="G414" s="24">
        <f t="shared" si="108"/>
        <v>1</v>
      </c>
      <c r="H414" s="20">
        <f t="shared" si="114"/>
        <v>339999.99999999988</v>
      </c>
      <c r="I414" s="2">
        <f>MAX(Assumptions!$D$8-SUM(Model_15y!H414), 0)</f>
        <v>1.1641532182693481E-10</v>
      </c>
      <c r="J414" s="2">
        <f>J413*(1+(Assumptions!$E$51))</f>
        <v>2269280.5881867995</v>
      </c>
      <c r="K414" s="22">
        <f t="shared" si="103"/>
        <v>2269280.5881867995</v>
      </c>
      <c r="L414" s="5">
        <f t="shared" si="115"/>
        <v>425000</v>
      </c>
      <c r="M414" s="63">
        <f>L414/Assumptions!$D$6</f>
        <v>1</v>
      </c>
      <c r="N414" s="24">
        <f t="shared" si="119"/>
        <v>0</v>
      </c>
      <c r="O414" s="22">
        <f>N414*Assumptions!$E$25*-1</f>
        <v>0</v>
      </c>
      <c r="P414" s="5">
        <f>Assumptions!$E$35*J414*-1</f>
        <v>-4674.3464619972383</v>
      </c>
      <c r="Q414" s="5">
        <f>J414*Assumptions!$E$36*-1</f>
        <v>-1882.4547400468275</v>
      </c>
      <c r="R414" s="5">
        <f>R402+R402*Assumptions!$D$51</f>
        <v>-1706.9003109716011</v>
      </c>
      <c r="S414" s="5">
        <f>S402+(S402*Assumptions!$D$51)</f>
        <v>0</v>
      </c>
      <c r="T414" s="5">
        <f t="shared" si="109"/>
        <v>0</v>
      </c>
      <c r="U414" s="22">
        <f t="shared" si="104"/>
        <v>-8263.7015130156669</v>
      </c>
      <c r="V414" s="5">
        <f>MAX(Assumptions!$E$18:$E$19)-U414</f>
        <v>11105.334524814363</v>
      </c>
      <c r="W414" s="5">
        <f t="shared" si="105"/>
        <v>0</v>
      </c>
      <c r="X414" s="5">
        <f t="shared" si="110"/>
        <v>-8263.7015130156669</v>
      </c>
      <c r="Y414" s="5">
        <f>D414*Assumptions!$D$44*-1</f>
        <v>0</v>
      </c>
      <c r="Z414" s="5">
        <f t="shared" si="106"/>
        <v>2841.6330117986963</v>
      </c>
      <c r="AA414" s="5">
        <f t="shared" si="116"/>
        <v>1868384.0584130134</v>
      </c>
      <c r="AB414" s="3">
        <f>Assumptions!$E$45</f>
        <v>6.9899151946608562E-3</v>
      </c>
      <c r="AC414" s="5">
        <f t="shared" si="117"/>
        <v>1884285.5375441753</v>
      </c>
      <c r="AD414" s="4">
        <f>AC414*Assumptions!$E$43</f>
        <v>1687.5199614046005</v>
      </c>
      <c r="AE414" s="2">
        <f>AD414*Assumptions!$D$44*-1</f>
        <v>-253.12799421069008</v>
      </c>
      <c r="AF414" s="2">
        <f>AC414*Assumptions!$E$46*-1</f>
        <v>-62.798005781888016</v>
      </c>
      <c r="AG414" s="5">
        <f t="shared" si="118"/>
        <v>1883969.6115441828</v>
      </c>
      <c r="AH414" s="20">
        <f>Model_30y[[#This Row],[Mortgage Payment]]+Model_30y[[#This Row],[Total Upkeep]]+Model_30y[[#This Row],[Monthly Investment]]</f>
        <v>-5422.0685012169706</v>
      </c>
      <c r="AI414" s="5">
        <f>Model_Renter!D414*-1</f>
        <v>9603.9855420334861</v>
      </c>
      <c r="AJ414" s="5">
        <f t="shared" si="111"/>
        <v>4181.9170408165155</v>
      </c>
    </row>
    <row r="415" spans="1:36" x14ac:dyDescent="0.25">
      <c r="A415" s="17">
        <f t="shared" si="112"/>
        <v>413</v>
      </c>
      <c r="B415" s="17">
        <f t="shared" si="107"/>
        <v>35</v>
      </c>
      <c r="C415" s="23">
        <f>IFERROR(PPMT(Assumptions!$E$17, A415, 180, Assumptions!$D$8), 0)</f>
        <v>0</v>
      </c>
      <c r="D415" s="38">
        <f>IFERROR(IPMT(Assumptions!$E$17,A415,180,Assumptions!$D$8), 0)</f>
        <v>0</v>
      </c>
      <c r="E415" s="2">
        <f t="shared" si="113"/>
        <v>0</v>
      </c>
      <c r="F415" s="2">
        <f>IF(I414&gt;1, Assumptions!$E$19, 0)*-1</f>
        <v>0</v>
      </c>
      <c r="G415" s="24">
        <f t="shared" si="108"/>
        <v>1</v>
      </c>
      <c r="H415" s="20">
        <f t="shared" si="114"/>
        <v>339999.99999999988</v>
      </c>
      <c r="I415" s="2">
        <f>MAX(Assumptions!$D$8-SUM(Model_15y!H415), 0)</f>
        <v>1.1641532182693481E-10</v>
      </c>
      <c r="J415" s="2">
        <f>J414*(1+(Assumptions!$E$51))</f>
        <v>2278525.9182029031</v>
      </c>
      <c r="K415" s="22">
        <f t="shared" si="103"/>
        <v>2278525.9182029031</v>
      </c>
      <c r="L415" s="5">
        <f t="shared" si="115"/>
        <v>425000</v>
      </c>
      <c r="M415" s="63">
        <f>L415/Assumptions!$D$6</f>
        <v>1</v>
      </c>
      <c r="N415" s="24">
        <f t="shared" si="119"/>
        <v>0</v>
      </c>
      <c r="O415" s="22">
        <f>N415*Assumptions!$E$25*-1</f>
        <v>0</v>
      </c>
      <c r="P415" s="5">
        <f>Assumptions!$E$35*J415*-1</f>
        <v>-4693.3903280910736</v>
      </c>
      <c r="Q415" s="5">
        <f>J415*Assumptions!$E$36*-1</f>
        <v>-1890.1240936748941</v>
      </c>
      <c r="R415" s="5">
        <f>R403+R403*Assumptions!$D$51</f>
        <v>-1706.9003109716011</v>
      </c>
      <c r="S415" s="5">
        <f>S403+(S403*Assumptions!$D$51)</f>
        <v>0</v>
      </c>
      <c r="T415" s="5">
        <f t="shared" si="109"/>
        <v>0</v>
      </c>
      <c r="U415" s="22">
        <f t="shared" si="104"/>
        <v>-8290.4147327375686</v>
      </c>
      <c r="V415" s="5">
        <f>MAX(Assumptions!$E$18:$E$19)-U415</f>
        <v>11132.047744536265</v>
      </c>
      <c r="W415" s="5">
        <f t="shared" si="105"/>
        <v>0</v>
      </c>
      <c r="X415" s="5">
        <f t="shared" si="110"/>
        <v>-8290.4147327375686</v>
      </c>
      <c r="Y415" s="5">
        <f>D415*Assumptions!$D$44*-1</f>
        <v>0</v>
      </c>
      <c r="Z415" s="5">
        <f t="shared" si="106"/>
        <v>2841.6330117986963</v>
      </c>
      <c r="AA415" s="5">
        <f t="shared" si="116"/>
        <v>1883969.6115441828</v>
      </c>
      <c r="AB415" s="3">
        <f>Assumptions!$E$45</f>
        <v>6.9899151946608562E-3</v>
      </c>
      <c r="AC415" s="5">
        <f t="shared" si="117"/>
        <v>1899980.0323699934</v>
      </c>
      <c r="AD415" s="4">
        <f>AC415*Assumptions!$E$43</f>
        <v>1701.5755664469486</v>
      </c>
      <c r="AE415" s="2">
        <f>AD415*Assumptions!$D$44*-1</f>
        <v>-255.2363349670423</v>
      </c>
      <c r="AF415" s="2">
        <f>AC415*Assumptions!$E$46*-1</f>
        <v>-63.321059723118211</v>
      </c>
      <c r="AG415" s="5">
        <f t="shared" si="118"/>
        <v>1899661.4749753033</v>
      </c>
      <c r="AH415" s="20">
        <f>Model_30y[[#This Row],[Mortgage Payment]]+Model_30y[[#This Row],[Total Upkeep]]+Model_30y[[#This Row],[Monthly Investment]]</f>
        <v>-5448.7817209388722</v>
      </c>
      <c r="AI415" s="5">
        <f>Model_Renter!D415*-1</f>
        <v>9603.9855420334861</v>
      </c>
      <c r="AJ415" s="5">
        <f t="shared" si="111"/>
        <v>4155.2038210946139</v>
      </c>
    </row>
    <row r="416" spans="1:36" x14ac:dyDescent="0.25">
      <c r="A416" s="17">
        <f t="shared" si="112"/>
        <v>414</v>
      </c>
      <c r="B416" s="17">
        <f t="shared" si="107"/>
        <v>35</v>
      </c>
      <c r="C416" s="23">
        <f>IFERROR(PPMT(Assumptions!$E$17, A416, 180, Assumptions!$D$8), 0)</f>
        <v>0</v>
      </c>
      <c r="D416" s="38">
        <f>IFERROR(IPMT(Assumptions!$E$17,A416,180,Assumptions!$D$8), 0)</f>
        <v>0</v>
      </c>
      <c r="E416" s="2">
        <f t="shared" si="113"/>
        <v>0</v>
      </c>
      <c r="F416" s="2">
        <f>IF(I415&gt;1, Assumptions!$E$19, 0)*-1</f>
        <v>0</v>
      </c>
      <c r="G416" s="24">
        <f t="shared" si="108"/>
        <v>1</v>
      </c>
      <c r="H416" s="20">
        <f t="shared" si="114"/>
        <v>339999.99999999988</v>
      </c>
      <c r="I416" s="2">
        <f>MAX(Assumptions!$D$8-SUM(Model_15y!H416), 0)</f>
        <v>1.1641532182693481E-10</v>
      </c>
      <c r="J416" s="2">
        <f>J415*(1+(Assumptions!$E$51))</f>
        <v>2287808.9148379127</v>
      </c>
      <c r="K416" s="22">
        <f t="shared" si="103"/>
        <v>2287808.9148379127</v>
      </c>
      <c r="L416" s="5">
        <f t="shared" si="115"/>
        <v>425000</v>
      </c>
      <c r="M416" s="63">
        <f>L416/Assumptions!$D$6</f>
        <v>1</v>
      </c>
      <c r="N416" s="24">
        <f t="shared" si="119"/>
        <v>0</v>
      </c>
      <c r="O416" s="22">
        <f>N416*Assumptions!$E$25*-1</f>
        <v>0</v>
      </c>
      <c r="P416" s="5">
        <f>Assumptions!$E$35*J416*-1</f>
        <v>-4712.5117812526951</v>
      </c>
      <c r="Q416" s="5">
        <f>J416*Assumptions!$E$36*-1</f>
        <v>-1897.8246931989815</v>
      </c>
      <c r="R416" s="5">
        <f>R404+R404*Assumptions!$D$51</f>
        <v>-1706.9003109716011</v>
      </c>
      <c r="S416" s="5">
        <f>S404+(S404*Assumptions!$D$51)</f>
        <v>0</v>
      </c>
      <c r="T416" s="5">
        <f t="shared" si="109"/>
        <v>0</v>
      </c>
      <c r="U416" s="22">
        <f t="shared" si="104"/>
        <v>-8317.236785423278</v>
      </c>
      <c r="V416" s="5">
        <f>MAX(Assumptions!$E$18:$E$19)-U416</f>
        <v>11158.869797221974</v>
      </c>
      <c r="W416" s="5">
        <f t="shared" si="105"/>
        <v>0</v>
      </c>
      <c r="X416" s="5">
        <f t="shared" si="110"/>
        <v>-8317.236785423278</v>
      </c>
      <c r="Y416" s="5">
        <f>D416*Assumptions!$D$44*-1</f>
        <v>0</v>
      </c>
      <c r="Z416" s="5">
        <f t="shared" si="106"/>
        <v>2841.6330117986963</v>
      </c>
      <c r="AA416" s="5">
        <f t="shared" si="116"/>
        <v>1899661.4749753033</v>
      </c>
      <c r="AB416" s="3">
        <f>Assumptions!$E$45</f>
        <v>6.9899151946608562E-3</v>
      </c>
      <c r="AC416" s="5">
        <f t="shared" si="117"/>
        <v>1915781.5805957436</v>
      </c>
      <c r="AD416" s="4">
        <f>AC416*Assumptions!$E$43</f>
        <v>1715.7270458914093</v>
      </c>
      <c r="AE416" s="2">
        <f>AD416*Assumptions!$D$44*-1</f>
        <v>-257.35905688371139</v>
      </c>
      <c r="AF416" s="2">
        <f>AC416*Assumptions!$E$46*-1</f>
        <v>-63.847681456964736</v>
      </c>
      <c r="AG416" s="5">
        <f t="shared" si="118"/>
        <v>1915460.3738574029</v>
      </c>
      <c r="AH416" s="20">
        <f>Model_30y[[#This Row],[Mortgage Payment]]+Model_30y[[#This Row],[Total Upkeep]]+Model_30y[[#This Row],[Monthly Investment]]</f>
        <v>-5475.6037736245817</v>
      </c>
      <c r="AI416" s="5">
        <f>Model_Renter!D416*-1</f>
        <v>9603.9855420334861</v>
      </c>
      <c r="AJ416" s="5">
        <f t="shared" si="111"/>
        <v>4128.3817684089045</v>
      </c>
    </row>
    <row r="417" spans="1:36" x14ac:dyDescent="0.25">
      <c r="A417" s="17">
        <f t="shared" si="112"/>
        <v>415</v>
      </c>
      <c r="B417" s="17">
        <f t="shared" si="107"/>
        <v>35</v>
      </c>
      <c r="C417" s="23">
        <f>IFERROR(PPMT(Assumptions!$E$17, A417, 180, Assumptions!$D$8), 0)</f>
        <v>0</v>
      </c>
      <c r="D417" s="38">
        <f>IFERROR(IPMT(Assumptions!$E$17,A417,180,Assumptions!$D$8), 0)</f>
        <v>0</v>
      </c>
      <c r="E417" s="2">
        <f t="shared" si="113"/>
        <v>0</v>
      </c>
      <c r="F417" s="2">
        <f>IF(I416&gt;1, Assumptions!$E$19, 0)*-1</f>
        <v>0</v>
      </c>
      <c r="G417" s="24">
        <f t="shared" si="108"/>
        <v>1</v>
      </c>
      <c r="H417" s="20">
        <f t="shared" si="114"/>
        <v>339999.99999999988</v>
      </c>
      <c r="I417" s="2">
        <f>MAX(Assumptions!$D$8-SUM(Model_15y!H417), 0)</f>
        <v>1.1641532182693481E-10</v>
      </c>
      <c r="J417" s="2">
        <f>J416*(1+(Assumptions!$E$51))</f>
        <v>2297129.7315502963</v>
      </c>
      <c r="K417" s="22">
        <f t="shared" si="103"/>
        <v>2297129.7315502963</v>
      </c>
      <c r="L417" s="5">
        <f t="shared" si="115"/>
        <v>425000</v>
      </c>
      <c r="M417" s="63">
        <f>L417/Assumptions!$D$6</f>
        <v>1</v>
      </c>
      <c r="N417" s="24">
        <f t="shared" si="119"/>
        <v>0</v>
      </c>
      <c r="O417" s="22">
        <f>N417*Assumptions!$E$25*-1</f>
        <v>0</v>
      </c>
      <c r="P417" s="5">
        <f>Assumptions!$E$35*J417*-1</f>
        <v>-4731.7111375814193</v>
      </c>
      <c r="Q417" s="5">
        <f>J417*Assumptions!$E$36*-1</f>
        <v>-1905.5566659187386</v>
      </c>
      <c r="R417" s="5">
        <f>R405+R405*Assumptions!$D$51</f>
        <v>-1706.9003109716011</v>
      </c>
      <c r="S417" s="5">
        <f>S405+(S405*Assumptions!$D$51)</f>
        <v>0</v>
      </c>
      <c r="T417" s="5">
        <f t="shared" si="109"/>
        <v>0</v>
      </c>
      <c r="U417" s="22">
        <f t="shared" si="104"/>
        <v>-8344.1681144717586</v>
      </c>
      <c r="V417" s="5">
        <f>MAX(Assumptions!$E$18:$E$19)-U417</f>
        <v>11185.801126270455</v>
      </c>
      <c r="W417" s="5">
        <f t="shared" si="105"/>
        <v>0</v>
      </c>
      <c r="X417" s="5">
        <f t="shared" si="110"/>
        <v>-8344.1681144717586</v>
      </c>
      <c r="Y417" s="5">
        <f>D417*Assumptions!$D$44*-1</f>
        <v>0</v>
      </c>
      <c r="Z417" s="5">
        <f t="shared" si="106"/>
        <v>2841.6330117986963</v>
      </c>
      <c r="AA417" s="5">
        <f t="shared" si="116"/>
        <v>1915460.3738574029</v>
      </c>
      <c r="AB417" s="3">
        <f>Assumptions!$E$45</f>
        <v>6.9899151946608562E-3</v>
      </c>
      <c r="AC417" s="5">
        <f t="shared" si="117"/>
        <v>1931690.9124411982</v>
      </c>
      <c r="AD417" s="4">
        <f>AC417*Assumptions!$E$43</f>
        <v>1729.9750537049199</v>
      </c>
      <c r="AE417" s="2">
        <f>AD417*Assumptions!$D$44*-1</f>
        <v>-259.496258055738</v>
      </c>
      <c r="AF417" s="2">
        <f>AC417*Assumptions!$E$46*-1</f>
        <v>-64.377895319625352</v>
      </c>
      <c r="AG417" s="5">
        <f t="shared" si="118"/>
        <v>1931367.0382878229</v>
      </c>
      <c r="AH417" s="20">
        <f>Model_30y[[#This Row],[Mortgage Payment]]+Model_30y[[#This Row],[Total Upkeep]]+Model_30y[[#This Row],[Monthly Investment]]</f>
        <v>-5502.5351026730623</v>
      </c>
      <c r="AI417" s="5">
        <f>Model_Renter!D417*-1</f>
        <v>9603.9855420334861</v>
      </c>
      <c r="AJ417" s="5">
        <f t="shared" si="111"/>
        <v>4101.4504393604238</v>
      </c>
    </row>
    <row r="418" spans="1:36" x14ac:dyDescent="0.25">
      <c r="A418" s="17">
        <f t="shared" si="112"/>
        <v>416</v>
      </c>
      <c r="B418" s="17">
        <f t="shared" si="107"/>
        <v>35</v>
      </c>
      <c r="C418" s="23">
        <f>IFERROR(PPMT(Assumptions!$E$17, A418, 180, Assumptions!$D$8), 0)</f>
        <v>0</v>
      </c>
      <c r="D418" s="38">
        <f>IFERROR(IPMT(Assumptions!$E$17,A418,180,Assumptions!$D$8), 0)</f>
        <v>0</v>
      </c>
      <c r="E418" s="2">
        <f t="shared" si="113"/>
        <v>0</v>
      </c>
      <c r="F418" s="2">
        <f>IF(I417&gt;1, Assumptions!$E$19, 0)*-1</f>
        <v>0</v>
      </c>
      <c r="G418" s="24">
        <f t="shared" si="108"/>
        <v>1</v>
      </c>
      <c r="H418" s="20">
        <f t="shared" si="114"/>
        <v>339999.99999999988</v>
      </c>
      <c r="I418" s="2">
        <f>MAX(Assumptions!$D$8-SUM(Model_15y!H418), 0)</f>
        <v>1.1641532182693481E-10</v>
      </c>
      <c r="J418" s="2">
        <f>J417*(1+(Assumptions!$E$51))</f>
        <v>2306488.5224237312</v>
      </c>
      <c r="K418" s="22">
        <f t="shared" si="103"/>
        <v>2306488.5224237312</v>
      </c>
      <c r="L418" s="5">
        <f t="shared" si="115"/>
        <v>425000</v>
      </c>
      <c r="M418" s="63">
        <f>L418/Assumptions!$D$6</f>
        <v>1</v>
      </c>
      <c r="N418" s="24">
        <f t="shared" si="119"/>
        <v>0</v>
      </c>
      <c r="O418" s="22">
        <f>N418*Assumptions!$E$25*-1</f>
        <v>0</v>
      </c>
      <c r="P418" s="5">
        <f>Assumptions!$E$35*J418*-1</f>
        <v>-4750.9887144643935</v>
      </c>
      <c r="Q418" s="5">
        <f>J418*Assumptions!$E$36*-1</f>
        <v>-1913.3201396524478</v>
      </c>
      <c r="R418" s="5">
        <f>R406+R406*Assumptions!$D$51</f>
        <v>-1706.9003109716011</v>
      </c>
      <c r="S418" s="5">
        <f>S406+(S406*Assumptions!$D$51)</f>
        <v>0</v>
      </c>
      <c r="T418" s="5">
        <f t="shared" si="109"/>
        <v>0</v>
      </c>
      <c r="U418" s="22">
        <f t="shared" si="104"/>
        <v>-8371.2091650884431</v>
      </c>
      <c r="V418" s="5">
        <f>MAX(Assumptions!$E$18:$E$19)-U418</f>
        <v>11212.842176887139</v>
      </c>
      <c r="W418" s="5">
        <f t="shared" si="105"/>
        <v>0</v>
      </c>
      <c r="X418" s="5">
        <f t="shared" si="110"/>
        <v>-8371.2091650884431</v>
      </c>
      <c r="Y418" s="5">
        <f>D418*Assumptions!$D$44*-1</f>
        <v>0</v>
      </c>
      <c r="Z418" s="5">
        <f t="shared" si="106"/>
        <v>2841.6330117986963</v>
      </c>
      <c r="AA418" s="5">
        <f t="shared" si="116"/>
        <v>1931367.0382878229</v>
      </c>
      <c r="AB418" s="3">
        <f>Assumptions!$E$45</f>
        <v>6.9899151946608562E-3</v>
      </c>
      <c r="AC418" s="5">
        <f t="shared" si="117"/>
        <v>1947708.7631070167</v>
      </c>
      <c r="AD418" s="4">
        <f>AC418*Assumptions!$E$43</f>
        <v>1744.3202483151783</v>
      </c>
      <c r="AE418" s="2">
        <f>AD418*Assumptions!$D$44*-1</f>
        <v>-261.64803724727676</v>
      </c>
      <c r="AF418" s="2">
        <f>AC418*Assumptions!$E$46*-1</f>
        <v>-64.911725813296968</v>
      </c>
      <c r="AG418" s="5">
        <f t="shared" si="118"/>
        <v>1947382.203343956</v>
      </c>
      <c r="AH418" s="20">
        <f>Model_30y[[#This Row],[Mortgage Payment]]+Model_30y[[#This Row],[Total Upkeep]]+Model_30y[[#This Row],[Monthly Investment]]</f>
        <v>-5529.5761532897468</v>
      </c>
      <c r="AI418" s="5">
        <f>Model_Renter!D418*-1</f>
        <v>9603.9855420334861</v>
      </c>
      <c r="AJ418" s="5">
        <f t="shared" si="111"/>
        <v>4074.4093887437393</v>
      </c>
    </row>
    <row r="419" spans="1:36" x14ac:dyDescent="0.25">
      <c r="A419" s="17">
        <f t="shared" si="112"/>
        <v>417</v>
      </c>
      <c r="B419" s="17">
        <f t="shared" si="107"/>
        <v>35</v>
      </c>
      <c r="C419" s="23">
        <f>IFERROR(PPMT(Assumptions!$E$17, A419, 180, Assumptions!$D$8), 0)</f>
        <v>0</v>
      </c>
      <c r="D419" s="38">
        <f>IFERROR(IPMT(Assumptions!$E$17,A419,180,Assumptions!$D$8), 0)</f>
        <v>0</v>
      </c>
      <c r="E419" s="2">
        <f t="shared" si="113"/>
        <v>0</v>
      </c>
      <c r="F419" s="2">
        <f>IF(I418&gt;1, Assumptions!$E$19, 0)*-1</f>
        <v>0</v>
      </c>
      <c r="G419" s="24">
        <f t="shared" si="108"/>
        <v>1</v>
      </c>
      <c r="H419" s="20">
        <f t="shared" si="114"/>
        <v>339999.99999999988</v>
      </c>
      <c r="I419" s="2">
        <f>MAX(Assumptions!$D$8-SUM(Model_15y!H419), 0)</f>
        <v>1.1641532182693481E-10</v>
      </c>
      <c r="J419" s="2">
        <f>J418*(1+(Assumptions!$E$51))</f>
        <v>2315885.4421696495</v>
      </c>
      <c r="K419" s="22">
        <f t="shared" si="103"/>
        <v>2315885.4421696495</v>
      </c>
      <c r="L419" s="5">
        <f t="shared" si="115"/>
        <v>425000</v>
      </c>
      <c r="M419" s="63">
        <f>L419/Assumptions!$D$6</f>
        <v>1</v>
      </c>
      <c r="N419" s="24">
        <f t="shared" si="119"/>
        <v>0</v>
      </c>
      <c r="O419" s="22">
        <f>N419*Assumptions!$E$25*-1</f>
        <v>0</v>
      </c>
      <c r="P419" s="5">
        <f>Assumptions!$E$35*J419*-1</f>
        <v>-4770.3448305818374</v>
      </c>
      <c r="Q419" s="5">
        <f>J419*Assumptions!$E$36*-1</f>
        <v>-1921.1152427391391</v>
      </c>
      <c r="R419" s="5">
        <f>R407+R407*Assumptions!$D$51</f>
        <v>-1706.9003109716011</v>
      </c>
      <c r="S419" s="5">
        <f>S407+(S407*Assumptions!$D$51)</f>
        <v>0</v>
      </c>
      <c r="T419" s="5">
        <f t="shared" si="109"/>
        <v>0</v>
      </c>
      <c r="U419" s="22">
        <f t="shared" si="104"/>
        <v>-8398.3603842925768</v>
      </c>
      <c r="V419" s="5">
        <f>MAX(Assumptions!$E$18:$E$19)-U419</f>
        <v>11239.993396091273</v>
      </c>
      <c r="W419" s="5">
        <f t="shared" si="105"/>
        <v>0</v>
      </c>
      <c r="X419" s="5">
        <f t="shared" si="110"/>
        <v>-8398.3603842925768</v>
      </c>
      <c r="Y419" s="5">
        <f>D419*Assumptions!$D$44*-1</f>
        <v>0</v>
      </c>
      <c r="Z419" s="5">
        <f t="shared" si="106"/>
        <v>2841.6330117986963</v>
      </c>
      <c r="AA419" s="5">
        <f t="shared" si="116"/>
        <v>1947382.203343956</v>
      </c>
      <c r="AB419" s="3">
        <f>Assumptions!$E$45</f>
        <v>6.9899151946608562E-3</v>
      </c>
      <c r="AC419" s="5">
        <f t="shared" si="117"/>
        <v>1963835.8728087207</v>
      </c>
      <c r="AD419" s="4">
        <f>AC419*Assumptions!$E$43</f>
        <v>1758.7632926410702</v>
      </c>
      <c r="AE419" s="2">
        <f>AD419*Assumptions!$D$44*-1</f>
        <v>-263.81449389616051</v>
      </c>
      <c r="AF419" s="2">
        <f>AC419*Assumptions!$E$46*-1</f>
        <v>-65.449197607307909</v>
      </c>
      <c r="AG419" s="5">
        <f t="shared" si="118"/>
        <v>1963506.6091172171</v>
      </c>
      <c r="AH419" s="20">
        <f>Model_30y[[#This Row],[Mortgage Payment]]+Model_30y[[#This Row],[Total Upkeep]]+Model_30y[[#This Row],[Monthly Investment]]</f>
        <v>-5556.7273724938805</v>
      </c>
      <c r="AI419" s="5">
        <f>Model_Renter!D419*-1</f>
        <v>9603.9855420334861</v>
      </c>
      <c r="AJ419" s="5">
        <f t="shared" si="111"/>
        <v>4047.2581695396057</v>
      </c>
    </row>
    <row r="420" spans="1:36" x14ac:dyDescent="0.25">
      <c r="A420" s="17">
        <f t="shared" si="112"/>
        <v>418</v>
      </c>
      <c r="B420" s="17">
        <f t="shared" si="107"/>
        <v>35</v>
      </c>
      <c r="C420" s="23">
        <f>IFERROR(PPMT(Assumptions!$E$17, A420, 180, Assumptions!$D$8), 0)</f>
        <v>0</v>
      </c>
      <c r="D420" s="38">
        <f>IFERROR(IPMT(Assumptions!$E$17,A420,180,Assumptions!$D$8), 0)</f>
        <v>0</v>
      </c>
      <c r="E420" s="2">
        <f t="shared" si="113"/>
        <v>0</v>
      </c>
      <c r="F420" s="2">
        <f>IF(I419&gt;1, Assumptions!$E$19, 0)*-1</f>
        <v>0</v>
      </c>
      <c r="G420" s="24">
        <f t="shared" si="108"/>
        <v>1</v>
      </c>
      <c r="H420" s="20">
        <f t="shared" si="114"/>
        <v>339999.99999999988</v>
      </c>
      <c r="I420" s="2">
        <f>MAX(Assumptions!$D$8-SUM(Model_15y!H420), 0)</f>
        <v>1.1641532182693481E-10</v>
      </c>
      <c r="J420" s="2">
        <f>J419*(1+(Assumptions!$E$51))</f>
        <v>2325320.6461297977</v>
      </c>
      <c r="K420" s="22">
        <f t="shared" si="103"/>
        <v>2325320.6461297977</v>
      </c>
      <c r="L420" s="5">
        <f t="shared" si="115"/>
        <v>425000</v>
      </c>
      <c r="M420" s="63">
        <f>L420/Assumptions!$D$6</f>
        <v>1</v>
      </c>
      <c r="N420" s="24">
        <f t="shared" si="119"/>
        <v>0</v>
      </c>
      <c r="O420" s="22">
        <f>N420*Assumptions!$E$25*-1</f>
        <v>0</v>
      </c>
      <c r="P420" s="5">
        <f>Assumptions!$E$35*J420*-1</f>
        <v>-4789.7798059123143</v>
      </c>
      <c r="Q420" s="5">
        <f>J420*Assumptions!$E$36*-1</f>
        <v>-1928.9421040407119</v>
      </c>
      <c r="R420" s="5">
        <f>R408+R408*Assumptions!$D$51</f>
        <v>-1706.9003109716011</v>
      </c>
      <c r="S420" s="5">
        <f>S408+(S408*Assumptions!$D$51)</f>
        <v>0</v>
      </c>
      <c r="T420" s="5">
        <f t="shared" si="109"/>
        <v>0</v>
      </c>
      <c r="U420" s="22">
        <f t="shared" si="104"/>
        <v>-8425.622220924628</v>
      </c>
      <c r="V420" s="5">
        <f>MAX(Assumptions!$E$18:$E$19)-U420</f>
        <v>11267.255232723324</v>
      </c>
      <c r="W420" s="5">
        <f t="shared" si="105"/>
        <v>0</v>
      </c>
      <c r="X420" s="5">
        <f t="shared" si="110"/>
        <v>-8425.622220924628</v>
      </c>
      <c r="Y420" s="5">
        <f>D420*Assumptions!$D$44*-1</f>
        <v>0</v>
      </c>
      <c r="Z420" s="5">
        <f t="shared" si="106"/>
        <v>2841.6330117986963</v>
      </c>
      <c r="AA420" s="5">
        <f t="shared" si="116"/>
        <v>1963506.6091172171</v>
      </c>
      <c r="AB420" s="3">
        <f>Assumptions!$E$45</f>
        <v>6.9899151946608562E-3</v>
      </c>
      <c r="AC420" s="5">
        <f t="shared" si="117"/>
        <v>1980072.9868109012</v>
      </c>
      <c r="AD420" s="4">
        <f>AC420*Assumptions!$E$43</f>
        <v>1773.3048541233034</v>
      </c>
      <c r="AE420" s="2">
        <f>AD420*Assumptions!$D$44*-1</f>
        <v>-265.99572811849549</v>
      </c>
      <c r="AF420" s="2">
        <f>AC420*Assumptions!$E$46*-1</f>
        <v>-65.990335539257998</v>
      </c>
      <c r="AG420" s="5">
        <f t="shared" si="118"/>
        <v>1979741.0007472434</v>
      </c>
      <c r="AH420" s="20">
        <f>Model_30y[[#This Row],[Mortgage Payment]]+Model_30y[[#This Row],[Total Upkeep]]+Model_30y[[#This Row],[Monthly Investment]]</f>
        <v>-5583.9892091259317</v>
      </c>
      <c r="AI420" s="5">
        <f>Model_Renter!D420*-1</f>
        <v>9603.9855420334861</v>
      </c>
      <c r="AJ420" s="5">
        <f t="shared" si="111"/>
        <v>4019.9963329075545</v>
      </c>
    </row>
    <row r="421" spans="1:36" x14ac:dyDescent="0.25">
      <c r="A421" s="17">
        <f t="shared" si="112"/>
        <v>419</v>
      </c>
      <c r="B421" s="17">
        <f t="shared" si="107"/>
        <v>35</v>
      </c>
      <c r="C421" s="23">
        <f>IFERROR(PPMT(Assumptions!$E$17, A421, 180, Assumptions!$D$8), 0)</f>
        <v>0</v>
      </c>
      <c r="D421" s="38">
        <f>IFERROR(IPMT(Assumptions!$E$17,A421,180,Assumptions!$D$8), 0)</f>
        <v>0</v>
      </c>
      <c r="E421" s="2">
        <f t="shared" si="113"/>
        <v>0</v>
      </c>
      <c r="F421" s="2">
        <f>IF(I420&gt;1, Assumptions!$E$19, 0)*-1</f>
        <v>0</v>
      </c>
      <c r="G421" s="24">
        <f t="shared" si="108"/>
        <v>1</v>
      </c>
      <c r="H421" s="20">
        <f t="shared" si="114"/>
        <v>339999.99999999988</v>
      </c>
      <c r="I421" s="2">
        <f>MAX(Assumptions!$D$8-SUM(Model_15y!H421), 0)</f>
        <v>1.1641532182693481E-10</v>
      </c>
      <c r="J421" s="2">
        <f>J420*(1+(Assumptions!$E$51))</f>
        <v>2334794.2902788036</v>
      </c>
      <c r="K421" s="22">
        <f t="shared" si="103"/>
        <v>2334794.2902788036</v>
      </c>
      <c r="L421" s="5">
        <f t="shared" si="115"/>
        <v>425000</v>
      </c>
      <c r="M421" s="63">
        <f>L421/Assumptions!$D$6</f>
        <v>1</v>
      </c>
      <c r="N421" s="24">
        <f t="shared" si="119"/>
        <v>0</v>
      </c>
      <c r="O421" s="22">
        <f>N421*Assumptions!$E$25*-1</f>
        <v>0</v>
      </c>
      <c r="P421" s="5">
        <f>Assumptions!$E$35*J421*-1</f>
        <v>-4809.2939617380198</v>
      </c>
      <c r="Q421" s="5">
        <f>J421*Assumptions!$E$36*-1</f>
        <v>-1936.8008529440647</v>
      </c>
      <c r="R421" s="5">
        <f>R409+R409*Assumptions!$D$51</f>
        <v>-1706.9003109716011</v>
      </c>
      <c r="S421" s="5">
        <f>S409+(S409*Assumptions!$D$51)</f>
        <v>0</v>
      </c>
      <c r="T421" s="5">
        <f t="shared" si="109"/>
        <v>0</v>
      </c>
      <c r="U421" s="22">
        <f t="shared" si="104"/>
        <v>-8452.995125653686</v>
      </c>
      <c r="V421" s="5">
        <f>MAX(Assumptions!$E$18:$E$19)-U421</f>
        <v>11294.628137452382</v>
      </c>
      <c r="W421" s="5">
        <f t="shared" si="105"/>
        <v>0</v>
      </c>
      <c r="X421" s="5">
        <f t="shared" si="110"/>
        <v>-8452.995125653686</v>
      </c>
      <c r="Y421" s="5">
        <f>D421*Assumptions!$D$44*-1</f>
        <v>0</v>
      </c>
      <c r="Z421" s="5">
        <f t="shared" si="106"/>
        <v>2841.6330117986963</v>
      </c>
      <c r="AA421" s="5">
        <f t="shared" si="116"/>
        <v>1979741.0007472434</v>
      </c>
      <c r="AB421" s="3">
        <f>Assumptions!$E$45</f>
        <v>6.9899151946608562E-3</v>
      </c>
      <c r="AC421" s="5">
        <f t="shared" si="117"/>
        <v>1996420.8554616582</v>
      </c>
      <c r="AD421" s="4">
        <f>AC421*Assumptions!$E$43</f>
        <v>1787.9456047552528</v>
      </c>
      <c r="AE421" s="2">
        <f>AD421*Assumptions!$D$44*-1</f>
        <v>-268.19184071328789</v>
      </c>
      <c r="AF421" s="2">
        <f>AC421*Assumptions!$E$46*-1</f>
        <v>-66.535164616166256</v>
      </c>
      <c r="AG421" s="5">
        <f t="shared" si="118"/>
        <v>1996086.1284563288</v>
      </c>
      <c r="AH421" s="20">
        <f>Model_30y[[#This Row],[Mortgage Payment]]+Model_30y[[#This Row],[Total Upkeep]]+Model_30y[[#This Row],[Monthly Investment]]</f>
        <v>-5611.3621138549897</v>
      </c>
      <c r="AI421" s="5">
        <f>Model_Renter!D421*-1</f>
        <v>9603.9855420334861</v>
      </c>
      <c r="AJ421" s="5">
        <f t="shared" si="111"/>
        <v>3992.6234281784964</v>
      </c>
    </row>
    <row r="422" spans="1:36" x14ac:dyDescent="0.25">
      <c r="A422" s="17">
        <f t="shared" si="112"/>
        <v>420</v>
      </c>
      <c r="B422" s="17">
        <f t="shared" si="107"/>
        <v>35</v>
      </c>
      <c r="C422" s="23">
        <f>IFERROR(PPMT(Assumptions!$E$17, A422, 180, Assumptions!$D$8), 0)</f>
        <v>0</v>
      </c>
      <c r="D422" s="38">
        <f>IFERROR(IPMT(Assumptions!$E$17,A422,180,Assumptions!$D$8), 0)</f>
        <v>0</v>
      </c>
      <c r="E422" s="2">
        <f t="shared" si="113"/>
        <v>0</v>
      </c>
      <c r="F422" s="2">
        <f>IF(I421&gt;1, Assumptions!$E$19, 0)*-1</f>
        <v>0</v>
      </c>
      <c r="G422" s="24">
        <f t="shared" si="108"/>
        <v>1</v>
      </c>
      <c r="H422" s="20">
        <f t="shared" si="114"/>
        <v>339999.99999999988</v>
      </c>
      <c r="I422" s="2">
        <f>MAX(Assumptions!$D$8-SUM(Model_15y!H422), 0)</f>
        <v>1.1641532182693481E-10</v>
      </c>
      <c r="J422" s="2">
        <f>J421*(1+(Assumptions!$E$51))</f>
        <v>2344306.5312267547</v>
      </c>
      <c r="K422" s="22">
        <f t="shared" si="103"/>
        <v>2344306.5312267547</v>
      </c>
      <c r="L422" s="5">
        <f t="shared" si="115"/>
        <v>425000</v>
      </c>
      <c r="M422" s="63">
        <f>L422/Assumptions!$D$6</f>
        <v>1</v>
      </c>
      <c r="N422" s="24">
        <f t="shared" si="119"/>
        <v>0</v>
      </c>
      <c r="O422" s="22">
        <f>N422*Assumptions!$E$25*-1</f>
        <v>0</v>
      </c>
      <c r="P422" s="5">
        <f>Assumptions!$E$35*J422*-1</f>
        <v>-4828.8876206500927</v>
      </c>
      <c r="Q422" s="5">
        <f>J422*Assumptions!$E$36*-1</f>
        <v>-1944.6916193632344</v>
      </c>
      <c r="R422" s="5">
        <f>R410+R410*Assumptions!$D$51</f>
        <v>-1706.9003109716011</v>
      </c>
      <c r="S422" s="5">
        <f>S410+(S410*Assumptions!$D$51)</f>
        <v>0</v>
      </c>
      <c r="T422" s="5">
        <f t="shared" si="109"/>
        <v>0</v>
      </c>
      <c r="U422" s="22">
        <f t="shared" si="104"/>
        <v>-8480.4795509849282</v>
      </c>
      <c r="V422" s="5">
        <f>MAX(Assumptions!$E$18:$E$19)-U422</f>
        <v>11322.112562783625</v>
      </c>
      <c r="W422" s="5">
        <f t="shared" si="105"/>
        <v>0</v>
      </c>
      <c r="X422" s="5">
        <f t="shared" si="110"/>
        <v>-8480.4795509849282</v>
      </c>
      <c r="Y422" s="5">
        <f>D422*Assumptions!$D$44*-1</f>
        <v>0</v>
      </c>
      <c r="Z422" s="5">
        <f t="shared" si="106"/>
        <v>2841.6330117986963</v>
      </c>
      <c r="AA422" s="5">
        <f t="shared" si="116"/>
        <v>1996086.1284563288</v>
      </c>
      <c r="AB422" s="3">
        <f>Assumptions!$E$45</f>
        <v>6.9899151946608562E-3</v>
      </c>
      <c r="AC422" s="5">
        <f t="shared" si="117"/>
        <v>2012880.2342272759</v>
      </c>
      <c r="AD422" s="4">
        <f>AC422*Assumptions!$E$43</f>
        <v>1802.6862211140131</v>
      </c>
      <c r="AE422" s="2">
        <f>AD422*Assumptions!$D$44*-1</f>
        <v>-270.40293316710193</v>
      </c>
      <c r="AF422" s="2">
        <f>AC422*Assumptions!$E$46*-1</f>
        <v>-67.083710015626622</v>
      </c>
      <c r="AG422" s="5">
        <f t="shared" si="118"/>
        <v>2012542.7475840931</v>
      </c>
      <c r="AH422" s="20">
        <f>Model_30y[[#This Row],[Mortgage Payment]]+Model_30y[[#This Row],[Total Upkeep]]+Model_30y[[#This Row],[Monthly Investment]]</f>
        <v>-5638.8465391862319</v>
      </c>
      <c r="AI422" s="5">
        <f>Model_Renter!D422*-1</f>
        <v>9603.9855420334861</v>
      </c>
      <c r="AJ422" s="5">
        <f t="shared" si="111"/>
        <v>3965.1390028472542</v>
      </c>
    </row>
    <row r="423" spans="1:36" x14ac:dyDescent="0.25">
      <c r="A423" s="17">
        <f t="shared" si="112"/>
        <v>421</v>
      </c>
      <c r="B423" s="17">
        <f t="shared" si="107"/>
        <v>36</v>
      </c>
      <c r="C423" s="23">
        <f>IFERROR(PPMT(Assumptions!$E$17, A423, 180, Assumptions!$D$8), 0)</f>
        <v>0</v>
      </c>
      <c r="D423" s="38">
        <f>IFERROR(IPMT(Assumptions!$E$17,A423,180,Assumptions!$D$8), 0)</f>
        <v>0</v>
      </c>
      <c r="E423" s="2">
        <f t="shared" si="113"/>
        <v>0</v>
      </c>
      <c r="F423" s="2">
        <f>IF(I422&gt;1, Assumptions!$E$19, 0)*-1</f>
        <v>0</v>
      </c>
      <c r="G423" s="24">
        <f t="shared" si="108"/>
        <v>1</v>
      </c>
      <c r="H423" s="20">
        <f t="shared" si="114"/>
        <v>339999.99999999988</v>
      </c>
      <c r="I423" s="2">
        <f>MAX(Assumptions!$D$8-SUM(Model_15y!H423), 0)</f>
        <v>1.1641532182693481E-10</v>
      </c>
      <c r="J423" s="2">
        <f>J422*(1+(Assumptions!$E$51))</f>
        <v>2353857.5262217876</v>
      </c>
      <c r="K423" s="22">
        <f t="shared" si="103"/>
        <v>2353857.5262217876</v>
      </c>
      <c r="L423" s="5">
        <f t="shared" si="115"/>
        <v>425000</v>
      </c>
      <c r="M423" s="63">
        <f>L423/Assumptions!$D$6</f>
        <v>1</v>
      </c>
      <c r="N423" s="24">
        <f t="shared" si="119"/>
        <v>0</v>
      </c>
      <c r="O423" s="22">
        <f>N423*Assumptions!$E$25*-1</f>
        <v>0</v>
      </c>
      <c r="P423" s="5">
        <f>Assumptions!$E$35*J423*-1</f>
        <v>-4848.5611065539488</v>
      </c>
      <c r="Q423" s="5">
        <f>J423*Assumptions!$E$36*-1</f>
        <v>-1952.6145337415437</v>
      </c>
      <c r="R423" s="5">
        <f>R411+R411*Assumptions!$D$51</f>
        <v>-1792.2453265201812</v>
      </c>
      <c r="S423" s="5">
        <f>S411+(S411*Assumptions!$D$51)</f>
        <v>0</v>
      </c>
      <c r="T423" s="5">
        <f t="shared" si="109"/>
        <v>0</v>
      </c>
      <c r="U423" s="22">
        <f t="shared" si="104"/>
        <v>-8593.4209668156727</v>
      </c>
      <c r="V423" s="5">
        <f>MAX(Assumptions!$E$18:$E$19)-U423</f>
        <v>11435.053978614369</v>
      </c>
      <c r="W423" s="5">
        <f t="shared" si="105"/>
        <v>0</v>
      </c>
      <c r="X423" s="5">
        <f t="shared" si="110"/>
        <v>-8593.4209668156727</v>
      </c>
      <c r="Y423" s="5">
        <f>D423*Assumptions!$D$44*-1</f>
        <v>0</v>
      </c>
      <c r="Z423" s="5">
        <f t="shared" si="106"/>
        <v>2841.6330117986963</v>
      </c>
      <c r="AA423" s="5">
        <f t="shared" si="116"/>
        <v>2012542.7475840931</v>
      </c>
      <c r="AB423" s="3">
        <f>Assumptions!$E$45</f>
        <v>6.9899151946608562E-3</v>
      </c>
      <c r="AC423" s="5">
        <f t="shared" si="117"/>
        <v>2029451.8837271342</v>
      </c>
      <c r="AD423" s="4">
        <f>AC423*Assumptions!$E$43</f>
        <v>1817.527384391665</v>
      </c>
      <c r="AE423" s="2">
        <f>AD423*Assumptions!$D$44*-1</f>
        <v>-272.62910765874972</v>
      </c>
      <c r="AF423" s="2">
        <f>AC423*Assumptions!$E$46*-1</f>
        <v>-67.635997086971358</v>
      </c>
      <c r="AG423" s="5">
        <f t="shared" si="118"/>
        <v>2029111.6186223885</v>
      </c>
      <c r="AH423" s="20">
        <f>Model_30y[[#This Row],[Mortgage Payment]]+Model_30y[[#This Row],[Total Upkeep]]+Model_30y[[#This Row],[Monthly Investment]]</f>
        <v>-5751.7879550169764</v>
      </c>
      <c r="AI423" s="5">
        <f>Model_Renter!D423*-1</f>
        <v>9963.1746013055399</v>
      </c>
      <c r="AJ423" s="5">
        <f t="shared" si="111"/>
        <v>4211.3866462885635</v>
      </c>
    </row>
    <row r="424" spans="1:36" x14ac:dyDescent="0.25">
      <c r="A424" s="17">
        <f t="shared" si="112"/>
        <v>422</v>
      </c>
      <c r="B424" s="17">
        <f t="shared" si="107"/>
        <v>36</v>
      </c>
      <c r="C424" s="23">
        <f>IFERROR(PPMT(Assumptions!$E$17, A424, 180, Assumptions!$D$8), 0)</f>
        <v>0</v>
      </c>
      <c r="D424" s="38">
        <f>IFERROR(IPMT(Assumptions!$E$17,A424,180,Assumptions!$D$8), 0)</f>
        <v>0</v>
      </c>
      <c r="E424" s="2">
        <f t="shared" si="113"/>
        <v>0</v>
      </c>
      <c r="F424" s="2">
        <f>IF(I423&gt;1, Assumptions!$E$19, 0)*-1</f>
        <v>0</v>
      </c>
      <c r="G424" s="24">
        <f t="shared" si="108"/>
        <v>1</v>
      </c>
      <c r="H424" s="20">
        <f t="shared" si="114"/>
        <v>339999.99999999988</v>
      </c>
      <c r="I424" s="2">
        <f>MAX(Assumptions!$D$8-SUM(Model_15y!H424), 0)</f>
        <v>1.1641532182693481E-10</v>
      </c>
      <c r="J424" s="2">
        <f>J423*(1+(Assumptions!$E$51))</f>
        <v>2363447.4331526873</v>
      </c>
      <c r="K424" s="22">
        <f t="shared" si="103"/>
        <v>2363447.4331526873</v>
      </c>
      <c r="L424" s="5">
        <f t="shared" si="115"/>
        <v>425000</v>
      </c>
      <c r="M424" s="63">
        <f>L424/Assumptions!$D$6</f>
        <v>1</v>
      </c>
      <c r="N424" s="24">
        <f t="shared" si="119"/>
        <v>0</v>
      </c>
      <c r="O424" s="22">
        <f>N424*Assumptions!$E$25*-1</f>
        <v>0</v>
      </c>
      <c r="P424" s="5">
        <f>Assumptions!$E$35*J424*-1</f>
        <v>-4868.3147446746316</v>
      </c>
      <c r="Q424" s="5">
        <f>J424*Assumptions!$E$36*-1</f>
        <v>-1960.5697270537573</v>
      </c>
      <c r="R424" s="5">
        <f>R412+R412*Assumptions!$D$51</f>
        <v>-1792.2453265201812</v>
      </c>
      <c r="S424" s="5">
        <f>S412+(S412*Assumptions!$D$51)</f>
        <v>0</v>
      </c>
      <c r="T424" s="5">
        <f t="shared" si="109"/>
        <v>0</v>
      </c>
      <c r="U424" s="22">
        <f t="shared" si="104"/>
        <v>-8621.1297982485703</v>
      </c>
      <c r="V424" s="5">
        <f>MAX(Assumptions!$E$18:$E$19)-U424</f>
        <v>11462.762810047267</v>
      </c>
      <c r="W424" s="5">
        <f t="shared" si="105"/>
        <v>0</v>
      </c>
      <c r="X424" s="5">
        <f t="shared" si="110"/>
        <v>-8621.1297982485703</v>
      </c>
      <c r="Y424" s="5">
        <f>D424*Assumptions!$D$44*-1</f>
        <v>0</v>
      </c>
      <c r="Z424" s="5">
        <f t="shared" si="106"/>
        <v>2841.6330117986963</v>
      </c>
      <c r="AA424" s="5">
        <f t="shared" si="116"/>
        <v>2029111.6186223885</v>
      </c>
      <c r="AB424" s="3">
        <f>Assumptions!$E$45</f>
        <v>6.9899151946608562E-3</v>
      </c>
      <c r="AC424" s="5">
        <f t="shared" si="117"/>
        <v>2046136.5697688586</v>
      </c>
      <c r="AD424" s="4">
        <f>AC424*Assumptions!$E$43</f>
        <v>1832.4697804267557</v>
      </c>
      <c r="AE424" s="2">
        <f>AD424*Assumptions!$D$44*-1</f>
        <v>-274.87046706401333</v>
      </c>
      <c r="AF424" s="2">
        <f>AC424*Assumptions!$E$46*-1</f>
        <v>-68.19205135244259</v>
      </c>
      <c r="AG424" s="5">
        <f t="shared" si="118"/>
        <v>2045793.5072504422</v>
      </c>
      <c r="AH424" s="20">
        <f>Model_30y[[#This Row],[Mortgage Payment]]+Model_30y[[#This Row],[Total Upkeep]]+Model_30y[[#This Row],[Monthly Investment]]</f>
        <v>-5779.496786449874</v>
      </c>
      <c r="AI424" s="5">
        <f>Model_Renter!D424*-1</f>
        <v>9963.1746013055399</v>
      </c>
      <c r="AJ424" s="5">
        <f t="shared" si="111"/>
        <v>4183.6778148556659</v>
      </c>
    </row>
    <row r="425" spans="1:36" x14ac:dyDescent="0.25">
      <c r="A425" s="17">
        <f t="shared" si="112"/>
        <v>423</v>
      </c>
      <c r="B425" s="17">
        <f t="shared" si="107"/>
        <v>36</v>
      </c>
      <c r="C425" s="23">
        <f>IFERROR(PPMT(Assumptions!$E$17, A425, 180, Assumptions!$D$8), 0)</f>
        <v>0</v>
      </c>
      <c r="D425" s="38">
        <f>IFERROR(IPMT(Assumptions!$E$17,A425,180,Assumptions!$D$8), 0)</f>
        <v>0</v>
      </c>
      <c r="E425" s="2">
        <f t="shared" si="113"/>
        <v>0</v>
      </c>
      <c r="F425" s="2">
        <f>IF(I424&gt;1, Assumptions!$E$19, 0)*-1</f>
        <v>0</v>
      </c>
      <c r="G425" s="24">
        <f t="shared" si="108"/>
        <v>1</v>
      </c>
      <c r="H425" s="20">
        <f t="shared" si="114"/>
        <v>339999.99999999988</v>
      </c>
      <c r="I425" s="2">
        <f>MAX(Assumptions!$D$8-SUM(Model_15y!H425), 0)</f>
        <v>1.1641532182693481E-10</v>
      </c>
      <c r="J425" s="2">
        <f>J424*(1+(Assumptions!$E$51))</f>
        <v>2373076.4105514972</v>
      </c>
      <c r="K425" s="22">
        <f t="shared" si="103"/>
        <v>2373076.4105514972</v>
      </c>
      <c r="L425" s="5">
        <f t="shared" si="115"/>
        <v>425000</v>
      </c>
      <c r="M425" s="63">
        <f>L425/Assumptions!$D$6</f>
        <v>1</v>
      </c>
      <c r="N425" s="24">
        <f t="shared" si="119"/>
        <v>0</v>
      </c>
      <c r="O425" s="22">
        <f>N425*Assumptions!$E$25*-1</f>
        <v>0</v>
      </c>
      <c r="P425" s="5">
        <f>Assumptions!$E$35*J425*-1</f>
        <v>-4888.1488615621965</v>
      </c>
      <c r="Q425" s="5">
        <f>J425*Assumptions!$E$36*-1</f>
        <v>-1968.557330808248</v>
      </c>
      <c r="R425" s="5">
        <f>R413+R413*Assumptions!$D$51</f>
        <v>-1792.2453265201812</v>
      </c>
      <c r="S425" s="5">
        <f>S413+(S413*Assumptions!$D$51)</f>
        <v>0</v>
      </c>
      <c r="T425" s="5">
        <f t="shared" si="109"/>
        <v>0</v>
      </c>
      <c r="U425" s="22">
        <f t="shared" si="104"/>
        <v>-8648.9515188906262</v>
      </c>
      <c r="V425" s="5">
        <f>MAX(Assumptions!$E$18:$E$19)-U425</f>
        <v>11490.584530689322</v>
      </c>
      <c r="W425" s="5">
        <f t="shared" si="105"/>
        <v>0</v>
      </c>
      <c r="X425" s="5">
        <f t="shared" si="110"/>
        <v>-8648.9515188906262</v>
      </c>
      <c r="Y425" s="5">
        <f>D425*Assumptions!$D$44*-1</f>
        <v>0</v>
      </c>
      <c r="Z425" s="5">
        <f t="shared" si="106"/>
        <v>2841.6330117986963</v>
      </c>
      <c r="AA425" s="5">
        <f t="shared" si="116"/>
        <v>2045793.5072504422</v>
      </c>
      <c r="AB425" s="3">
        <f>Assumptions!$E$45</f>
        <v>6.9899151946608562E-3</v>
      </c>
      <c r="AC425" s="5">
        <f t="shared" si="117"/>
        <v>2062935.0633837092</v>
      </c>
      <c r="AD425" s="4">
        <f>AC425*Assumptions!$E$43</f>
        <v>1847.5140997359906</v>
      </c>
      <c r="AE425" s="2">
        <f>AD425*Assumptions!$D$44*-1</f>
        <v>-277.12711496039856</v>
      </c>
      <c r="AF425" s="2">
        <f>AC425*Assumptions!$E$46*-1</f>
        <v>-68.751898508371667</v>
      </c>
      <c r="AG425" s="5">
        <f t="shared" si="118"/>
        <v>2062589.1843702404</v>
      </c>
      <c r="AH425" s="20">
        <f>Model_30y[[#This Row],[Mortgage Payment]]+Model_30y[[#This Row],[Total Upkeep]]+Model_30y[[#This Row],[Monthly Investment]]</f>
        <v>-5807.3185070919299</v>
      </c>
      <c r="AI425" s="5">
        <f>Model_Renter!D425*-1</f>
        <v>9963.1746013055399</v>
      </c>
      <c r="AJ425" s="5">
        <f t="shared" si="111"/>
        <v>4155.85609421361</v>
      </c>
    </row>
    <row r="426" spans="1:36" x14ac:dyDescent="0.25">
      <c r="A426" s="17">
        <f t="shared" si="112"/>
        <v>424</v>
      </c>
      <c r="B426" s="17">
        <f t="shared" si="107"/>
        <v>36</v>
      </c>
      <c r="C426" s="23">
        <f>IFERROR(PPMT(Assumptions!$E$17, A426, 180, Assumptions!$D$8), 0)</f>
        <v>0</v>
      </c>
      <c r="D426" s="38">
        <f>IFERROR(IPMT(Assumptions!$E$17,A426,180,Assumptions!$D$8), 0)</f>
        <v>0</v>
      </c>
      <c r="E426" s="2">
        <f t="shared" si="113"/>
        <v>0</v>
      </c>
      <c r="F426" s="2">
        <f>IF(I425&gt;1, Assumptions!$E$19, 0)*-1</f>
        <v>0</v>
      </c>
      <c r="G426" s="24">
        <f t="shared" si="108"/>
        <v>1</v>
      </c>
      <c r="H426" s="20">
        <f t="shared" si="114"/>
        <v>339999.99999999988</v>
      </c>
      <c r="I426" s="2">
        <f>MAX(Assumptions!$D$8-SUM(Model_15y!H426), 0)</f>
        <v>1.1641532182693481E-10</v>
      </c>
      <c r="J426" s="2">
        <f>J425*(1+(Assumptions!$E$51))</f>
        <v>2382744.6175961401</v>
      </c>
      <c r="K426" s="22">
        <f t="shared" si="103"/>
        <v>2382744.6175961401</v>
      </c>
      <c r="L426" s="5">
        <f t="shared" si="115"/>
        <v>425000</v>
      </c>
      <c r="M426" s="63">
        <f>L426/Assumptions!$D$6</f>
        <v>1</v>
      </c>
      <c r="N426" s="24">
        <f t="shared" si="119"/>
        <v>0</v>
      </c>
      <c r="O426" s="22">
        <f>N426*Assumptions!$E$25*-1</f>
        <v>0</v>
      </c>
      <c r="P426" s="5">
        <f>Assumptions!$E$35*J426*-1</f>
        <v>-4908.0637850971016</v>
      </c>
      <c r="Q426" s="5">
        <f>J426*Assumptions!$E$36*-1</f>
        <v>-1976.5774770491694</v>
      </c>
      <c r="R426" s="5">
        <f>R414+R414*Assumptions!$D$51</f>
        <v>-1792.2453265201812</v>
      </c>
      <c r="S426" s="5">
        <f>S414+(S414*Assumptions!$D$51)</f>
        <v>0</v>
      </c>
      <c r="T426" s="5">
        <f t="shared" si="109"/>
        <v>0</v>
      </c>
      <c r="U426" s="22">
        <f t="shared" si="104"/>
        <v>-8676.8865886664535</v>
      </c>
      <c r="V426" s="5">
        <f>MAX(Assumptions!$E$18:$E$19)-U426</f>
        <v>11518.51960046515</v>
      </c>
      <c r="W426" s="5">
        <f t="shared" si="105"/>
        <v>0</v>
      </c>
      <c r="X426" s="5">
        <f t="shared" si="110"/>
        <v>-8676.8865886664535</v>
      </c>
      <c r="Y426" s="5">
        <f>D426*Assumptions!$D$44*-1</f>
        <v>0</v>
      </c>
      <c r="Z426" s="5">
        <f t="shared" si="106"/>
        <v>2841.6330117986963</v>
      </c>
      <c r="AA426" s="5">
        <f t="shared" si="116"/>
        <v>2062589.1843702404</v>
      </c>
      <c r="AB426" s="3">
        <f>Assumptions!$E$45</f>
        <v>6.9899151946608562E-3</v>
      </c>
      <c r="AC426" s="5">
        <f t="shared" si="117"/>
        <v>2079848.1408622118</v>
      </c>
      <c r="AD426" s="4">
        <f>AC426*Assumptions!$E$43</f>
        <v>1862.6610375461455</v>
      </c>
      <c r="AE426" s="2">
        <f>AD426*Assumptions!$D$44*-1</f>
        <v>-279.39915563192181</v>
      </c>
      <c r="AF426" s="2">
        <f>AC426*Assumptions!$E$46*-1</f>
        <v>-69.315564426366663</v>
      </c>
      <c r="AG426" s="5">
        <f t="shared" si="118"/>
        <v>2079499.4261421536</v>
      </c>
      <c r="AH426" s="20">
        <f>Model_30y[[#This Row],[Mortgage Payment]]+Model_30y[[#This Row],[Total Upkeep]]+Model_30y[[#This Row],[Monthly Investment]]</f>
        <v>-5835.2535768677571</v>
      </c>
      <c r="AI426" s="5">
        <f>Model_Renter!D426*-1</f>
        <v>9963.1746013055399</v>
      </c>
      <c r="AJ426" s="5">
        <f t="shared" si="111"/>
        <v>4127.9210244377828</v>
      </c>
    </row>
    <row r="427" spans="1:36" x14ac:dyDescent="0.25">
      <c r="A427" s="17">
        <f t="shared" si="112"/>
        <v>425</v>
      </c>
      <c r="B427" s="17">
        <f t="shared" si="107"/>
        <v>36</v>
      </c>
      <c r="C427" s="23">
        <f>IFERROR(PPMT(Assumptions!$E$17, A427, 180, Assumptions!$D$8), 0)</f>
        <v>0</v>
      </c>
      <c r="D427" s="38">
        <f>IFERROR(IPMT(Assumptions!$E$17,A427,180,Assumptions!$D$8), 0)</f>
        <v>0</v>
      </c>
      <c r="E427" s="2">
        <f t="shared" si="113"/>
        <v>0</v>
      </c>
      <c r="F427" s="2">
        <f>IF(I426&gt;1, Assumptions!$E$19, 0)*-1</f>
        <v>0</v>
      </c>
      <c r="G427" s="24">
        <f t="shared" si="108"/>
        <v>1</v>
      </c>
      <c r="H427" s="20">
        <f t="shared" si="114"/>
        <v>339999.99999999988</v>
      </c>
      <c r="I427" s="2">
        <f>MAX(Assumptions!$D$8-SUM(Model_15y!H427), 0)</f>
        <v>1.1641532182693481E-10</v>
      </c>
      <c r="J427" s="2">
        <f>J426*(1+(Assumptions!$E$51))</f>
        <v>2392452.2141130487</v>
      </c>
      <c r="K427" s="22">
        <f t="shared" si="103"/>
        <v>2392452.2141130487</v>
      </c>
      <c r="L427" s="5">
        <f t="shared" si="115"/>
        <v>425000</v>
      </c>
      <c r="M427" s="63">
        <f>L427/Assumptions!$D$6</f>
        <v>1</v>
      </c>
      <c r="N427" s="24">
        <f t="shared" si="119"/>
        <v>0</v>
      </c>
      <c r="O427" s="22">
        <f>N427*Assumptions!$E$25*-1</f>
        <v>0</v>
      </c>
      <c r="P427" s="5">
        <f>Assumptions!$E$35*J427*-1</f>
        <v>-4928.0598444956286</v>
      </c>
      <c r="Q427" s="5">
        <f>J427*Assumptions!$E$36*-1</f>
        <v>-1984.6302983586393</v>
      </c>
      <c r="R427" s="5">
        <f>R415+R415*Assumptions!$D$51</f>
        <v>-1792.2453265201812</v>
      </c>
      <c r="S427" s="5">
        <f>S415+(S415*Assumptions!$D$51)</f>
        <v>0</v>
      </c>
      <c r="T427" s="5">
        <f t="shared" si="109"/>
        <v>0</v>
      </c>
      <c r="U427" s="22">
        <f t="shared" si="104"/>
        <v>-8704.9354693744499</v>
      </c>
      <c r="V427" s="5">
        <f>MAX(Assumptions!$E$18:$E$19)-U427</f>
        <v>11546.568481173146</v>
      </c>
      <c r="W427" s="5">
        <f t="shared" si="105"/>
        <v>0</v>
      </c>
      <c r="X427" s="5">
        <f t="shared" si="110"/>
        <v>-8704.9354693744499</v>
      </c>
      <c r="Y427" s="5">
        <f>D427*Assumptions!$D$44*-1</f>
        <v>0</v>
      </c>
      <c r="Z427" s="5">
        <f t="shared" si="106"/>
        <v>2841.6330117986963</v>
      </c>
      <c r="AA427" s="5">
        <f t="shared" si="116"/>
        <v>2079499.4261421536</v>
      </c>
      <c r="AB427" s="3">
        <f>Assumptions!$E$45</f>
        <v>6.9899151946608562E-3</v>
      </c>
      <c r="AC427" s="5">
        <f t="shared" si="117"/>
        <v>2096876.5837900317</v>
      </c>
      <c r="AD427" s="4">
        <f>AC427*Assumptions!$E$43</f>
        <v>1877.9112938261926</v>
      </c>
      <c r="AE427" s="2">
        <f>AD427*Assumptions!$D$44*-1</f>
        <v>-281.68669407392889</v>
      </c>
      <c r="AF427" s="2">
        <f>AC427*Assumptions!$E$46*-1</f>
        <v>-69.883075154507949</v>
      </c>
      <c r="AG427" s="5">
        <f t="shared" si="118"/>
        <v>2096525.0140208034</v>
      </c>
      <c r="AH427" s="20">
        <f>Model_30y[[#This Row],[Mortgage Payment]]+Model_30y[[#This Row],[Total Upkeep]]+Model_30y[[#This Row],[Monthly Investment]]</f>
        <v>-5863.3024575757536</v>
      </c>
      <c r="AI427" s="5">
        <f>Model_Renter!D427*-1</f>
        <v>9963.1746013055399</v>
      </c>
      <c r="AJ427" s="5">
        <f t="shared" si="111"/>
        <v>4099.8721437297863</v>
      </c>
    </row>
    <row r="428" spans="1:36" x14ac:dyDescent="0.25">
      <c r="A428" s="17">
        <f t="shared" si="112"/>
        <v>426</v>
      </c>
      <c r="B428" s="17">
        <f t="shared" si="107"/>
        <v>36</v>
      </c>
      <c r="C428" s="23">
        <f>IFERROR(PPMT(Assumptions!$E$17, A428, 180, Assumptions!$D$8), 0)</f>
        <v>0</v>
      </c>
      <c r="D428" s="38">
        <f>IFERROR(IPMT(Assumptions!$E$17,A428,180,Assumptions!$D$8), 0)</f>
        <v>0</v>
      </c>
      <c r="E428" s="2">
        <f t="shared" si="113"/>
        <v>0</v>
      </c>
      <c r="F428" s="2">
        <f>IF(I427&gt;1, Assumptions!$E$19, 0)*-1</f>
        <v>0</v>
      </c>
      <c r="G428" s="24">
        <f t="shared" si="108"/>
        <v>1</v>
      </c>
      <c r="H428" s="20">
        <f t="shared" si="114"/>
        <v>339999.99999999988</v>
      </c>
      <c r="I428" s="2">
        <f>MAX(Assumptions!$D$8-SUM(Model_15y!H428), 0)</f>
        <v>1.1641532182693481E-10</v>
      </c>
      <c r="J428" s="2">
        <f>J427*(1+(Assumptions!$E$51))</f>
        <v>2402199.3605798087</v>
      </c>
      <c r="K428" s="22">
        <f t="shared" si="103"/>
        <v>2402199.3605798087</v>
      </c>
      <c r="L428" s="5">
        <f t="shared" si="115"/>
        <v>425000</v>
      </c>
      <c r="M428" s="63">
        <f>L428/Assumptions!$D$6</f>
        <v>1</v>
      </c>
      <c r="N428" s="24">
        <f t="shared" si="119"/>
        <v>0</v>
      </c>
      <c r="O428" s="22">
        <f>N428*Assumptions!$E$25*-1</f>
        <v>0</v>
      </c>
      <c r="P428" s="5">
        <f>Assumptions!$E$35*J428*-1</f>
        <v>-4948.1373703153304</v>
      </c>
      <c r="Q428" s="5">
        <f>J428*Assumptions!$E$36*-1</f>
        <v>-1992.7159278589311</v>
      </c>
      <c r="R428" s="5">
        <f>R416+R416*Assumptions!$D$51</f>
        <v>-1792.2453265201812</v>
      </c>
      <c r="S428" s="5">
        <f>S416+(S416*Assumptions!$D$51)</f>
        <v>0</v>
      </c>
      <c r="T428" s="5">
        <f t="shared" si="109"/>
        <v>0</v>
      </c>
      <c r="U428" s="22">
        <f t="shared" si="104"/>
        <v>-8733.0986246944412</v>
      </c>
      <c r="V428" s="5">
        <f>MAX(Assumptions!$E$18:$E$19)-U428</f>
        <v>11574.731636493138</v>
      </c>
      <c r="W428" s="5">
        <f t="shared" si="105"/>
        <v>0</v>
      </c>
      <c r="X428" s="5">
        <f t="shared" si="110"/>
        <v>-8733.0986246944412</v>
      </c>
      <c r="Y428" s="5">
        <f>D428*Assumptions!$D$44*-1</f>
        <v>0</v>
      </c>
      <c r="Z428" s="5">
        <f t="shared" si="106"/>
        <v>2841.6330117986963</v>
      </c>
      <c r="AA428" s="5">
        <f t="shared" si="116"/>
        <v>2096525.0140208034</v>
      </c>
      <c r="AB428" s="3">
        <f>Assumptions!$E$45</f>
        <v>6.9899151946608562E-3</v>
      </c>
      <c r="AC428" s="5">
        <f t="shared" si="117"/>
        <v>2114021.1790840928</v>
      </c>
      <c r="AD428" s="4">
        <f>AC428*Assumptions!$E$43</f>
        <v>1893.2655733196493</v>
      </c>
      <c r="AE428" s="2">
        <f>AD428*Assumptions!$D$44*-1</f>
        <v>-283.98983599794741</v>
      </c>
      <c r="AF428" s="2">
        <f>AC428*Assumptions!$E$46*-1</f>
        <v>-70.454456918551941</v>
      </c>
      <c r="AG428" s="5">
        <f t="shared" si="118"/>
        <v>2113666.7347911764</v>
      </c>
      <c r="AH428" s="20">
        <f>Model_30y[[#This Row],[Mortgage Payment]]+Model_30y[[#This Row],[Total Upkeep]]+Model_30y[[#This Row],[Monthly Investment]]</f>
        <v>-5891.4656128957449</v>
      </c>
      <c r="AI428" s="5">
        <f>Model_Renter!D428*-1</f>
        <v>9963.1746013055399</v>
      </c>
      <c r="AJ428" s="5">
        <f t="shared" si="111"/>
        <v>4071.708988409795</v>
      </c>
    </row>
    <row r="429" spans="1:36" x14ac:dyDescent="0.25">
      <c r="A429" s="17">
        <f t="shared" si="112"/>
        <v>427</v>
      </c>
      <c r="B429" s="17">
        <f t="shared" si="107"/>
        <v>36</v>
      </c>
      <c r="C429" s="23">
        <f>IFERROR(PPMT(Assumptions!$E$17, A429, 180, Assumptions!$D$8), 0)</f>
        <v>0</v>
      </c>
      <c r="D429" s="38">
        <f>IFERROR(IPMT(Assumptions!$E$17,A429,180,Assumptions!$D$8), 0)</f>
        <v>0</v>
      </c>
      <c r="E429" s="2">
        <f t="shared" si="113"/>
        <v>0</v>
      </c>
      <c r="F429" s="2">
        <f>IF(I428&gt;1, Assumptions!$E$19, 0)*-1</f>
        <v>0</v>
      </c>
      <c r="G429" s="24">
        <f t="shared" si="108"/>
        <v>1</v>
      </c>
      <c r="H429" s="20">
        <f t="shared" si="114"/>
        <v>339999.99999999988</v>
      </c>
      <c r="I429" s="2">
        <f>MAX(Assumptions!$D$8-SUM(Model_15y!H429), 0)</f>
        <v>1.1641532182693481E-10</v>
      </c>
      <c r="J429" s="2">
        <f>J428*(1+(Assumptions!$E$51))</f>
        <v>2411986.2181278118</v>
      </c>
      <c r="K429" s="22">
        <f t="shared" si="103"/>
        <v>2411986.2181278118</v>
      </c>
      <c r="L429" s="5">
        <f t="shared" si="115"/>
        <v>425000</v>
      </c>
      <c r="M429" s="63">
        <f>L429/Assumptions!$D$6</f>
        <v>1</v>
      </c>
      <c r="N429" s="24">
        <f t="shared" si="119"/>
        <v>0</v>
      </c>
      <c r="O429" s="22">
        <f>N429*Assumptions!$E$25*-1</f>
        <v>0</v>
      </c>
      <c r="P429" s="5">
        <f>Assumptions!$E$35*J429*-1</f>
        <v>-4968.2966944604914</v>
      </c>
      <c r="Q429" s="5">
        <f>J429*Assumptions!$E$36*-1</f>
        <v>-2000.834499214676</v>
      </c>
      <c r="R429" s="5">
        <f>R417+R417*Assumptions!$D$51</f>
        <v>-1792.2453265201812</v>
      </c>
      <c r="S429" s="5">
        <f>S417+(S417*Assumptions!$D$51)</f>
        <v>0</v>
      </c>
      <c r="T429" s="5">
        <f t="shared" si="109"/>
        <v>0</v>
      </c>
      <c r="U429" s="22">
        <f t="shared" si="104"/>
        <v>-8761.3765201953483</v>
      </c>
      <c r="V429" s="5">
        <f>MAX(Assumptions!$E$18:$E$19)-U429</f>
        <v>11603.009531994045</v>
      </c>
      <c r="W429" s="5">
        <f t="shared" si="105"/>
        <v>0</v>
      </c>
      <c r="X429" s="5">
        <f t="shared" si="110"/>
        <v>-8761.3765201953483</v>
      </c>
      <c r="Y429" s="5">
        <f>D429*Assumptions!$D$44*-1</f>
        <v>0</v>
      </c>
      <c r="Z429" s="5">
        <f t="shared" si="106"/>
        <v>2841.6330117986963</v>
      </c>
      <c r="AA429" s="5">
        <f t="shared" si="116"/>
        <v>2113666.7347911764</v>
      </c>
      <c r="AB429" s="3">
        <f>Assumptions!$E$45</f>
        <v>6.9899151946608562E-3</v>
      </c>
      <c r="AC429" s="5">
        <f t="shared" si="117"/>
        <v>2131282.7190289414</v>
      </c>
      <c r="AD429" s="4">
        <f>AC429*Assumptions!$E$43</f>
        <v>1908.7245855771437</v>
      </c>
      <c r="AE429" s="2">
        <f>AD429*Assumptions!$D$44*-1</f>
        <v>-286.30868783657155</v>
      </c>
      <c r="AF429" s="2">
        <f>AC429*Assumptions!$E$46*-1</f>
        <v>-71.029736123143024</v>
      </c>
      <c r="AG429" s="5">
        <f t="shared" si="118"/>
        <v>2130925.3806049814</v>
      </c>
      <c r="AH429" s="20">
        <f>Model_30y[[#This Row],[Mortgage Payment]]+Model_30y[[#This Row],[Total Upkeep]]+Model_30y[[#This Row],[Monthly Investment]]</f>
        <v>-5919.743508396652</v>
      </c>
      <c r="AI429" s="5">
        <f>Model_Renter!D429*-1</f>
        <v>9963.1746013055399</v>
      </c>
      <c r="AJ429" s="5">
        <f t="shared" si="111"/>
        <v>4043.4310929088879</v>
      </c>
    </row>
    <row r="430" spans="1:36" x14ac:dyDescent="0.25">
      <c r="A430" s="17">
        <f t="shared" si="112"/>
        <v>428</v>
      </c>
      <c r="B430" s="17">
        <f t="shared" si="107"/>
        <v>36</v>
      </c>
      <c r="C430" s="23">
        <f>IFERROR(PPMT(Assumptions!$E$17, A430, 180, Assumptions!$D$8), 0)</f>
        <v>0</v>
      </c>
      <c r="D430" s="38">
        <f>IFERROR(IPMT(Assumptions!$E$17,A430,180,Assumptions!$D$8), 0)</f>
        <v>0</v>
      </c>
      <c r="E430" s="2">
        <f t="shared" si="113"/>
        <v>0</v>
      </c>
      <c r="F430" s="2">
        <f>IF(I429&gt;1, Assumptions!$E$19, 0)*-1</f>
        <v>0</v>
      </c>
      <c r="G430" s="24">
        <f t="shared" si="108"/>
        <v>1</v>
      </c>
      <c r="H430" s="20">
        <f t="shared" si="114"/>
        <v>339999.99999999988</v>
      </c>
      <c r="I430" s="2">
        <f>MAX(Assumptions!$D$8-SUM(Model_15y!H430), 0)</f>
        <v>1.1641532182693481E-10</v>
      </c>
      <c r="J430" s="2">
        <f>J429*(1+(Assumptions!$E$51))</f>
        <v>2421812.9485449186</v>
      </c>
      <c r="K430" s="22">
        <f t="shared" si="103"/>
        <v>2421812.9485449186</v>
      </c>
      <c r="L430" s="5">
        <f t="shared" si="115"/>
        <v>425000</v>
      </c>
      <c r="M430" s="63">
        <f>L430/Assumptions!$D$6</f>
        <v>1</v>
      </c>
      <c r="N430" s="24">
        <f t="shared" si="119"/>
        <v>0</v>
      </c>
      <c r="O430" s="22">
        <f>N430*Assumptions!$E$25*-1</f>
        <v>0</v>
      </c>
      <c r="P430" s="5">
        <f>Assumptions!$E$35*J430*-1</f>
        <v>-4988.5381501876145</v>
      </c>
      <c r="Q430" s="5">
        <f>J430*Assumptions!$E$36*-1</f>
        <v>-2008.9861466350708</v>
      </c>
      <c r="R430" s="5">
        <f>R418+R418*Assumptions!$D$51</f>
        <v>-1792.2453265201812</v>
      </c>
      <c r="S430" s="5">
        <f>S418+(S418*Assumptions!$D$51)</f>
        <v>0</v>
      </c>
      <c r="T430" s="5">
        <f t="shared" si="109"/>
        <v>0</v>
      </c>
      <c r="U430" s="22">
        <f t="shared" si="104"/>
        <v>-8789.7696233428651</v>
      </c>
      <c r="V430" s="5">
        <f>MAX(Assumptions!$E$18:$E$19)-U430</f>
        <v>11631.402635141561</v>
      </c>
      <c r="W430" s="5">
        <f t="shared" si="105"/>
        <v>0</v>
      </c>
      <c r="X430" s="5">
        <f t="shared" si="110"/>
        <v>-8789.7696233428651</v>
      </c>
      <c r="Y430" s="5">
        <f>D430*Assumptions!$D$44*-1</f>
        <v>0</v>
      </c>
      <c r="Z430" s="5">
        <f t="shared" si="106"/>
        <v>2841.6330117986963</v>
      </c>
      <c r="AA430" s="5">
        <f t="shared" si="116"/>
        <v>2130925.3806049814</v>
      </c>
      <c r="AB430" s="3">
        <f>Assumptions!$E$45</f>
        <v>6.9899151946608562E-3</v>
      </c>
      <c r="AC430" s="5">
        <f t="shared" si="117"/>
        <v>2148662.0013133595</v>
      </c>
      <c r="AD430" s="4">
        <f>AC430*Assumptions!$E$43</f>
        <v>1924.2890449892052</v>
      </c>
      <c r="AE430" s="2">
        <f>AD430*Assumptions!$D$44*-1</f>
        <v>-288.64335674838077</v>
      </c>
      <c r="AF430" s="2">
        <f>AC430*Assumptions!$E$46*-1</f>
        <v>-71.608939353033733</v>
      </c>
      <c r="AG430" s="5">
        <f t="shared" si="118"/>
        <v>2148301.7490172582</v>
      </c>
      <c r="AH430" s="20">
        <f>Model_30y[[#This Row],[Mortgage Payment]]+Model_30y[[#This Row],[Total Upkeep]]+Model_30y[[#This Row],[Monthly Investment]]</f>
        <v>-5948.1366115441688</v>
      </c>
      <c r="AI430" s="5">
        <f>Model_Renter!D430*-1</f>
        <v>9963.1746013055399</v>
      </c>
      <c r="AJ430" s="5">
        <f t="shared" si="111"/>
        <v>4015.0379897613711</v>
      </c>
    </row>
    <row r="431" spans="1:36" x14ac:dyDescent="0.25">
      <c r="A431" s="17">
        <f t="shared" si="112"/>
        <v>429</v>
      </c>
      <c r="B431" s="17">
        <f t="shared" si="107"/>
        <v>36</v>
      </c>
      <c r="C431" s="23">
        <f>IFERROR(PPMT(Assumptions!$E$17, A431, 180, Assumptions!$D$8), 0)</f>
        <v>0</v>
      </c>
      <c r="D431" s="38">
        <f>IFERROR(IPMT(Assumptions!$E$17,A431,180,Assumptions!$D$8), 0)</f>
        <v>0</v>
      </c>
      <c r="E431" s="2">
        <f t="shared" si="113"/>
        <v>0</v>
      </c>
      <c r="F431" s="2">
        <f>IF(I430&gt;1, Assumptions!$E$19, 0)*-1</f>
        <v>0</v>
      </c>
      <c r="G431" s="24">
        <f t="shared" si="108"/>
        <v>1</v>
      </c>
      <c r="H431" s="20">
        <f t="shared" si="114"/>
        <v>339999.99999999988</v>
      </c>
      <c r="I431" s="2">
        <f>MAX(Assumptions!$D$8-SUM(Model_15y!H431), 0)</f>
        <v>1.1641532182693481E-10</v>
      </c>
      <c r="J431" s="2">
        <f>J430*(1+(Assumptions!$E$51))</f>
        <v>2431679.7142781331</v>
      </c>
      <c r="K431" s="22">
        <f t="shared" si="103"/>
        <v>2431679.7142781331</v>
      </c>
      <c r="L431" s="5">
        <f t="shared" si="115"/>
        <v>425000</v>
      </c>
      <c r="M431" s="63">
        <f>L431/Assumptions!$D$6</f>
        <v>1</v>
      </c>
      <c r="N431" s="24">
        <f t="shared" si="119"/>
        <v>0</v>
      </c>
      <c r="O431" s="22">
        <f>N431*Assumptions!$E$25*-1</f>
        <v>0</v>
      </c>
      <c r="P431" s="5">
        <f>Assumptions!$E$35*J431*-1</f>
        <v>-5008.8620721109319</v>
      </c>
      <c r="Q431" s="5">
        <f>J431*Assumptions!$E$36*-1</f>
        <v>-2017.171004876097</v>
      </c>
      <c r="R431" s="5">
        <f>R419+R419*Assumptions!$D$51</f>
        <v>-1792.2453265201812</v>
      </c>
      <c r="S431" s="5">
        <f>S419+(S419*Assumptions!$D$51)</f>
        <v>0</v>
      </c>
      <c r="T431" s="5">
        <f t="shared" si="109"/>
        <v>0</v>
      </c>
      <c r="U431" s="22">
        <f t="shared" si="104"/>
        <v>-8818.2784035072109</v>
      </c>
      <c r="V431" s="5">
        <f>MAX(Assumptions!$E$18:$E$19)-U431</f>
        <v>11659.911415305907</v>
      </c>
      <c r="W431" s="5">
        <f t="shared" si="105"/>
        <v>0</v>
      </c>
      <c r="X431" s="5">
        <f t="shared" si="110"/>
        <v>-8818.2784035072109</v>
      </c>
      <c r="Y431" s="5">
        <f>D431*Assumptions!$D$44*-1</f>
        <v>0</v>
      </c>
      <c r="Z431" s="5">
        <f t="shared" si="106"/>
        <v>2841.6330117986963</v>
      </c>
      <c r="AA431" s="5">
        <f t="shared" si="116"/>
        <v>2148301.7490172582</v>
      </c>
      <c r="AB431" s="3">
        <f>Assumptions!$E$45</f>
        <v>6.9899151946608562E-3</v>
      </c>
      <c r="AC431" s="5">
        <f t="shared" si="117"/>
        <v>2166159.8290672293</v>
      </c>
      <c r="AD431" s="4">
        <f>AC431*Assumptions!$E$43</f>
        <v>1939.9596708192794</v>
      </c>
      <c r="AE431" s="2">
        <f>AD431*Assumptions!$D$44*-1</f>
        <v>-290.99395062289187</v>
      </c>
      <c r="AF431" s="2">
        <f>AC431*Assumptions!$E$46*-1</f>
        <v>-72.192093374313401</v>
      </c>
      <c r="AG431" s="5">
        <f t="shared" si="118"/>
        <v>2165796.643023232</v>
      </c>
      <c r="AH431" s="20">
        <f>Model_30y[[#This Row],[Mortgage Payment]]+Model_30y[[#This Row],[Total Upkeep]]+Model_30y[[#This Row],[Monthly Investment]]</f>
        <v>-5976.6453917085146</v>
      </c>
      <c r="AI431" s="5">
        <f>Model_Renter!D431*-1</f>
        <v>9963.1746013055399</v>
      </c>
      <c r="AJ431" s="5">
        <f t="shared" si="111"/>
        <v>3986.5292095970253</v>
      </c>
    </row>
    <row r="432" spans="1:36" x14ac:dyDescent="0.25">
      <c r="A432" s="17">
        <f t="shared" si="112"/>
        <v>430</v>
      </c>
      <c r="B432" s="17">
        <f t="shared" si="107"/>
        <v>36</v>
      </c>
      <c r="C432" s="23">
        <f>IFERROR(PPMT(Assumptions!$E$17, A432, 180, Assumptions!$D$8), 0)</f>
        <v>0</v>
      </c>
      <c r="D432" s="38">
        <f>IFERROR(IPMT(Assumptions!$E$17,A432,180,Assumptions!$D$8), 0)</f>
        <v>0</v>
      </c>
      <c r="E432" s="2">
        <f t="shared" si="113"/>
        <v>0</v>
      </c>
      <c r="F432" s="2">
        <f>IF(I431&gt;1, Assumptions!$E$19, 0)*-1</f>
        <v>0</v>
      </c>
      <c r="G432" s="24">
        <f t="shared" si="108"/>
        <v>1</v>
      </c>
      <c r="H432" s="20">
        <f t="shared" si="114"/>
        <v>339999.99999999988</v>
      </c>
      <c r="I432" s="2">
        <f>MAX(Assumptions!$D$8-SUM(Model_15y!H432), 0)</f>
        <v>1.1641532182693481E-10</v>
      </c>
      <c r="J432" s="2">
        <f>J431*(1+(Assumptions!$E$51))</f>
        <v>2441586.6784362891</v>
      </c>
      <c r="K432" s="22">
        <f t="shared" si="103"/>
        <v>2441586.6784362891</v>
      </c>
      <c r="L432" s="5">
        <f t="shared" si="115"/>
        <v>425000</v>
      </c>
      <c r="M432" s="63">
        <f>L432/Assumptions!$D$6</f>
        <v>1</v>
      </c>
      <c r="N432" s="24">
        <f t="shared" si="119"/>
        <v>0</v>
      </c>
      <c r="O432" s="22">
        <f>N432*Assumptions!$E$25*-1</f>
        <v>0</v>
      </c>
      <c r="P432" s="5">
        <f>Assumptions!$E$35*J432*-1</f>
        <v>-5029.2687962079335</v>
      </c>
      <c r="Q432" s="5">
        <f>J432*Assumptions!$E$36*-1</f>
        <v>-2025.3892092427486</v>
      </c>
      <c r="R432" s="5">
        <f>R420+R420*Assumptions!$D$51</f>
        <v>-1792.2453265201812</v>
      </c>
      <c r="S432" s="5">
        <f>S420+(S420*Assumptions!$D$51)</f>
        <v>0</v>
      </c>
      <c r="T432" s="5">
        <f t="shared" si="109"/>
        <v>0</v>
      </c>
      <c r="U432" s="22">
        <f t="shared" si="104"/>
        <v>-8846.9033319708633</v>
      </c>
      <c r="V432" s="5">
        <f>MAX(Assumptions!$E$18:$E$19)-U432</f>
        <v>11688.53634376956</v>
      </c>
      <c r="W432" s="5">
        <f t="shared" si="105"/>
        <v>0</v>
      </c>
      <c r="X432" s="5">
        <f t="shared" si="110"/>
        <v>-8846.9033319708633</v>
      </c>
      <c r="Y432" s="5">
        <f>D432*Assumptions!$D$44*-1</f>
        <v>0</v>
      </c>
      <c r="Z432" s="5">
        <f t="shared" si="106"/>
        <v>2841.6330117986963</v>
      </c>
      <c r="AA432" s="5">
        <f t="shared" si="116"/>
        <v>2165796.643023232</v>
      </c>
      <c r="AB432" s="3">
        <f>Assumptions!$E$45</f>
        <v>6.9899151946608562E-3</v>
      </c>
      <c r="AC432" s="5">
        <f t="shared" si="117"/>
        <v>2183777.0108986446</v>
      </c>
      <c r="AD432" s="4">
        <f>AC432*Assumptions!$E$43</f>
        <v>1955.7371872369633</v>
      </c>
      <c r="AE432" s="2">
        <f>AD432*Assumptions!$D$44*-1</f>
        <v>-293.36057808554449</v>
      </c>
      <c r="AF432" s="2">
        <f>AC432*Assumptions!$E$46*-1</f>
        <v>-72.779225135644907</v>
      </c>
      <c r="AG432" s="5">
        <f t="shared" si="118"/>
        <v>2183410.8710954236</v>
      </c>
      <c r="AH432" s="20">
        <f>Model_30y[[#This Row],[Mortgage Payment]]+Model_30y[[#This Row],[Total Upkeep]]+Model_30y[[#This Row],[Monthly Investment]]</f>
        <v>-6005.270320172167</v>
      </c>
      <c r="AI432" s="5">
        <f>Model_Renter!D432*-1</f>
        <v>9963.1746013055399</v>
      </c>
      <c r="AJ432" s="5">
        <f t="shared" si="111"/>
        <v>3957.9042811333729</v>
      </c>
    </row>
    <row r="433" spans="1:36" x14ac:dyDescent="0.25">
      <c r="A433" s="17">
        <f t="shared" si="112"/>
        <v>431</v>
      </c>
      <c r="B433" s="17">
        <f t="shared" si="107"/>
        <v>36</v>
      </c>
      <c r="C433" s="23">
        <f>IFERROR(PPMT(Assumptions!$E$17, A433, 180, Assumptions!$D$8), 0)</f>
        <v>0</v>
      </c>
      <c r="D433" s="38">
        <f>IFERROR(IPMT(Assumptions!$E$17,A433,180,Assumptions!$D$8), 0)</f>
        <v>0</v>
      </c>
      <c r="E433" s="2">
        <f t="shared" si="113"/>
        <v>0</v>
      </c>
      <c r="F433" s="2">
        <f>IF(I432&gt;1, Assumptions!$E$19, 0)*-1</f>
        <v>0</v>
      </c>
      <c r="G433" s="24">
        <f t="shared" si="108"/>
        <v>1</v>
      </c>
      <c r="H433" s="20">
        <f t="shared" si="114"/>
        <v>339999.99999999988</v>
      </c>
      <c r="I433" s="2">
        <f>MAX(Assumptions!$D$8-SUM(Model_15y!H433), 0)</f>
        <v>1.1641532182693481E-10</v>
      </c>
      <c r="J433" s="2">
        <f>J432*(1+(Assumptions!$E$51))</f>
        <v>2451534.0047927452</v>
      </c>
      <c r="K433" s="22">
        <f t="shared" si="103"/>
        <v>2451534.0047927452</v>
      </c>
      <c r="L433" s="5">
        <f t="shared" si="115"/>
        <v>425000</v>
      </c>
      <c r="M433" s="63">
        <f>L433/Assumptions!$D$6</f>
        <v>1</v>
      </c>
      <c r="N433" s="24">
        <f t="shared" si="119"/>
        <v>0</v>
      </c>
      <c r="O433" s="22">
        <f>N433*Assumptions!$E$25*-1</f>
        <v>0</v>
      </c>
      <c r="P433" s="5">
        <f>Assumptions!$E$35*J433*-1</f>
        <v>-5049.7586598249245</v>
      </c>
      <c r="Q433" s="5">
        <f>J433*Assumptions!$E$36*-1</f>
        <v>-2033.6408955912693</v>
      </c>
      <c r="R433" s="5">
        <f>R421+R421*Assumptions!$D$51</f>
        <v>-1792.2453265201812</v>
      </c>
      <c r="S433" s="5">
        <f>S421+(S421*Assumptions!$D$51)</f>
        <v>0</v>
      </c>
      <c r="T433" s="5">
        <f t="shared" si="109"/>
        <v>0</v>
      </c>
      <c r="U433" s="22">
        <f t="shared" si="104"/>
        <v>-8875.6448819363759</v>
      </c>
      <c r="V433" s="5">
        <f>MAX(Assumptions!$E$18:$E$19)-U433</f>
        <v>11717.277893735072</v>
      </c>
      <c r="W433" s="5">
        <f t="shared" si="105"/>
        <v>0</v>
      </c>
      <c r="X433" s="5">
        <f t="shared" si="110"/>
        <v>-8875.6448819363759</v>
      </c>
      <c r="Y433" s="5">
        <f>D433*Assumptions!$D$44*-1</f>
        <v>0</v>
      </c>
      <c r="Z433" s="5">
        <f t="shared" si="106"/>
        <v>2841.6330117986963</v>
      </c>
      <c r="AA433" s="5">
        <f t="shared" si="116"/>
        <v>2183410.8710954236</v>
      </c>
      <c r="AB433" s="3">
        <f>Assumptions!$E$45</f>
        <v>6.9899151946608562E-3</v>
      </c>
      <c r="AC433" s="5">
        <f t="shared" si="117"/>
        <v>2201514.3609312801</v>
      </c>
      <c r="AD433" s="4">
        <f>AC433*Assumptions!$E$43</f>
        <v>1971.6223233514738</v>
      </c>
      <c r="AE433" s="2">
        <f>AD433*Assumptions!$D$44*-1</f>
        <v>-295.74334850272106</v>
      </c>
      <c r="AF433" s="2">
        <f>AC433*Assumptions!$E$46*-1</f>
        <v>-73.37036176951014</v>
      </c>
      <c r="AG433" s="5">
        <f t="shared" si="118"/>
        <v>2201145.2472210079</v>
      </c>
      <c r="AH433" s="20">
        <f>Model_30y[[#This Row],[Mortgage Payment]]+Model_30y[[#This Row],[Total Upkeep]]+Model_30y[[#This Row],[Monthly Investment]]</f>
        <v>-6034.0118701376796</v>
      </c>
      <c r="AI433" s="5">
        <f>Model_Renter!D433*-1</f>
        <v>9963.1746013055399</v>
      </c>
      <c r="AJ433" s="5">
        <f t="shared" si="111"/>
        <v>3929.1627311678603</v>
      </c>
    </row>
    <row r="434" spans="1:36" x14ac:dyDescent="0.25">
      <c r="A434" s="17">
        <f t="shared" si="112"/>
        <v>432</v>
      </c>
      <c r="B434" s="17">
        <f t="shared" si="107"/>
        <v>36</v>
      </c>
      <c r="C434" s="23">
        <f>IFERROR(PPMT(Assumptions!$E$17, A434, 180, Assumptions!$D$8), 0)</f>
        <v>0</v>
      </c>
      <c r="D434" s="38">
        <f>IFERROR(IPMT(Assumptions!$E$17,A434,180,Assumptions!$D$8), 0)</f>
        <v>0</v>
      </c>
      <c r="E434" s="2">
        <f t="shared" si="113"/>
        <v>0</v>
      </c>
      <c r="F434" s="2">
        <f>IF(I433&gt;1, Assumptions!$E$19, 0)*-1</f>
        <v>0</v>
      </c>
      <c r="G434" s="24">
        <f t="shared" si="108"/>
        <v>1</v>
      </c>
      <c r="H434" s="20">
        <f t="shared" si="114"/>
        <v>339999.99999999988</v>
      </c>
      <c r="I434" s="2">
        <f>MAX(Assumptions!$D$8-SUM(Model_15y!H434), 0)</f>
        <v>1.1641532182693481E-10</v>
      </c>
      <c r="J434" s="2">
        <f>J433*(1+(Assumptions!$E$51))</f>
        <v>2461521.8577880939</v>
      </c>
      <c r="K434" s="22">
        <f t="shared" si="103"/>
        <v>2461521.8577880939</v>
      </c>
      <c r="L434" s="5">
        <f t="shared" si="115"/>
        <v>425000</v>
      </c>
      <c r="M434" s="63">
        <f>L434/Assumptions!$D$6</f>
        <v>1</v>
      </c>
      <c r="N434" s="24">
        <f t="shared" si="119"/>
        <v>0</v>
      </c>
      <c r="O434" s="22">
        <f>N434*Assumptions!$E$25*-1</f>
        <v>0</v>
      </c>
      <c r="P434" s="5">
        <f>Assumptions!$E$35*J434*-1</f>
        <v>-5070.332001682601</v>
      </c>
      <c r="Q434" s="5">
        <f>J434*Assumptions!$E$36*-1</f>
        <v>-2041.9262003313975</v>
      </c>
      <c r="R434" s="5">
        <f>R422+R422*Assumptions!$D$51</f>
        <v>-1792.2453265201812</v>
      </c>
      <c r="S434" s="5">
        <f>S422+(S422*Assumptions!$D$51)</f>
        <v>0</v>
      </c>
      <c r="T434" s="5">
        <f t="shared" si="109"/>
        <v>0</v>
      </c>
      <c r="U434" s="22">
        <f t="shared" si="104"/>
        <v>-8904.5035285341801</v>
      </c>
      <c r="V434" s="5">
        <f>MAX(Assumptions!$E$18:$E$19)-U434</f>
        <v>11746.136540332876</v>
      </c>
      <c r="W434" s="5">
        <f t="shared" si="105"/>
        <v>0</v>
      </c>
      <c r="X434" s="5">
        <f t="shared" si="110"/>
        <v>-8904.5035285341801</v>
      </c>
      <c r="Y434" s="5">
        <f>D434*Assumptions!$D$44*-1</f>
        <v>0</v>
      </c>
      <c r="Z434" s="5">
        <f t="shared" si="106"/>
        <v>2841.6330117986963</v>
      </c>
      <c r="AA434" s="5">
        <f t="shared" si="116"/>
        <v>2201145.2472210079</v>
      </c>
      <c r="AB434" s="3">
        <f>Assumptions!$E$45</f>
        <v>6.9899151946608562E-3</v>
      </c>
      <c r="AC434" s="5">
        <f t="shared" si="117"/>
        <v>2219372.6988420123</v>
      </c>
      <c r="AD434" s="4">
        <f>AC434*Assumptions!$E$43</f>
        <v>1987.615813245339</v>
      </c>
      <c r="AE434" s="2">
        <f>AD434*Assumptions!$D$44*-1</f>
        <v>-298.14237198680087</v>
      </c>
      <c r="AF434" s="2">
        <f>AC434*Assumptions!$E$46*-1</f>
        <v>-73.965530593463811</v>
      </c>
      <c r="AG434" s="5">
        <f t="shared" si="118"/>
        <v>2219000.5909394319</v>
      </c>
      <c r="AH434" s="20">
        <f>Model_30y[[#This Row],[Mortgage Payment]]+Model_30y[[#This Row],[Total Upkeep]]+Model_30y[[#This Row],[Monthly Investment]]</f>
        <v>-6062.8705167354838</v>
      </c>
      <c r="AI434" s="5">
        <f>Model_Renter!D434*-1</f>
        <v>9963.1746013055399</v>
      </c>
      <c r="AJ434" s="5">
        <f t="shared" si="111"/>
        <v>3900.3040845700561</v>
      </c>
    </row>
    <row r="435" spans="1:36" x14ac:dyDescent="0.25">
      <c r="A435" s="17">
        <f t="shared" si="112"/>
        <v>433</v>
      </c>
      <c r="B435" s="17">
        <f t="shared" si="107"/>
        <v>37</v>
      </c>
      <c r="C435" s="23">
        <f>IFERROR(PPMT(Assumptions!$E$17, A435, 180, Assumptions!$D$8), 0)</f>
        <v>0</v>
      </c>
      <c r="D435" s="38">
        <f>IFERROR(IPMT(Assumptions!$E$17,A435,180,Assumptions!$D$8), 0)</f>
        <v>0</v>
      </c>
      <c r="E435" s="2">
        <f t="shared" si="113"/>
        <v>0</v>
      </c>
      <c r="F435" s="2">
        <f>IF(I434&gt;1, Assumptions!$E$19, 0)*-1</f>
        <v>0</v>
      </c>
      <c r="G435" s="24">
        <f t="shared" si="108"/>
        <v>1</v>
      </c>
      <c r="H435" s="20">
        <f t="shared" si="114"/>
        <v>339999.99999999988</v>
      </c>
      <c r="I435" s="2">
        <f>MAX(Assumptions!$D$8-SUM(Model_15y!H435), 0)</f>
        <v>1.1641532182693481E-10</v>
      </c>
      <c r="J435" s="2">
        <f>J434*(1+(Assumptions!$E$51))</f>
        <v>2471550.4025328788</v>
      </c>
      <c r="K435" s="22">
        <f t="shared" si="103"/>
        <v>2471550.4025328788</v>
      </c>
      <c r="L435" s="5">
        <f t="shared" si="115"/>
        <v>425000</v>
      </c>
      <c r="M435" s="63">
        <f>L435/Assumptions!$D$6</f>
        <v>1</v>
      </c>
      <c r="N435" s="24">
        <f t="shared" si="119"/>
        <v>0</v>
      </c>
      <c r="O435" s="22">
        <f>N435*Assumptions!$E$25*-1</f>
        <v>0</v>
      </c>
      <c r="P435" s="5">
        <f>Assumptions!$E$35*J435*-1</f>
        <v>-5090.98916188165</v>
      </c>
      <c r="Q435" s="5">
        <f>J435*Assumptions!$E$36*-1</f>
        <v>-2050.2452604286223</v>
      </c>
      <c r="R435" s="5">
        <f>R423+R423*Assumptions!$D$51</f>
        <v>-1881.8575928461903</v>
      </c>
      <c r="S435" s="5">
        <f>S423+(S423*Assumptions!$D$51)</f>
        <v>0</v>
      </c>
      <c r="T435" s="5">
        <f t="shared" si="109"/>
        <v>0</v>
      </c>
      <c r="U435" s="22">
        <f t="shared" si="104"/>
        <v>-9023.0920151564624</v>
      </c>
      <c r="V435" s="5">
        <f>MAX(Assumptions!$E$18:$E$19)-U435</f>
        <v>11864.725026955159</v>
      </c>
      <c r="W435" s="5">
        <f t="shared" si="105"/>
        <v>0</v>
      </c>
      <c r="X435" s="5">
        <f t="shared" si="110"/>
        <v>-9023.0920151564624</v>
      </c>
      <c r="Y435" s="5">
        <f>D435*Assumptions!$D$44*-1</f>
        <v>0</v>
      </c>
      <c r="Z435" s="5">
        <f t="shared" si="106"/>
        <v>2841.6330117986963</v>
      </c>
      <c r="AA435" s="5">
        <f t="shared" si="116"/>
        <v>2219000.5909394319</v>
      </c>
      <c r="AB435" s="3">
        <f>Assumptions!$E$45</f>
        <v>6.9899151946608562E-3</v>
      </c>
      <c r="AC435" s="5">
        <f t="shared" si="117"/>
        <v>2237352.8498987998</v>
      </c>
      <c r="AD435" s="4">
        <f>AC435*Assumptions!$E$43</f>
        <v>2003.718396008323</v>
      </c>
      <c r="AE435" s="2">
        <f>AD435*Assumptions!$D$44*-1</f>
        <v>-300.55775940124846</v>
      </c>
      <c r="AF435" s="2">
        <f>AC435*Assumptions!$E$46*-1</f>
        <v>-74.564759111395844</v>
      </c>
      <c r="AG435" s="5">
        <f t="shared" si="118"/>
        <v>2236977.7273802874</v>
      </c>
      <c r="AH435" s="20">
        <f>Model_30y[[#This Row],[Mortgage Payment]]+Model_30y[[#This Row],[Total Upkeep]]+Model_30y[[#This Row],[Monthly Investment]]</f>
        <v>-6181.4590033577661</v>
      </c>
      <c r="AI435" s="5">
        <f>Model_Renter!D435*-1</f>
        <v>10335.797331394368</v>
      </c>
      <c r="AJ435" s="5">
        <f t="shared" si="111"/>
        <v>4154.3383280366015</v>
      </c>
    </row>
    <row r="436" spans="1:36" x14ac:dyDescent="0.25">
      <c r="A436" s="17">
        <f t="shared" si="112"/>
        <v>434</v>
      </c>
      <c r="B436" s="17">
        <f t="shared" si="107"/>
        <v>37</v>
      </c>
      <c r="C436" s="23">
        <f>IFERROR(PPMT(Assumptions!$E$17, A436, 180, Assumptions!$D$8), 0)</f>
        <v>0</v>
      </c>
      <c r="D436" s="38">
        <f>IFERROR(IPMT(Assumptions!$E$17,A436,180,Assumptions!$D$8), 0)</f>
        <v>0</v>
      </c>
      <c r="E436" s="2">
        <f t="shared" si="113"/>
        <v>0</v>
      </c>
      <c r="F436" s="2">
        <f>IF(I435&gt;1, Assumptions!$E$19, 0)*-1</f>
        <v>0</v>
      </c>
      <c r="G436" s="24">
        <f t="shared" si="108"/>
        <v>1</v>
      </c>
      <c r="H436" s="20">
        <f t="shared" si="114"/>
        <v>339999.99999999988</v>
      </c>
      <c r="I436" s="2">
        <f>MAX(Assumptions!$D$8-SUM(Model_15y!H436), 0)</f>
        <v>1.1641532182693481E-10</v>
      </c>
      <c r="J436" s="2">
        <f>J435*(1+(Assumptions!$E$51))</f>
        <v>2481619.8048103238</v>
      </c>
      <c r="K436" s="22">
        <f t="shared" si="103"/>
        <v>2481619.8048103238</v>
      </c>
      <c r="L436" s="5">
        <f t="shared" si="115"/>
        <v>425000</v>
      </c>
      <c r="M436" s="63">
        <f>L436/Assumptions!$D$6</f>
        <v>1</v>
      </c>
      <c r="N436" s="24">
        <f t="shared" si="119"/>
        <v>0</v>
      </c>
      <c r="O436" s="22">
        <f>N436*Assumptions!$E$25*-1</f>
        <v>0</v>
      </c>
      <c r="P436" s="5">
        <f>Assumptions!$E$35*J436*-1</f>
        <v>-5111.7304819083674</v>
      </c>
      <c r="Q436" s="5">
        <f>J436*Assumptions!$E$36*-1</f>
        <v>-2058.598213406447</v>
      </c>
      <c r="R436" s="5">
        <f>R424+R424*Assumptions!$D$51</f>
        <v>-1881.8575928461903</v>
      </c>
      <c r="S436" s="5">
        <f>S424+(S424*Assumptions!$D$51)</f>
        <v>0</v>
      </c>
      <c r="T436" s="5">
        <f t="shared" si="109"/>
        <v>0</v>
      </c>
      <c r="U436" s="22">
        <f t="shared" si="104"/>
        <v>-9052.186288161005</v>
      </c>
      <c r="V436" s="5">
        <f>MAX(Assumptions!$E$18:$E$19)-U436</f>
        <v>11893.819299959701</v>
      </c>
      <c r="W436" s="5">
        <f t="shared" si="105"/>
        <v>0</v>
      </c>
      <c r="X436" s="5">
        <f t="shared" si="110"/>
        <v>-9052.186288161005</v>
      </c>
      <c r="Y436" s="5">
        <f>D436*Assumptions!$D$44*-1</f>
        <v>0</v>
      </c>
      <c r="Z436" s="5">
        <f t="shared" si="106"/>
        <v>2841.6330117986963</v>
      </c>
      <c r="AA436" s="5">
        <f t="shared" si="116"/>
        <v>2236977.7273802874</v>
      </c>
      <c r="AB436" s="3">
        <f>Assumptions!$E$45</f>
        <v>6.9899151946608562E-3</v>
      </c>
      <c r="AC436" s="5">
        <f t="shared" si="117"/>
        <v>2255455.6449988196</v>
      </c>
      <c r="AD436" s="4">
        <f>AC436*Assumptions!$E$43</f>
        <v>2019.9308157715802</v>
      </c>
      <c r="AE436" s="2">
        <f>AD436*Assumptions!$D$44*-1</f>
        <v>-302.98962236573703</v>
      </c>
      <c r="AF436" s="2">
        <f>AC436*Assumptions!$E$46*-1</f>
        <v>-75.168075014802398</v>
      </c>
      <c r="AG436" s="5">
        <f t="shared" si="118"/>
        <v>2255077.487301439</v>
      </c>
      <c r="AH436" s="20">
        <f>Model_30y[[#This Row],[Mortgage Payment]]+Model_30y[[#This Row],[Total Upkeep]]+Model_30y[[#This Row],[Monthly Investment]]</f>
        <v>-6210.5532763623087</v>
      </c>
      <c r="AI436" s="5">
        <f>Model_Renter!D436*-1</f>
        <v>10335.797331394368</v>
      </c>
      <c r="AJ436" s="5">
        <f t="shared" si="111"/>
        <v>4125.2440550320589</v>
      </c>
    </row>
    <row r="437" spans="1:36" x14ac:dyDescent="0.25">
      <c r="A437" s="17">
        <f t="shared" si="112"/>
        <v>435</v>
      </c>
      <c r="B437" s="17">
        <f t="shared" si="107"/>
        <v>37</v>
      </c>
      <c r="C437" s="23">
        <f>IFERROR(PPMT(Assumptions!$E$17, A437, 180, Assumptions!$D$8), 0)</f>
        <v>0</v>
      </c>
      <c r="D437" s="38">
        <f>IFERROR(IPMT(Assumptions!$E$17,A437,180,Assumptions!$D$8), 0)</f>
        <v>0</v>
      </c>
      <c r="E437" s="2">
        <f t="shared" si="113"/>
        <v>0</v>
      </c>
      <c r="F437" s="2">
        <f>IF(I436&gt;1, Assumptions!$E$19, 0)*-1</f>
        <v>0</v>
      </c>
      <c r="G437" s="24">
        <f t="shared" si="108"/>
        <v>1</v>
      </c>
      <c r="H437" s="20">
        <f t="shared" si="114"/>
        <v>339999.99999999988</v>
      </c>
      <c r="I437" s="2">
        <f>MAX(Assumptions!$D$8-SUM(Model_15y!H437), 0)</f>
        <v>1.1641532182693481E-10</v>
      </c>
      <c r="J437" s="2">
        <f>J436*(1+(Assumptions!$E$51))</f>
        <v>2491730.2310790741</v>
      </c>
      <c r="K437" s="22">
        <f t="shared" si="103"/>
        <v>2491730.2310790741</v>
      </c>
      <c r="L437" s="5">
        <f t="shared" si="115"/>
        <v>425000</v>
      </c>
      <c r="M437" s="63">
        <f>L437/Assumptions!$D$6</f>
        <v>1</v>
      </c>
      <c r="N437" s="24">
        <f t="shared" si="119"/>
        <v>0</v>
      </c>
      <c r="O437" s="22">
        <f>N437*Assumptions!$E$25*-1</f>
        <v>0</v>
      </c>
      <c r="P437" s="5">
        <f>Assumptions!$E$35*J437*-1</f>
        <v>-5132.5563046403104</v>
      </c>
      <c r="Q437" s="5">
        <f>J437*Assumptions!$E$36*-1</f>
        <v>-2066.985197348662</v>
      </c>
      <c r="R437" s="5">
        <f>R425+R425*Assumptions!$D$51</f>
        <v>-1881.8575928461903</v>
      </c>
      <c r="S437" s="5">
        <f>S425+(S425*Assumptions!$D$51)</f>
        <v>0</v>
      </c>
      <c r="T437" s="5">
        <f t="shared" si="109"/>
        <v>0</v>
      </c>
      <c r="U437" s="22">
        <f t="shared" si="104"/>
        <v>-9081.399094835162</v>
      </c>
      <c r="V437" s="5">
        <f>MAX(Assumptions!$E$18:$E$19)-U437</f>
        <v>11923.032106633858</v>
      </c>
      <c r="W437" s="5">
        <f t="shared" si="105"/>
        <v>0</v>
      </c>
      <c r="X437" s="5">
        <f t="shared" si="110"/>
        <v>-9081.399094835162</v>
      </c>
      <c r="Y437" s="5">
        <f>D437*Assumptions!$D$44*-1</f>
        <v>0</v>
      </c>
      <c r="Z437" s="5">
        <f t="shared" si="106"/>
        <v>2841.6330117986963</v>
      </c>
      <c r="AA437" s="5">
        <f t="shared" si="116"/>
        <v>2255077.487301439</v>
      </c>
      <c r="AB437" s="3">
        <f>Assumptions!$E$45</f>
        <v>6.9899151946608562E-3</v>
      </c>
      <c r="AC437" s="5">
        <f t="shared" si="117"/>
        <v>2273681.920706864</v>
      </c>
      <c r="AD437" s="4">
        <f>AC437*Assumptions!$E$43</f>
        <v>2036.2538217420422</v>
      </c>
      <c r="AE437" s="2">
        <f>AD437*Assumptions!$D$44*-1</f>
        <v>-305.43807326130633</v>
      </c>
      <c r="AF437" s="2">
        <f>AC437*Assumptions!$E$46*-1</f>
        <v>-75.77550618406552</v>
      </c>
      <c r="AG437" s="5">
        <f t="shared" si="118"/>
        <v>2273300.7071274188</v>
      </c>
      <c r="AH437" s="20">
        <f>Model_30y[[#This Row],[Mortgage Payment]]+Model_30y[[#This Row],[Total Upkeep]]+Model_30y[[#This Row],[Monthly Investment]]</f>
        <v>-6239.7660830364657</v>
      </c>
      <c r="AI437" s="5">
        <f>Model_Renter!D437*-1</f>
        <v>10335.797331394368</v>
      </c>
      <c r="AJ437" s="5">
        <f t="shared" si="111"/>
        <v>4096.0312483579019</v>
      </c>
    </row>
    <row r="438" spans="1:36" x14ac:dyDescent="0.25">
      <c r="A438" s="17">
        <f t="shared" si="112"/>
        <v>436</v>
      </c>
      <c r="B438" s="17">
        <f t="shared" si="107"/>
        <v>37</v>
      </c>
      <c r="C438" s="23">
        <f>IFERROR(PPMT(Assumptions!$E$17, A438, 180, Assumptions!$D$8), 0)</f>
        <v>0</v>
      </c>
      <c r="D438" s="38">
        <f>IFERROR(IPMT(Assumptions!$E$17,A438,180,Assumptions!$D$8), 0)</f>
        <v>0</v>
      </c>
      <c r="E438" s="2">
        <f t="shared" si="113"/>
        <v>0</v>
      </c>
      <c r="F438" s="2">
        <f>IF(I437&gt;1, Assumptions!$E$19, 0)*-1</f>
        <v>0</v>
      </c>
      <c r="G438" s="24">
        <f t="shared" si="108"/>
        <v>1</v>
      </c>
      <c r="H438" s="20">
        <f t="shared" si="114"/>
        <v>339999.99999999988</v>
      </c>
      <c r="I438" s="2">
        <f>MAX(Assumptions!$D$8-SUM(Model_15y!H438), 0)</f>
        <v>1.1641532182693481E-10</v>
      </c>
      <c r="J438" s="2">
        <f>J437*(1+(Assumptions!$E$51))</f>
        <v>2501881.8484759489</v>
      </c>
      <c r="K438" s="22">
        <f t="shared" si="103"/>
        <v>2501881.8484759489</v>
      </c>
      <c r="L438" s="5">
        <f t="shared" si="115"/>
        <v>425000</v>
      </c>
      <c r="M438" s="63">
        <f>L438/Assumptions!$D$6</f>
        <v>1</v>
      </c>
      <c r="N438" s="24">
        <f t="shared" si="119"/>
        <v>0</v>
      </c>
      <c r="O438" s="22">
        <f>N438*Assumptions!$E$25*-1</f>
        <v>0</v>
      </c>
      <c r="P438" s="5">
        <f>Assumptions!$E$35*J438*-1</f>
        <v>-5153.4669743519598</v>
      </c>
      <c r="Q438" s="5">
        <f>J438*Assumptions!$E$36*-1</f>
        <v>-2075.4063509016291</v>
      </c>
      <c r="R438" s="5">
        <f>R426+R426*Assumptions!$D$51</f>
        <v>-1881.8575928461903</v>
      </c>
      <c r="S438" s="5">
        <f>S426+(S426*Assumptions!$D$51)</f>
        <v>0</v>
      </c>
      <c r="T438" s="5">
        <f t="shared" si="109"/>
        <v>0</v>
      </c>
      <c r="U438" s="22">
        <f t="shared" si="104"/>
        <v>-9110.73091809978</v>
      </c>
      <c r="V438" s="5">
        <f>MAX(Assumptions!$E$18:$E$19)-U438</f>
        <v>11952.363929898476</v>
      </c>
      <c r="W438" s="5">
        <f t="shared" si="105"/>
        <v>0</v>
      </c>
      <c r="X438" s="5">
        <f t="shared" si="110"/>
        <v>-9110.73091809978</v>
      </c>
      <c r="Y438" s="5">
        <f>D438*Assumptions!$D$44*-1</f>
        <v>0</v>
      </c>
      <c r="Z438" s="5">
        <f t="shared" si="106"/>
        <v>2841.6330117986963</v>
      </c>
      <c r="AA438" s="5">
        <f t="shared" si="116"/>
        <v>2273300.7071274188</v>
      </c>
      <c r="AB438" s="3">
        <f>Assumptions!$E$45</f>
        <v>6.9899151946608562E-3</v>
      </c>
      <c r="AC438" s="5">
        <f t="shared" si="117"/>
        <v>2292032.5192940007</v>
      </c>
      <c r="AD438" s="4">
        <f>AC438*Assumptions!$E$43</f>
        <v>2052.6881682370413</v>
      </c>
      <c r="AE438" s="2">
        <f>AD438*Assumptions!$D$44*-1</f>
        <v>-307.90322523555619</v>
      </c>
      <c r="AF438" s="2">
        <f>AC438*Assumptions!$E$46*-1</f>
        <v>-76.38708068974158</v>
      </c>
      <c r="AG438" s="5">
        <f t="shared" si="118"/>
        <v>2291648.2289880756</v>
      </c>
      <c r="AH438" s="20">
        <f>Model_30y[[#This Row],[Mortgage Payment]]+Model_30y[[#This Row],[Total Upkeep]]+Model_30y[[#This Row],[Monthly Investment]]</f>
        <v>-6269.0979063010836</v>
      </c>
      <c r="AI438" s="5">
        <f>Model_Renter!D438*-1</f>
        <v>10335.797331394368</v>
      </c>
      <c r="AJ438" s="5">
        <f t="shared" si="111"/>
        <v>4066.6994250932839</v>
      </c>
    </row>
    <row r="439" spans="1:36" x14ac:dyDescent="0.25">
      <c r="A439" s="17">
        <f t="shared" si="112"/>
        <v>437</v>
      </c>
      <c r="B439" s="17">
        <f t="shared" si="107"/>
        <v>37</v>
      </c>
      <c r="C439" s="23">
        <f>IFERROR(PPMT(Assumptions!$E$17, A439, 180, Assumptions!$D$8), 0)</f>
        <v>0</v>
      </c>
      <c r="D439" s="38">
        <f>IFERROR(IPMT(Assumptions!$E$17,A439,180,Assumptions!$D$8), 0)</f>
        <v>0</v>
      </c>
      <c r="E439" s="2">
        <f t="shared" si="113"/>
        <v>0</v>
      </c>
      <c r="F439" s="2">
        <f>IF(I438&gt;1, Assumptions!$E$19, 0)*-1</f>
        <v>0</v>
      </c>
      <c r="G439" s="24">
        <f t="shared" si="108"/>
        <v>1</v>
      </c>
      <c r="H439" s="20">
        <f t="shared" si="114"/>
        <v>339999.99999999988</v>
      </c>
      <c r="I439" s="2">
        <f>MAX(Assumptions!$D$8-SUM(Model_15y!H439), 0)</f>
        <v>1.1641532182693481E-10</v>
      </c>
      <c r="J439" s="2">
        <f>J438*(1+(Assumptions!$E$51))</f>
        <v>2512074.8248187029</v>
      </c>
      <c r="K439" s="22">
        <f t="shared" si="103"/>
        <v>2512074.8248187029</v>
      </c>
      <c r="L439" s="5">
        <f t="shared" si="115"/>
        <v>425000</v>
      </c>
      <c r="M439" s="63">
        <f>L439/Assumptions!$D$6</f>
        <v>1</v>
      </c>
      <c r="N439" s="24">
        <f t="shared" si="119"/>
        <v>0</v>
      </c>
      <c r="O439" s="22">
        <f>N439*Assumptions!$E$25*-1</f>
        <v>0</v>
      </c>
      <c r="P439" s="5">
        <f>Assumptions!$E$35*J439*-1</f>
        <v>-5174.4628367204132</v>
      </c>
      <c r="Q439" s="5">
        <f>J439*Assumptions!$E$36*-1</f>
        <v>-2083.8618132765723</v>
      </c>
      <c r="R439" s="5">
        <f>R427+R427*Assumptions!$D$51</f>
        <v>-1881.8575928461903</v>
      </c>
      <c r="S439" s="5">
        <f>S427+(S427*Assumptions!$D$51)</f>
        <v>0</v>
      </c>
      <c r="T439" s="5">
        <f t="shared" si="109"/>
        <v>0</v>
      </c>
      <c r="U439" s="22">
        <f t="shared" si="104"/>
        <v>-9140.1822428431751</v>
      </c>
      <c r="V439" s="5">
        <f>MAX(Assumptions!$E$18:$E$19)-U439</f>
        <v>11981.815254641871</v>
      </c>
      <c r="W439" s="5">
        <f t="shared" si="105"/>
        <v>0</v>
      </c>
      <c r="X439" s="5">
        <f t="shared" si="110"/>
        <v>-9140.1822428431751</v>
      </c>
      <c r="Y439" s="5">
        <f>D439*Assumptions!$D$44*-1</f>
        <v>0</v>
      </c>
      <c r="Z439" s="5">
        <f t="shared" si="106"/>
        <v>2841.6330117986963</v>
      </c>
      <c r="AA439" s="5">
        <f t="shared" si="116"/>
        <v>2291648.2289880756</v>
      </c>
      <c r="AB439" s="3">
        <f>Assumptions!$E$45</f>
        <v>6.9899151946608562E-3</v>
      </c>
      <c r="AC439" s="5">
        <f t="shared" si="117"/>
        <v>2310508.288776496</v>
      </c>
      <c r="AD439" s="4">
        <f>AC439*Assumptions!$E$43</f>
        <v>2069.2346147191683</v>
      </c>
      <c r="AE439" s="2">
        <f>AD439*Assumptions!$D$44*-1</f>
        <v>-310.38519220787526</v>
      </c>
      <c r="AF439" s="2">
        <f>AC439*Assumptions!$E$46*-1</f>
        <v>-77.002826793858446</v>
      </c>
      <c r="AG439" s="5">
        <f t="shared" si="118"/>
        <v>2310120.9007574944</v>
      </c>
      <c r="AH439" s="20">
        <f>Model_30y[[#This Row],[Mortgage Payment]]+Model_30y[[#This Row],[Total Upkeep]]+Model_30y[[#This Row],[Monthly Investment]]</f>
        <v>-6298.5492310444788</v>
      </c>
      <c r="AI439" s="5">
        <f>Model_Renter!D439*-1</f>
        <v>10335.797331394368</v>
      </c>
      <c r="AJ439" s="5">
        <f t="shared" si="111"/>
        <v>4037.2481003498888</v>
      </c>
    </row>
    <row r="440" spans="1:36" x14ac:dyDescent="0.25">
      <c r="A440" s="17">
        <f t="shared" si="112"/>
        <v>438</v>
      </c>
      <c r="B440" s="17">
        <f t="shared" si="107"/>
        <v>37</v>
      </c>
      <c r="C440" s="23">
        <f>IFERROR(PPMT(Assumptions!$E$17, A440, 180, Assumptions!$D$8), 0)</f>
        <v>0</v>
      </c>
      <c r="D440" s="38">
        <f>IFERROR(IPMT(Assumptions!$E$17,A440,180,Assumptions!$D$8), 0)</f>
        <v>0</v>
      </c>
      <c r="E440" s="2">
        <f t="shared" si="113"/>
        <v>0</v>
      </c>
      <c r="F440" s="2">
        <f>IF(I439&gt;1, Assumptions!$E$19, 0)*-1</f>
        <v>0</v>
      </c>
      <c r="G440" s="24">
        <f t="shared" si="108"/>
        <v>1</v>
      </c>
      <c r="H440" s="20">
        <f t="shared" si="114"/>
        <v>339999.99999999988</v>
      </c>
      <c r="I440" s="2">
        <f>MAX(Assumptions!$D$8-SUM(Model_15y!H440), 0)</f>
        <v>1.1641532182693481E-10</v>
      </c>
      <c r="J440" s="2">
        <f>J439*(1+(Assumptions!$E$51))</f>
        <v>2522309.3286088011</v>
      </c>
      <c r="K440" s="22">
        <f t="shared" si="103"/>
        <v>2522309.3286088011</v>
      </c>
      <c r="L440" s="5">
        <f t="shared" si="115"/>
        <v>425000</v>
      </c>
      <c r="M440" s="63">
        <f>L440/Assumptions!$D$6</f>
        <v>1</v>
      </c>
      <c r="N440" s="24">
        <f t="shared" si="119"/>
        <v>0</v>
      </c>
      <c r="O440" s="22">
        <f>N440*Assumptions!$E$25*-1</f>
        <v>0</v>
      </c>
      <c r="P440" s="5">
        <f>Assumptions!$E$35*J440*-1</f>
        <v>-5195.5442388311012</v>
      </c>
      <c r="Q440" s="5">
        <f>J440*Assumptions!$E$36*-1</f>
        <v>-2092.3517242518792</v>
      </c>
      <c r="R440" s="5">
        <f>R428+R428*Assumptions!$D$51</f>
        <v>-1881.8575928461903</v>
      </c>
      <c r="S440" s="5">
        <f>S428+(S428*Assumptions!$D$51)</f>
        <v>0</v>
      </c>
      <c r="T440" s="5">
        <f t="shared" si="109"/>
        <v>0</v>
      </c>
      <c r="U440" s="22">
        <f t="shared" si="104"/>
        <v>-9169.75355592917</v>
      </c>
      <c r="V440" s="5">
        <f>MAX(Assumptions!$E$18:$E$19)-U440</f>
        <v>12011.386567727866</v>
      </c>
      <c r="W440" s="5">
        <f t="shared" si="105"/>
        <v>0</v>
      </c>
      <c r="X440" s="5">
        <f t="shared" si="110"/>
        <v>-9169.75355592917</v>
      </c>
      <c r="Y440" s="5">
        <f>D440*Assumptions!$D$44*-1</f>
        <v>0</v>
      </c>
      <c r="Z440" s="5">
        <f t="shared" si="106"/>
        <v>2841.6330117986963</v>
      </c>
      <c r="AA440" s="5">
        <f t="shared" si="116"/>
        <v>2310120.9007574944</v>
      </c>
      <c r="AB440" s="3">
        <f>Assumptions!$E$45</f>
        <v>6.9899151946608562E-3</v>
      </c>
      <c r="AC440" s="5">
        <f t="shared" si="117"/>
        <v>2329110.0829550019</v>
      </c>
      <c r="AD440" s="4">
        <f>AC440*Assumptions!$E$43</f>
        <v>2085.893925831369</v>
      </c>
      <c r="AE440" s="2">
        <f>AD440*Assumptions!$D$44*-1</f>
        <v>-312.88408887470536</v>
      </c>
      <c r="AF440" s="2">
        <f>AC440*Assumptions!$E$46*-1</f>
        <v>-77.622772951221506</v>
      </c>
      <c r="AG440" s="5">
        <f t="shared" si="118"/>
        <v>2328719.5760931759</v>
      </c>
      <c r="AH440" s="20">
        <f>Model_30y[[#This Row],[Mortgage Payment]]+Model_30y[[#This Row],[Total Upkeep]]+Model_30y[[#This Row],[Monthly Investment]]</f>
        <v>-6328.1205441304737</v>
      </c>
      <c r="AI440" s="5">
        <f>Model_Renter!D440*-1</f>
        <v>10335.797331394368</v>
      </c>
      <c r="AJ440" s="5">
        <f t="shared" si="111"/>
        <v>4007.6767872638939</v>
      </c>
    </row>
    <row r="441" spans="1:36" x14ac:dyDescent="0.25">
      <c r="A441" s="17">
        <f t="shared" si="112"/>
        <v>439</v>
      </c>
      <c r="B441" s="17">
        <f t="shared" si="107"/>
        <v>37</v>
      </c>
      <c r="C441" s="23">
        <f>IFERROR(PPMT(Assumptions!$E$17, A441, 180, Assumptions!$D$8), 0)</f>
        <v>0</v>
      </c>
      <c r="D441" s="38">
        <f>IFERROR(IPMT(Assumptions!$E$17,A441,180,Assumptions!$D$8), 0)</f>
        <v>0</v>
      </c>
      <c r="E441" s="2">
        <f t="shared" si="113"/>
        <v>0</v>
      </c>
      <c r="F441" s="2">
        <f>IF(I440&gt;1, Assumptions!$E$19, 0)*-1</f>
        <v>0</v>
      </c>
      <c r="G441" s="24">
        <f t="shared" si="108"/>
        <v>1</v>
      </c>
      <c r="H441" s="20">
        <f t="shared" si="114"/>
        <v>339999.99999999988</v>
      </c>
      <c r="I441" s="2">
        <f>MAX(Assumptions!$D$8-SUM(Model_15y!H441), 0)</f>
        <v>1.1641532182693481E-10</v>
      </c>
      <c r="J441" s="2">
        <f>J440*(1+(Assumptions!$E$51))</f>
        <v>2532585.5290342043</v>
      </c>
      <c r="K441" s="22">
        <f t="shared" si="103"/>
        <v>2532585.5290342043</v>
      </c>
      <c r="L441" s="5">
        <f t="shared" si="115"/>
        <v>425000</v>
      </c>
      <c r="M441" s="63">
        <f>L441/Assumptions!$D$6</f>
        <v>1</v>
      </c>
      <c r="N441" s="24">
        <f t="shared" si="119"/>
        <v>0</v>
      </c>
      <c r="O441" s="22">
        <f>N441*Assumptions!$E$25*-1</f>
        <v>0</v>
      </c>
      <c r="P441" s="5">
        <f>Assumptions!$E$35*J441*-1</f>
        <v>-5216.7115291835198</v>
      </c>
      <c r="Q441" s="5">
        <f>J441*Assumptions!$E$36*-1</f>
        <v>-2100.8762241754116</v>
      </c>
      <c r="R441" s="5">
        <f>R429+R429*Assumptions!$D$51</f>
        <v>-1881.8575928461903</v>
      </c>
      <c r="S441" s="5">
        <f>S429+(S429*Assumptions!$D$51)</f>
        <v>0</v>
      </c>
      <c r="T441" s="5">
        <f t="shared" si="109"/>
        <v>0</v>
      </c>
      <c r="U441" s="22">
        <f t="shared" si="104"/>
        <v>-9199.4453462051224</v>
      </c>
      <c r="V441" s="5">
        <f>MAX(Assumptions!$E$18:$E$19)-U441</f>
        <v>12041.078358003819</v>
      </c>
      <c r="W441" s="5">
        <f t="shared" si="105"/>
        <v>0</v>
      </c>
      <c r="X441" s="5">
        <f t="shared" si="110"/>
        <v>-9199.4453462051224</v>
      </c>
      <c r="Y441" s="5">
        <f>D441*Assumptions!$D$44*-1</f>
        <v>0</v>
      </c>
      <c r="Z441" s="5">
        <f t="shared" si="106"/>
        <v>2841.6330117986963</v>
      </c>
      <c r="AA441" s="5">
        <f t="shared" si="116"/>
        <v>2328719.5760931759</v>
      </c>
      <c r="AB441" s="3">
        <f>Assumptions!$E$45</f>
        <v>6.9899151946608562E-3</v>
      </c>
      <c r="AC441" s="5">
        <f t="shared" si="117"/>
        <v>2347838.7614540127</v>
      </c>
      <c r="AD441" s="4">
        <f>AC441*Assumptions!$E$43</f>
        <v>2102.6668714322786</v>
      </c>
      <c r="AE441" s="2">
        <f>AD441*Assumptions!$D$44*-1</f>
        <v>-315.40003071484176</v>
      </c>
      <c r="AF441" s="2">
        <f>AC441*Assumptions!$E$46*-1</f>
        <v>-78.246947810728656</v>
      </c>
      <c r="AG441" s="5">
        <f t="shared" si="118"/>
        <v>2347445.1144754873</v>
      </c>
      <c r="AH441" s="20">
        <f>Model_30y[[#This Row],[Mortgage Payment]]+Model_30y[[#This Row],[Total Upkeep]]+Model_30y[[#This Row],[Monthly Investment]]</f>
        <v>-6357.8123344064261</v>
      </c>
      <c r="AI441" s="5">
        <f>Model_Renter!D441*-1</f>
        <v>10335.797331394368</v>
      </c>
      <c r="AJ441" s="5">
        <f t="shared" si="111"/>
        <v>3977.9849969879415</v>
      </c>
    </row>
    <row r="442" spans="1:36" x14ac:dyDescent="0.25">
      <c r="A442" s="17">
        <f t="shared" si="112"/>
        <v>440</v>
      </c>
      <c r="B442" s="17">
        <f t="shared" si="107"/>
        <v>37</v>
      </c>
      <c r="C442" s="23">
        <f>IFERROR(PPMT(Assumptions!$E$17, A442, 180, Assumptions!$D$8), 0)</f>
        <v>0</v>
      </c>
      <c r="D442" s="38">
        <f>IFERROR(IPMT(Assumptions!$E$17,A442,180,Assumptions!$D$8), 0)</f>
        <v>0</v>
      </c>
      <c r="E442" s="2">
        <f t="shared" si="113"/>
        <v>0</v>
      </c>
      <c r="F442" s="2">
        <f>IF(I441&gt;1, Assumptions!$E$19, 0)*-1</f>
        <v>0</v>
      </c>
      <c r="G442" s="24">
        <f t="shared" si="108"/>
        <v>1</v>
      </c>
      <c r="H442" s="20">
        <f t="shared" si="114"/>
        <v>339999.99999999988</v>
      </c>
      <c r="I442" s="2">
        <f>MAX(Assumptions!$D$8-SUM(Model_15y!H442), 0)</f>
        <v>1.1641532182693481E-10</v>
      </c>
      <c r="J442" s="2">
        <f>J441*(1+(Assumptions!$E$51))</f>
        <v>2542903.5959721664</v>
      </c>
      <c r="K442" s="22">
        <f t="shared" si="103"/>
        <v>2542903.5959721664</v>
      </c>
      <c r="L442" s="5">
        <f t="shared" si="115"/>
        <v>425000</v>
      </c>
      <c r="M442" s="63">
        <f>L442/Assumptions!$D$6</f>
        <v>1</v>
      </c>
      <c r="N442" s="24">
        <f t="shared" si="119"/>
        <v>0</v>
      </c>
      <c r="O442" s="22">
        <f>N442*Assumptions!$E$25*-1</f>
        <v>0</v>
      </c>
      <c r="P442" s="5">
        <f>Assumptions!$E$35*J442*-1</f>
        <v>-5237.9650576969989</v>
      </c>
      <c r="Q442" s="5">
        <f>J442*Assumptions!$E$36*-1</f>
        <v>-2109.4354539668261</v>
      </c>
      <c r="R442" s="5">
        <f>R430+R430*Assumptions!$D$51</f>
        <v>-1881.8575928461903</v>
      </c>
      <c r="S442" s="5">
        <f>S430+(S430*Assumptions!$D$51)</f>
        <v>0</v>
      </c>
      <c r="T442" s="5">
        <f t="shared" si="109"/>
        <v>0</v>
      </c>
      <c r="U442" s="22">
        <f t="shared" si="104"/>
        <v>-9229.258104510016</v>
      </c>
      <c r="V442" s="5">
        <f>MAX(Assumptions!$E$18:$E$19)-U442</f>
        <v>12070.891116308712</v>
      </c>
      <c r="W442" s="5">
        <f t="shared" si="105"/>
        <v>0</v>
      </c>
      <c r="X442" s="5">
        <f t="shared" si="110"/>
        <v>-9229.258104510016</v>
      </c>
      <c r="Y442" s="5">
        <f>D442*Assumptions!$D$44*-1</f>
        <v>0</v>
      </c>
      <c r="Z442" s="5">
        <f t="shared" si="106"/>
        <v>2841.6330117986963</v>
      </c>
      <c r="AA442" s="5">
        <f t="shared" si="116"/>
        <v>2347445.1144754873</v>
      </c>
      <c r="AB442" s="3">
        <f>Assumptions!$E$45</f>
        <v>6.9899151946608562E-3</v>
      </c>
      <c r="AC442" s="5">
        <f t="shared" si="117"/>
        <v>2366695.1897615907</v>
      </c>
      <c r="AD442" s="4">
        <f>AC442*Assumptions!$E$43</f>
        <v>2119.5542266318016</v>
      </c>
      <c r="AE442" s="2">
        <f>AD442*Assumptions!$D$44*-1</f>
        <v>-317.93313399477023</v>
      </c>
      <c r="AF442" s="2">
        <f>AC442*Assumptions!$E$46*-1</f>
        <v>-78.875380216694239</v>
      </c>
      <c r="AG442" s="5">
        <f t="shared" si="118"/>
        <v>2366298.3812473794</v>
      </c>
      <c r="AH442" s="20">
        <f>Model_30y[[#This Row],[Mortgage Payment]]+Model_30y[[#This Row],[Total Upkeep]]+Model_30y[[#This Row],[Monthly Investment]]</f>
        <v>-6387.6250927113197</v>
      </c>
      <c r="AI442" s="5">
        <f>Model_Renter!D442*-1</f>
        <v>10335.797331394368</v>
      </c>
      <c r="AJ442" s="5">
        <f t="shared" si="111"/>
        <v>3948.1722386830479</v>
      </c>
    </row>
    <row r="443" spans="1:36" x14ac:dyDescent="0.25">
      <c r="A443" s="17">
        <f t="shared" si="112"/>
        <v>441</v>
      </c>
      <c r="B443" s="17">
        <f t="shared" si="107"/>
        <v>37</v>
      </c>
      <c r="C443" s="23">
        <f>IFERROR(PPMT(Assumptions!$E$17, A443, 180, Assumptions!$D$8), 0)</f>
        <v>0</v>
      </c>
      <c r="D443" s="38">
        <f>IFERROR(IPMT(Assumptions!$E$17,A443,180,Assumptions!$D$8), 0)</f>
        <v>0</v>
      </c>
      <c r="E443" s="2">
        <f t="shared" si="113"/>
        <v>0</v>
      </c>
      <c r="F443" s="2">
        <f>IF(I442&gt;1, Assumptions!$E$19, 0)*-1</f>
        <v>0</v>
      </c>
      <c r="G443" s="24">
        <f t="shared" si="108"/>
        <v>1</v>
      </c>
      <c r="H443" s="20">
        <f t="shared" si="114"/>
        <v>339999.99999999988</v>
      </c>
      <c r="I443" s="2">
        <f>MAX(Assumptions!$D$8-SUM(Model_15y!H443), 0)</f>
        <v>1.1641532182693481E-10</v>
      </c>
      <c r="J443" s="2">
        <f>J442*(1+(Assumptions!$E$51))</f>
        <v>2553263.6999920416</v>
      </c>
      <c r="K443" s="22">
        <f t="shared" si="103"/>
        <v>2553263.6999920416</v>
      </c>
      <c r="L443" s="5">
        <f t="shared" si="115"/>
        <v>425000</v>
      </c>
      <c r="M443" s="63">
        <f>L443/Assumptions!$D$6</f>
        <v>1</v>
      </c>
      <c r="N443" s="24">
        <f t="shared" si="119"/>
        <v>0</v>
      </c>
      <c r="O443" s="22">
        <f>N443*Assumptions!$E$25*-1</f>
        <v>0</v>
      </c>
      <c r="P443" s="5">
        <f>Assumptions!$E$35*J443*-1</f>
        <v>-5259.3051757164822</v>
      </c>
      <c r="Q443" s="5">
        <f>J443*Assumptions!$E$36*-1</f>
        <v>-2118.0295551199033</v>
      </c>
      <c r="R443" s="5">
        <f>R431+R431*Assumptions!$D$51</f>
        <v>-1881.8575928461903</v>
      </c>
      <c r="S443" s="5">
        <f>S431+(S431*Assumptions!$D$51)</f>
        <v>0</v>
      </c>
      <c r="T443" s="5">
        <f t="shared" si="109"/>
        <v>0</v>
      </c>
      <c r="U443" s="22">
        <f t="shared" si="104"/>
        <v>-9259.1923236825751</v>
      </c>
      <c r="V443" s="5">
        <f>MAX(Assumptions!$E$18:$E$19)-U443</f>
        <v>12100.825335481271</v>
      </c>
      <c r="W443" s="5">
        <f t="shared" si="105"/>
        <v>0</v>
      </c>
      <c r="X443" s="5">
        <f t="shared" si="110"/>
        <v>-9259.1923236825751</v>
      </c>
      <c r="Y443" s="5">
        <f>D443*Assumptions!$D$44*-1</f>
        <v>0</v>
      </c>
      <c r="Z443" s="5">
        <f t="shared" si="106"/>
        <v>2841.6330117986963</v>
      </c>
      <c r="AA443" s="5">
        <f t="shared" si="116"/>
        <v>2366298.3812473794</v>
      </c>
      <c r="AB443" s="3">
        <f>Assumptions!$E$45</f>
        <v>6.9899151946608562E-3</v>
      </c>
      <c r="AC443" s="5">
        <f t="shared" si="117"/>
        <v>2385680.2392693604</v>
      </c>
      <c r="AD443" s="4">
        <f>AC443*Assumptions!$E$43</f>
        <v>2136.5567718269272</v>
      </c>
      <c r="AE443" s="2">
        <f>AD443*Assumptions!$D$44*-1</f>
        <v>-320.48351577403906</v>
      </c>
      <c r="AF443" s="2">
        <f>AC443*Assumptions!$E$46*-1</f>
        <v>-79.508099210181925</v>
      </c>
      <c r="AG443" s="5">
        <f t="shared" si="118"/>
        <v>2385280.2476543761</v>
      </c>
      <c r="AH443" s="20">
        <f>Model_30y[[#This Row],[Mortgage Payment]]+Model_30y[[#This Row],[Total Upkeep]]+Model_30y[[#This Row],[Monthly Investment]]</f>
        <v>-6417.5593118838788</v>
      </c>
      <c r="AI443" s="5">
        <f>Model_Renter!D443*-1</f>
        <v>10335.797331394368</v>
      </c>
      <c r="AJ443" s="5">
        <f t="shared" si="111"/>
        <v>3918.2380195104888</v>
      </c>
    </row>
    <row r="444" spans="1:36" x14ac:dyDescent="0.25">
      <c r="A444" s="17">
        <f t="shared" si="112"/>
        <v>442</v>
      </c>
      <c r="B444" s="17">
        <f t="shared" si="107"/>
        <v>37</v>
      </c>
      <c r="C444" s="23">
        <f>IFERROR(PPMT(Assumptions!$E$17, A444, 180, Assumptions!$D$8), 0)</f>
        <v>0</v>
      </c>
      <c r="D444" s="38">
        <f>IFERROR(IPMT(Assumptions!$E$17,A444,180,Assumptions!$D$8), 0)</f>
        <v>0</v>
      </c>
      <c r="E444" s="2">
        <f t="shared" si="113"/>
        <v>0</v>
      </c>
      <c r="F444" s="2">
        <f>IF(I443&gt;1, Assumptions!$E$19, 0)*-1</f>
        <v>0</v>
      </c>
      <c r="G444" s="24">
        <f t="shared" si="108"/>
        <v>1</v>
      </c>
      <c r="H444" s="20">
        <f t="shared" si="114"/>
        <v>339999.99999999988</v>
      </c>
      <c r="I444" s="2">
        <f>MAX(Assumptions!$D$8-SUM(Model_15y!H444), 0)</f>
        <v>1.1641532182693481E-10</v>
      </c>
      <c r="J444" s="2">
        <f>J443*(1+(Assumptions!$E$51))</f>
        <v>2563666.0123581053</v>
      </c>
      <c r="K444" s="22">
        <f t="shared" si="103"/>
        <v>2563666.0123581053</v>
      </c>
      <c r="L444" s="5">
        <f t="shared" si="115"/>
        <v>425000</v>
      </c>
      <c r="M444" s="63">
        <f>L444/Assumptions!$D$6</f>
        <v>1</v>
      </c>
      <c r="N444" s="24">
        <f t="shared" si="119"/>
        <v>0</v>
      </c>
      <c r="O444" s="22">
        <f>N444*Assumptions!$E$25*-1</f>
        <v>0</v>
      </c>
      <c r="P444" s="5">
        <f>Assumptions!$E$35*J444*-1</f>
        <v>-5280.7322360183334</v>
      </c>
      <c r="Q444" s="5">
        <f>J444*Assumptions!$E$36*-1</f>
        <v>-2126.6586697048874</v>
      </c>
      <c r="R444" s="5">
        <f>R432+R432*Assumptions!$D$51</f>
        <v>-1881.8575928461903</v>
      </c>
      <c r="S444" s="5">
        <f>S432+(S432*Assumptions!$D$51)</f>
        <v>0</v>
      </c>
      <c r="T444" s="5">
        <f t="shared" si="109"/>
        <v>0</v>
      </c>
      <c r="U444" s="22">
        <f t="shared" si="104"/>
        <v>-9289.2484985694118</v>
      </c>
      <c r="V444" s="5">
        <f>MAX(Assumptions!$E$18:$E$19)-U444</f>
        <v>12130.881510368108</v>
      </c>
      <c r="W444" s="5">
        <f t="shared" si="105"/>
        <v>0</v>
      </c>
      <c r="X444" s="5">
        <f t="shared" si="110"/>
        <v>-9289.2484985694118</v>
      </c>
      <c r="Y444" s="5">
        <f>D444*Assumptions!$D$44*-1</f>
        <v>0</v>
      </c>
      <c r="Z444" s="5">
        <f t="shared" si="106"/>
        <v>2841.6330117986963</v>
      </c>
      <c r="AA444" s="5">
        <f t="shared" si="116"/>
        <v>2385280.2476543761</v>
      </c>
      <c r="AB444" s="3">
        <f>Assumptions!$E$45</f>
        <v>6.9899151946608562E-3</v>
      </c>
      <c r="AC444" s="5">
        <f t="shared" si="117"/>
        <v>2404794.7873127786</v>
      </c>
      <c r="AD444" s="4">
        <f>AC444*Assumptions!$E$43</f>
        <v>2153.6752927377947</v>
      </c>
      <c r="AE444" s="2">
        <f>AD444*Assumptions!$D$44*-1</f>
        <v>-323.05129391066919</v>
      </c>
      <c r="AF444" s="2">
        <f>AC444*Assumptions!$E$46*-1</f>
        <v>-80.145134030346824</v>
      </c>
      <c r="AG444" s="5">
        <f t="shared" si="118"/>
        <v>2404391.5908848378</v>
      </c>
      <c r="AH444" s="20">
        <f>Model_30y[[#This Row],[Mortgage Payment]]+Model_30y[[#This Row],[Total Upkeep]]+Model_30y[[#This Row],[Monthly Investment]]</f>
        <v>-6447.6154867707155</v>
      </c>
      <c r="AI444" s="5">
        <f>Model_Renter!D444*-1</f>
        <v>10335.797331394368</v>
      </c>
      <c r="AJ444" s="5">
        <f t="shared" si="111"/>
        <v>3888.1818446236521</v>
      </c>
    </row>
    <row r="445" spans="1:36" x14ac:dyDescent="0.25">
      <c r="A445" s="17">
        <f t="shared" si="112"/>
        <v>443</v>
      </c>
      <c r="B445" s="17">
        <f t="shared" si="107"/>
        <v>37</v>
      </c>
      <c r="C445" s="23">
        <f>IFERROR(PPMT(Assumptions!$E$17, A445, 180, Assumptions!$D$8), 0)</f>
        <v>0</v>
      </c>
      <c r="D445" s="38">
        <f>IFERROR(IPMT(Assumptions!$E$17,A445,180,Assumptions!$D$8), 0)</f>
        <v>0</v>
      </c>
      <c r="E445" s="2">
        <f t="shared" si="113"/>
        <v>0</v>
      </c>
      <c r="F445" s="2">
        <f>IF(I444&gt;1, Assumptions!$E$19, 0)*-1</f>
        <v>0</v>
      </c>
      <c r="G445" s="24">
        <f t="shared" si="108"/>
        <v>1</v>
      </c>
      <c r="H445" s="20">
        <f t="shared" si="114"/>
        <v>339999.99999999988</v>
      </c>
      <c r="I445" s="2">
        <f>MAX(Assumptions!$D$8-SUM(Model_15y!H445), 0)</f>
        <v>1.1641532182693481E-10</v>
      </c>
      <c r="J445" s="2">
        <f>J444*(1+(Assumptions!$E$51))</f>
        <v>2574110.7050323845</v>
      </c>
      <c r="K445" s="22">
        <f t="shared" si="103"/>
        <v>2574110.7050323845</v>
      </c>
      <c r="L445" s="5">
        <f t="shared" si="115"/>
        <v>425000</v>
      </c>
      <c r="M445" s="63">
        <f>L445/Assumptions!$D$6</f>
        <v>1</v>
      </c>
      <c r="N445" s="24">
        <f t="shared" si="119"/>
        <v>0</v>
      </c>
      <c r="O445" s="22">
        <f>N445*Assumptions!$E$25*-1</f>
        <v>0</v>
      </c>
      <c r="P445" s="5">
        <f>Assumptions!$E$35*J445*-1</f>
        <v>-5302.2465928161746</v>
      </c>
      <c r="Q445" s="5">
        <f>J445*Assumptions!$E$36*-1</f>
        <v>-2135.3229403708342</v>
      </c>
      <c r="R445" s="5">
        <f>R433+R433*Assumptions!$D$51</f>
        <v>-1881.8575928461903</v>
      </c>
      <c r="S445" s="5">
        <f>S433+(S433*Assumptions!$D$51)</f>
        <v>0</v>
      </c>
      <c r="T445" s="5">
        <f t="shared" si="109"/>
        <v>0</v>
      </c>
      <c r="U445" s="22">
        <f t="shared" si="104"/>
        <v>-9319.4271260331989</v>
      </c>
      <c r="V445" s="5">
        <f>MAX(Assumptions!$E$18:$E$19)-U445</f>
        <v>12161.060137831895</v>
      </c>
      <c r="W445" s="5">
        <f t="shared" si="105"/>
        <v>0</v>
      </c>
      <c r="X445" s="5">
        <f t="shared" si="110"/>
        <v>-9319.4271260331989</v>
      </c>
      <c r="Y445" s="5">
        <f>D445*Assumptions!$D$44*-1</f>
        <v>0</v>
      </c>
      <c r="Z445" s="5">
        <f t="shared" si="106"/>
        <v>2841.6330117986963</v>
      </c>
      <c r="AA445" s="5">
        <f t="shared" si="116"/>
        <v>2404391.5908848378</v>
      </c>
      <c r="AB445" s="3">
        <f>Assumptions!$E$45</f>
        <v>6.9899151946608562E-3</v>
      </c>
      <c r="AC445" s="5">
        <f t="shared" si="117"/>
        <v>2424039.7172116772</v>
      </c>
      <c r="AD445" s="4">
        <f>AC445*Assumptions!$E$43</f>
        <v>2170.9105804440046</v>
      </c>
      <c r="AE445" s="2">
        <f>AD445*Assumptions!$D$44*-1</f>
        <v>-325.63658706660067</v>
      </c>
      <c r="AF445" s="2">
        <f>AC445*Assumptions!$E$46*-1</f>
        <v>-80.786514115786616</v>
      </c>
      <c r="AG445" s="5">
        <f t="shared" si="118"/>
        <v>2423633.2941104947</v>
      </c>
      <c r="AH445" s="20">
        <f>Model_30y[[#This Row],[Mortgage Payment]]+Model_30y[[#This Row],[Total Upkeep]]+Model_30y[[#This Row],[Monthly Investment]]</f>
        <v>-6477.7941142345026</v>
      </c>
      <c r="AI445" s="5">
        <f>Model_Renter!D445*-1</f>
        <v>10335.797331394368</v>
      </c>
      <c r="AJ445" s="5">
        <f t="shared" si="111"/>
        <v>3858.003217159865</v>
      </c>
    </row>
    <row r="446" spans="1:36" x14ac:dyDescent="0.25">
      <c r="A446" s="17">
        <f t="shared" si="112"/>
        <v>444</v>
      </c>
      <c r="B446" s="17">
        <f t="shared" si="107"/>
        <v>37</v>
      </c>
      <c r="C446" s="23">
        <f>IFERROR(PPMT(Assumptions!$E$17, A446, 180, Assumptions!$D$8), 0)</f>
        <v>0</v>
      </c>
      <c r="D446" s="38">
        <f>IFERROR(IPMT(Assumptions!$E$17,A446,180,Assumptions!$D$8), 0)</f>
        <v>0</v>
      </c>
      <c r="E446" s="2">
        <f t="shared" si="113"/>
        <v>0</v>
      </c>
      <c r="F446" s="2">
        <f>IF(I445&gt;1, Assumptions!$E$19, 0)*-1</f>
        <v>0</v>
      </c>
      <c r="G446" s="24">
        <f t="shared" si="108"/>
        <v>1</v>
      </c>
      <c r="H446" s="20">
        <f t="shared" si="114"/>
        <v>339999.99999999988</v>
      </c>
      <c r="I446" s="2">
        <f>MAX(Assumptions!$D$8-SUM(Model_15y!H446), 0)</f>
        <v>1.1641532182693481E-10</v>
      </c>
      <c r="J446" s="2">
        <f>J445*(1+(Assumptions!$E$51))</f>
        <v>2584597.9506775006</v>
      </c>
      <c r="K446" s="22">
        <f t="shared" si="103"/>
        <v>2584597.9506775006</v>
      </c>
      <c r="L446" s="5">
        <f t="shared" si="115"/>
        <v>425000</v>
      </c>
      <c r="M446" s="63">
        <f>L446/Assumptions!$D$6</f>
        <v>1</v>
      </c>
      <c r="N446" s="24">
        <f t="shared" si="119"/>
        <v>0</v>
      </c>
      <c r="O446" s="22">
        <f>N446*Assumptions!$E$25*-1</f>
        <v>0</v>
      </c>
      <c r="P446" s="5">
        <f>Assumptions!$E$35*J446*-1</f>
        <v>-5323.8486017667346</v>
      </c>
      <c r="Q446" s="5">
        <f>J446*Assumptions!$E$36*-1</f>
        <v>-2144.0225103479688</v>
      </c>
      <c r="R446" s="5">
        <f>R434+R434*Assumptions!$D$51</f>
        <v>-1881.8575928461903</v>
      </c>
      <c r="S446" s="5">
        <f>S434+(S434*Assumptions!$D$51)</f>
        <v>0</v>
      </c>
      <c r="T446" s="5">
        <f t="shared" si="109"/>
        <v>0</v>
      </c>
      <c r="U446" s="22">
        <f t="shared" si="104"/>
        <v>-9349.7287049608931</v>
      </c>
      <c r="V446" s="5">
        <f>MAX(Assumptions!$E$18:$E$19)-U446</f>
        <v>12191.361716759589</v>
      </c>
      <c r="W446" s="5">
        <f t="shared" si="105"/>
        <v>0</v>
      </c>
      <c r="X446" s="5">
        <f t="shared" si="110"/>
        <v>-9349.7287049608931</v>
      </c>
      <c r="Y446" s="5">
        <f>D446*Assumptions!$D$44*-1</f>
        <v>0</v>
      </c>
      <c r="Z446" s="5">
        <f t="shared" si="106"/>
        <v>2841.6330117986963</v>
      </c>
      <c r="AA446" s="5">
        <f t="shared" si="116"/>
        <v>2423633.2941104947</v>
      </c>
      <c r="AB446" s="3">
        <f>Assumptions!$E$45</f>
        <v>6.9899151946608562E-3</v>
      </c>
      <c r="AC446" s="5">
        <f t="shared" si="117"/>
        <v>2443415.9183110823</v>
      </c>
      <c r="AD446" s="4">
        <f>AC446*Assumptions!$E$43</f>
        <v>2188.2634314211718</v>
      </c>
      <c r="AE446" s="2">
        <f>AD446*Assumptions!$D$44*-1</f>
        <v>-328.23951471317577</v>
      </c>
      <c r="AF446" s="2">
        <f>AC446*Assumptions!$E$46*-1</f>
        <v>-81.432269105902037</v>
      </c>
      <c r="AG446" s="5">
        <f t="shared" si="118"/>
        <v>2443006.2465272634</v>
      </c>
      <c r="AH446" s="20">
        <f>Model_30y[[#This Row],[Mortgage Payment]]+Model_30y[[#This Row],[Total Upkeep]]+Model_30y[[#This Row],[Monthly Investment]]</f>
        <v>-6508.0956931621968</v>
      </c>
      <c r="AI446" s="5">
        <f>Model_Renter!D446*-1</f>
        <v>10335.797331394368</v>
      </c>
      <c r="AJ446" s="5">
        <f t="shared" si="111"/>
        <v>3827.7016382321708</v>
      </c>
    </row>
    <row r="447" spans="1:36" x14ac:dyDescent="0.25">
      <c r="A447" s="17">
        <f t="shared" si="112"/>
        <v>445</v>
      </c>
      <c r="B447" s="17">
        <f t="shared" si="107"/>
        <v>38</v>
      </c>
      <c r="C447" s="23">
        <f>IFERROR(PPMT(Assumptions!$E$17, A447, 180, Assumptions!$D$8), 0)</f>
        <v>0</v>
      </c>
      <c r="D447" s="38">
        <f>IFERROR(IPMT(Assumptions!$E$17,A447,180,Assumptions!$D$8), 0)</f>
        <v>0</v>
      </c>
      <c r="E447" s="2">
        <f t="shared" si="113"/>
        <v>0</v>
      </c>
      <c r="F447" s="2">
        <f>IF(I446&gt;1, Assumptions!$E$19, 0)*-1</f>
        <v>0</v>
      </c>
      <c r="G447" s="24">
        <f t="shared" si="108"/>
        <v>1</v>
      </c>
      <c r="H447" s="20">
        <f t="shared" si="114"/>
        <v>339999.99999999988</v>
      </c>
      <c r="I447" s="2">
        <f>MAX(Assumptions!$D$8-SUM(Model_15y!H447), 0)</f>
        <v>1.1641532182693481E-10</v>
      </c>
      <c r="J447" s="2">
        <f>J446*(1+(Assumptions!$E$51))</f>
        <v>2595127.9226595247</v>
      </c>
      <c r="K447" s="22">
        <f t="shared" si="103"/>
        <v>2595127.9226595247</v>
      </c>
      <c r="L447" s="5">
        <f t="shared" si="115"/>
        <v>425000</v>
      </c>
      <c r="M447" s="63">
        <f>L447/Assumptions!$D$6</f>
        <v>1</v>
      </c>
      <c r="N447" s="24">
        <f t="shared" si="119"/>
        <v>0</v>
      </c>
      <c r="O447" s="22">
        <f>N447*Assumptions!$E$25*-1</f>
        <v>0</v>
      </c>
      <c r="P447" s="5">
        <f>Assumptions!$E$35*J447*-1</f>
        <v>-5345.5386199757359</v>
      </c>
      <c r="Q447" s="5">
        <f>J447*Assumptions!$E$36*-1</f>
        <v>-2152.757523450055</v>
      </c>
      <c r="R447" s="5">
        <f>R435+R435*Assumptions!$D$51</f>
        <v>-1975.9504724884998</v>
      </c>
      <c r="S447" s="5">
        <f>S435+(S435*Assumptions!$D$51)</f>
        <v>0</v>
      </c>
      <c r="T447" s="5">
        <f t="shared" si="109"/>
        <v>0</v>
      </c>
      <c r="U447" s="22">
        <f t="shared" si="104"/>
        <v>-9474.2466159142896</v>
      </c>
      <c r="V447" s="5">
        <f>MAX(Assumptions!$E$18:$E$19)-U447</f>
        <v>12315.879627712986</v>
      </c>
      <c r="W447" s="5">
        <f t="shared" si="105"/>
        <v>0</v>
      </c>
      <c r="X447" s="5">
        <f t="shared" si="110"/>
        <v>-9474.2466159142896</v>
      </c>
      <c r="Y447" s="5">
        <f>D447*Assumptions!$D$44*-1</f>
        <v>0</v>
      </c>
      <c r="Z447" s="5">
        <f t="shared" si="106"/>
        <v>2841.6330117986963</v>
      </c>
      <c r="AA447" s="5">
        <f t="shared" si="116"/>
        <v>2443006.2465272634</v>
      </c>
      <c r="AB447" s="3">
        <f>Assumptions!$E$45</f>
        <v>6.9899151946608562E-3</v>
      </c>
      <c r="AC447" s="5">
        <f t="shared" si="117"/>
        <v>2462924.2860223148</v>
      </c>
      <c r="AD447" s="4">
        <f>AC447*Assumptions!$E$43</f>
        <v>2205.7346475777381</v>
      </c>
      <c r="AE447" s="2">
        <f>AD447*Assumptions!$D$44*-1</f>
        <v>-330.8601971366607</v>
      </c>
      <c r="AF447" s="2">
        <f>AC447*Assumptions!$E$46*-1</f>
        <v>-82.082428842266538</v>
      </c>
      <c r="AG447" s="5">
        <f t="shared" si="118"/>
        <v>2462511.3433963358</v>
      </c>
      <c r="AH447" s="20">
        <f>Model_30y[[#This Row],[Mortgage Payment]]+Model_30y[[#This Row],[Total Upkeep]]+Model_30y[[#This Row],[Monthly Investment]]</f>
        <v>-6632.6136041155933</v>
      </c>
      <c r="AI447" s="5">
        <f>Model_Renter!D447*-1</f>
        <v>10722.356151588518</v>
      </c>
      <c r="AJ447" s="5">
        <f t="shared" si="111"/>
        <v>4089.7425474729243</v>
      </c>
    </row>
    <row r="448" spans="1:36" x14ac:dyDescent="0.25">
      <c r="A448" s="17">
        <f t="shared" si="112"/>
        <v>446</v>
      </c>
      <c r="B448" s="17">
        <f t="shared" si="107"/>
        <v>38</v>
      </c>
      <c r="C448" s="23">
        <f>IFERROR(PPMT(Assumptions!$E$17, A448, 180, Assumptions!$D$8), 0)</f>
        <v>0</v>
      </c>
      <c r="D448" s="38">
        <f>IFERROR(IPMT(Assumptions!$E$17,A448,180,Assumptions!$D$8), 0)</f>
        <v>0</v>
      </c>
      <c r="E448" s="2">
        <f t="shared" si="113"/>
        <v>0</v>
      </c>
      <c r="F448" s="2">
        <f>IF(I447&gt;1, Assumptions!$E$19, 0)*-1</f>
        <v>0</v>
      </c>
      <c r="G448" s="24">
        <f t="shared" si="108"/>
        <v>1</v>
      </c>
      <c r="H448" s="20">
        <f t="shared" si="114"/>
        <v>339999.99999999988</v>
      </c>
      <c r="I448" s="2">
        <f>MAX(Assumptions!$D$8-SUM(Model_15y!H448), 0)</f>
        <v>1.1641532182693481E-10</v>
      </c>
      <c r="J448" s="2">
        <f>J447*(1+(Assumptions!$E$51))</f>
        <v>2605700.7950508418</v>
      </c>
      <c r="K448" s="22">
        <f t="shared" si="103"/>
        <v>2605700.7950508418</v>
      </c>
      <c r="L448" s="5">
        <f t="shared" si="115"/>
        <v>425000</v>
      </c>
      <c r="M448" s="63">
        <f>L448/Assumptions!$D$6</f>
        <v>1</v>
      </c>
      <c r="N448" s="24">
        <f t="shared" si="119"/>
        <v>0</v>
      </c>
      <c r="O448" s="22">
        <f>N448*Assumptions!$E$25*-1</f>
        <v>0</v>
      </c>
      <c r="P448" s="5">
        <f>Assumptions!$E$35*J448*-1</f>
        <v>-5367.3170060037901</v>
      </c>
      <c r="Q448" s="5">
        <f>J448*Assumptions!$E$36*-1</f>
        <v>-2161.5281240767708</v>
      </c>
      <c r="R448" s="5">
        <f>R436+R436*Assumptions!$D$51</f>
        <v>-1975.9504724884998</v>
      </c>
      <c r="S448" s="5">
        <f>S436+(S436*Assumptions!$D$51)</f>
        <v>0</v>
      </c>
      <c r="T448" s="5">
        <f t="shared" si="109"/>
        <v>0</v>
      </c>
      <c r="U448" s="22">
        <f t="shared" si="104"/>
        <v>-9504.7956025690601</v>
      </c>
      <c r="V448" s="5">
        <f>MAX(Assumptions!$E$18:$E$19)-U448</f>
        <v>12346.428614367756</v>
      </c>
      <c r="W448" s="5">
        <f t="shared" si="105"/>
        <v>0</v>
      </c>
      <c r="X448" s="5">
        <f t="shared" si="110"/>
        <v>-9504.7956025690601</v>
      </c>
      <c r="Y448" s="5">
        <f>D448*Assumptions!$D$44*-1</f>
        <v>0</v>
      </c>
      <c r="Z448" s="5">
        <f t="shared" si="106"/>
        <v>2841.6330117986963</v>
      </c>
      <c r="AA448" s="5">
        <f t="shared" si="116"/>
        <v>2462511.3433963358</v>
      </c>
      <c r="AB448" s="3">
        <f>Assumptions!$E$45</f>
        <v>6.9899151946608562E-3</v>
      </c>
      <c r="AC448" s="5">
        <f t="shared" si="117"/>
        <v>2482565.7218643655</v>
      </c>
      <c r="AD448" s="4">
        <f>AC448*Assumptions!$E$43</f>
        <v>2223.3250362920235</v>
      </c>
      <c r="AE448" s="2">
        <f>AD448*Assumptions!$D$44*-1</f>
        <v>-333.49875544380353</v>
      </c>
      <c r="AF448" s="2">
        <f>AC448*Assumptions!$E$46*-1</f>
        <v>-82.737023370005289</v>
      </c>
      <c r="AG448" s="5">
        <f t="shared" si="118"/>
        <v>2482149.4860855518</v>
      </c>
      <c r="AH448" s="20">
        <f>Model_30y[[#This Row],[Mortgage Payment]]+Model_30y[[#This Row],[Total Upkeep]]+Model_30y[[#This Row],[Monthly Investment]]</f>
        <v>-6663.1625907703637</v>
      </c>
      <c r="AI448" s="5">
        <f>Model_Renter!D448*-1</f>
        <v>10722.356151588518</v>
      </c>
      <c r="AJ448" s="5">
        <f t="shared" si="111"/>
        <v>4059.1935608181539</v>
      </c>
    </row>
    <row r="449" spans="1:36" x14ac:dyDescent="0.25">
      <c r="A449" s="17">
        <f t="shared" si="112"/>
        <v>447</v>
      </c>
      <c r="B449" s="17">
        <f t="shared" si="107"/>
        <v>38</v>
      </c>
      <c r="C449" s="23">
        <f>IFERROR(PPMT(Assumptions!$E$17, A449, 180, Assumptions!$D$8), 0)</f>
        <v>0</v>
      </c>
      <c r="D449" s="38">
        <f>IFERROR(IPMT(Assumptions!$E$17,A449,180,Assumptions!$D$8), 0)</f>
        <v>0</v>
      </c>
      <c r="E449" s="2">
        <f t="shared" si="113"/>
        <v>0</v>
      </c>
      <c r="F449" s="2">
        <f>IF(I448&gt;1, Assumptions!$E$19, 0)*-1</f>
        <v>0</v>
      </c>
      <c r="G449" s="24">
        <f t="shared" si="108"/>
        <v>1</v>
      </c>
      <c r="H449" s="20">
        <f t="shared" si="114"/>
        <v>339999.99999999988</v>
      </c>
      <c r="I449" s="2">
        <f>MAX(Assumptions!$D$8-SUM(Model_15y!H449), 0)</f>
        <v>1.1641532182693481E-10</v>
      </c>
      <c r="J449" s="2">
        <f>J448*(1+(Assumptions!$E$51))</f>
        <v>2616316.7426330298</v>
      </c>
      <c r="K449" s="22">
        <f t="shared" si="103"/>
        <v>2616316.7426330298</v>
      </c>
      <c r="L449" s="5">
        <f t="shared" si="115"/>
        <v>425000</v>
      </c>
      <c r="M449" s="63">
        <f>L449/Assumptions!$D$6</f>
        <v>1</v>
      </c>
      <c r="N449" s="24">
        <f t="shared" si="119"/>
        <v>0</v>
      </c>
      <c r="O449" s="22">
        <f>N449*Assumptions!$E$25*-1</f>
        <v>0</v>
      </c>
      <c r="P449" s="5">
        <f>Assumptions!$E$35*J449*-1</f>
        <v>-5389.1841198723305</v>
      </c>
      <c r="Q449" s="5">
        <f>J449*Assumptions!$E$36*-1</f>
        <v>-2170.3344572160968</v>
      </c>
      <c r="R449" s="5">
        <f>R437+R437*Assumptions!$D$51</f>
        <v>-1975.9504724884998</v>
      </c>
      <c r="S449" s="5">
        <f>S437+(S437*Assumptions!$D$51)</f>
        <v>0</v>
      </c>
      <c r="T449" s="5">
        <f t="shared" si="109"/>
        <v>0</v>
      </c>
      <c r="U449" s="22">
        <f t="shared" si="104"/>
        <v>-9535.4690495769264</v>
      </c>
      <c r="V449" s="5">
        <f>MAX(Assumptions!$E$18:$E$19)-U449</f>
        <v>12377.102061375623</v>
      </c>
      <c r="W449" s="5">
        <f t="shared" si="105"/>
        <v>0</v>
      </c>
      <c r="X449" s="5">
        <f t="shared" si="110"/>
        <v>-9535.4690495769264</v>
      </c>
      <c r="Y449" s="5">
        <f>D449*Assumptions!$D$44*-1</f>
        <v>0</v>
      </c>
      <c r="Z449" s="5">
        <f t="shared" si="106"/>
        <v>2841.6330117986963</v>
      </c>
      <c r="AA449" s="5">
        <f t="shared" si="116"/>
        <v>2482149.4860855518</v>
      </c>
      <c r="AB449" s="3">
        <f>Assumptions!$E$45</f>
        <v>6.9899151946608562E-3</v>
      </c>
      <c r="AC449" s="5">
        <f t="shared" si="117"/>
        <v>2502341.1335055595</v>
      </c>
      <c r="AD449" s="4">
        <f>AC449*Assumptions!$E$43</f>
        <v>2241.0354104495418</v>
      </c>
      <c r="AE449" s="2">
        <f>AD449*Assumptions!$D$44*-1</f>
        <v>-336.15531156743128</v>
      </c>
      <c r="AF449" s="2">
        <f>AC449*Assumptions!$E$46*-1</f>
        <v>-83.396082939183671</v>
      </c>
      <c r="AG449" s="5">
        <f t="shared" si="118"/>
        <v>2501921.5821110527</v>
      </c>
      <c r="AH449" s="20">
        <f>Model_30y[[#This Row],[Mortgage Payment]]+Model_30y[[#This Row],[Total Upkeep]]+Model_30y[[#This Row],[Monthly Investment]]</f>
        <v>-6693.8360377782301</v>
      </c>
      <c r="AI449" s="5">
        <f>Model_Renter!D449*-1</f>
        <v>10722.356151588518</v>
      </c>
      <c r="AJ449" s="5">
        <f t="shared" si="111"/>
        <v>4028.5201138102875</v>
      </c>
    </row>
    <row r="450" spans="1:36" x14ac:dyDescent="0.25">
      <c r="A450" s="17">
        <f t="shared" si="112"/>
        <v>448</v>
      </c>
      <c r="B450" s="17">
        <f t="shared" si="107"/>
        <v>38</v>
      </c>
      <c r="C450" s="23">
        <f>IFERROR(PPMT(Assumptions!$E$17, A450, 180, Assumptions!$D$8), 0)</f>
        <v>0</v>
      </c>
      <c r="D450" s="38">
        <f>IFERROR(IPMT(Assumptions!$E$17,A450,180,Assumptions!$D$8), 0)</f>
        <v>0</v>
      </c>
      <c r="E450" s="2">
        <f t="shared" si="113"/>
        <v>0</v>
      </c>
      <c r="F450" s="2">
        <f>IF(I449&gt;1, Assumptions!$E$19, 0)*-1</f>
        <v>0</v>
      </c>
      <c r="G450" s="24">
        <f t="shared" si="108"/>
        <v>1</v>
      </c>
      <c r="H450" s="20">
        <f t="shared" si="114"/>
        <v>339999.99999999988</v>
      </c>
      <c r="I450" s="2">
        <f>MAX(Assumptions!$D$8-SUM(Model_15y!H450), 0)</f>
        <v>1.1641532182693481E-10</v>
      </c>
      <c r="J450" s="2">
        <f>J449*(1+(Assumptions!$E$51))</f>
        <v>2626975.9408997484</v>
      </c>
      <c r="K450" s="22">
        <f t="shared" ref="K450:K513" si="120">J450-I450</f>
        <v>2626975.9408997484</v>
      </c>
      <c r="L450" s="5">
        <f t="shared" si="115"/>
        <v>425000</v>
      </c>
      <c r="M450" s="63">
        <f>L450/Assumptions!$D$6</f>
        <v>1</v>
      </c>
      <c r="N450" s="24">
        <f t="shared" si="119"/>
        <v>0</v>
      </c>
      <c r="O450" s="22">
        <f>N450*Assumptions!$E$25*-1</f>
        <v>0</v>
      </c>
      <c r="P450" s="5">
        <f>Assumptions!$E$35*J450*-1</f>
        <v>-5411.1403230695623</v>
      </c>
      <c r="Q450" s="5">
        <f>J450*Assumptions!$E$36*-1</f>
        <v>-2179.1766684467125</v>
      </c>
      <c r="R450" s="5">
        <f>R438+R438*Assumptions!$D$51</f>
        <v>-1975.9504724884998</v>
      </c>
      <c r="S450" s="5">
        <f>S438+(S438*Assumptions!$D$51)</f>
        <v>0</v>
      </c>
      <c r="T450" s="5">
        <f t="shared" si="109"/>
        <v>0</v>
      </c>
      <c r="U450" s="22">
        <f t="shared" ref="U450:U513" si="121">SUM(P450:T450)</f>
        <v>-9566.2674640047735</v>
      </c>
      <c r="V450" s="5">
        <f>MAX(Assumptions!$E$18:$E$19)-U450</f>
        <v>12407.90047580347</v>
      </c>
      <c r="W450" s="5">
        <f t="shared" ref="W450:W513" si="122">F450</f>
        <v>0</v>
      </c>
      <c r="X450" s="5">
        <f t="shared" si="110"/>
        <v>-9566.2674640047735</v>
      </c>
      <c r="Y450" s="5">
        <f>D450*Assumptions!$D$44*-1</f>
        <v>0</v>
      </c>
      <c r="Z450" s="5">
        <f t="shared" ref="Z450:Z513" si="123">SUM(V450:Y450)</f>
        <v>2841.6330117986963</v>
      </c>
      <c r="AA450" s="5">
        <f t="shared" si="116"/>
        <v>2501921.5821110527</v>
      </c>
      <c r="AB450" s="3">
        <f>Assumptions!$E$45</f>
        <v>6.9899151946608562E-3</v>
      </c>
      <c r="AC450" s="5">
        <f t="shared" si="117"/>
        <v>2522251.4348054994</v>
      </c>
      <c r="AD450" s="4">
        <f>AC450*Assumptions!$E$43</f>
        <v>2258.8665884805628</v>
      </c>
      <c r="AE450" s="2">
        <f>AD450*Assumptions!$D$44*-1</f>
        <v>-338.82998827208439</v>
      </c>
      <c r="AF450" s="2">
        <f>AC450*Assumptions!$E$46*-1</f>
        <v>-84.059638006205162</v>
      </c>
      <c r="AG450" s="5">
        <f t="shared" si="118"/>
        <v>2521828.5451792213</v>
      </c>
      <c r="AH450" s="20">
        <f>Model_30y[[#This Row],[Mortgage Payment]]+Model_30y[[#This Row],[Total Upkeep]]+Model_30y[[#This Row],[Monthly Investment]]</f>
        <v>-6724.6344522060772</v>
      </c>
      <c r="AI450" s="5">
        <f>Model_Renter!D450*-1</f>
        <v>10722.356151588518</v>
      </c>
      <c r="AJ450" s="5">
        <f t="shared" si="111"/>
        <v>3997.7216993824404</v>
      </c>
    </row>
    <row r="451" spans="1:36" x14ac:dyDescent="0.25">
      <c r="A451" s="17">
        <f t="shared" si="112"/>
        <v>449</v>
      </c>
      <c r="B451" s="17">
        <f t="shared" ref="B451:B514" si="124">ROUNDUP(A451/12,0)</f>
        <v>38</v>
      </c>
      <c r="C451" s="23">
        <f>IFERROR(PPMT(Assumptions!$E$17, A451, 180, Assumptions!$D$8), 0)</f>
        <v>0</v>
      </c>
      <c r="D451" s="38">
        <f>IFERROR(IPMT(Assumptions!$E$17,A451,180,Assumptions!$D$8), 0)</f>
        <v>0</v>
      </c>
      <c r="E451" s="2">
        <f t="shared" si="113"/>
        <v>0</v>
      </c>
      <c r="F451" s="2">
        <f>IF(I450&gt;1, Assumptions!$E$19, 0)*-1</f>
        <v>0</v>
      </c>
      <c r="G451" s="24">
        <f t="shared" ref="G451:G514" si="125">IF(E451-F451&lt;1, 1, 0)</f>
        <v>1</v>
      </c>
      <c r="H451" s="20">
        <f t="shared" si="114"/>
        <v>339999.99999999988</v>
      </c>
      <c r="I451" s="2">
        <f>MAX(Assumptions!$D$8-SUM(Model_15y!H451), 0)</f>
        <v>1.1641532182693481E-10</v>
      </c>
      <c r="J451" s="2">
        <f>J450*(1+(Assumptions!$E$51))</f>
        <v>2637678.5660596401</v>
      </c>
      <c r="K451" s="22">
        <f t="shared" si="120"/>
        <v>2637678.5660596401</v>
      </c>
      <c r="L451" s="5">
        <f t="shared" si="115"/>
        <v>425000</v>
      </c>
      <c r="M451" s="63">
        <f>L451/Assumptions!$D$6</f>
        <v>1</v>
      </c>
      <c r="N451" s="24">
        <f t="shared" si="119"/>
        <v>0</v>
      </c>
      <c r="O451" s="22">
        <f>N451*Assumptions!$E$25*-1</f>
        <v>0</v>
      </c>
      <c r="P451" s="5">
        <f>Assumptions!$E$35*J451*-1</f>
        <v>-5433.1859785564384</v>
      </c>
      <c r="Q451" s="5">
        <f>J451*Assumptions!$E$36*-1</f>
        <v>-2188.0549039404027</v>
      </c>
      <c r="R451" s="5">
        <f>R439+R439*Assumptions!$D$51</f>
        <v>-1975.9504724884998</v>
      </c>
      <c r="S451" s="5">
        <f>S439+(S439*Assumptions!$D$51)</f>
        <v>0</v>
      </c>
      <c r="T451" s="5">
        <f t="shared" ref="T451:T514" si="126">O451</f>
        <v>0</v>
      </c>
      <c r="U451" s="22">
        <f t="shared" si="121"/>
        <v>-9597.1913549853398</v>
      </c>
      <c r="V451" s="5">
        <f>MAX(Assumptions!$E$18:$E$19)-U451</f>
        <v>12438.824366784036</v>
      </c>
      <c r="W451" s="5">
        <f t="shared" si="122"/>
        <v>0</v>
      </c>
      <c r="X451" s="5">
        <f t="shared" ref="X451:X514" si="127">U451</f>
        <v>-9597.1913549853398</v>
      </c>
      <c r="Y451" s="5">
        <f>D451*Assumptions!$D$44*-1</f>
        <v>0</v>
      </c>
      <c r="Z451" s="5">
        <f t="shared" si="123"/>
        <v>2841.6330117986963</v>
      </c>
      <c r="AA451" s="5">
        <f t="shared" si="116"/>
        <v>2521828.5451792213</v>
      </c>
      <c r="AB451" s="3">
        <f>Assumptions!$E$45</f>
        <v>6.9899151946608562E-3</v>
      </c>
      <c r="AC451" s="5">
        <f t="shared" si="117"/>
        <v>2542297.5458572977</v>
      </c>
      <c r="AD451" s="4">
        <f>AC451*Assumptions!$E$43</f>
        <v>2276.8193943979359</v>
      </c>
      <c r="AE451" s="2">
        <f>AD451*Assumptions!$D$44*-1</f>
        <v>-341.52290915969036</v>
      </c>
      <c r="AF451" s="2">
        <f>AC451*Assumptions!$E$46*-1</f>
        <v>-84.727719235218842</v>
      </c>
      <c r="AG451" s="5">
        <f t="shared" si="118"/>
        <v>2541871.2952289027</v>
      </c>
      <c r="AH451" s="20">
        <f>Model_30y[[#This Row],[Mortgage Payment]]+Model_30y[[#This Row],[Total Upkeep]]+Model_30y[[#This Row],[Monthly Investment]]</f>
        <v>-6755.5583431866435</v>
      </c>
      <c r="AI451" s="5">
        <f>Model_Renter!D451*-1</f>
        <v>10722.356151588518</v>
      </c>
      <c r="AJ451" s="5">
        <f t="shared" ref="AJ451:AJ514" si="128">SUM(AH451:AI451)</f>
        <v>3966.7978084018741</v>
      </c>
    </row>
    <row r="452" spans="1:36" x14ac:dyDescent="0.25">
      <c r="A452" s="17">
        <f t="shared" ref="A452:A515" si="129">A451+1</f>
        <v>450</v>
      </c>
      <c r="B452" s="17">
        <f t="shared" si="124"/>
        <v>38</v>
      </c>
      <c r="C452" s="23">
        <f>IFERROR(PPMT(Assumptions!$E$17, A452, 180, Assumptions!$D$8), 0)</f>
        <v>0</v>
      </c>
      <c r="D452" s="38">
        <f>IFERROR(IPMT(Assumptions!$E$17,A452,180,Assumptions!$D$8), 0)</f>
        <v>0</v>
      </c>
      <c r="E452" s="2">
        <f t="shared" ref="E452:E515" si="130">SUM(C452:D452)</f>
        <v>0</v>
      </c>
      <c r="F452" s="2">
        <f>IF(I451&gt;1, Assumptions!$E$19, 0)*-1</f>
        <v>0</v>
      </c>
      <c r="G452" s="24">
        <f t="shared" si="125"/>
        <v>1</v>
      </c>
      <c r="H452" s="20">
        <f t="shared" ref="H452:H515" si="131">H451+C452*-1</f>
        <v>339999.99999999988</v>
      </c>
      <c r="I452" s="2">
        <f>MAX(Assumptions!$D$8-SUM(Model_15y!H452), 0)</f>
        <v>1.1641532182693481E-10</v>
      </c>
      <c r="J452" s="2">
        <f>J451*(1+(Assumptions!$E$51))</f>
        <v>2648424.7950392431</v>
      </c>
      <c r="K452" s="22">
        <f t="shared" si="120"/>
        <v>2648424.7950392431</v>
      </c>
      <c r="L452" s="5">
        <f t="shared" ref="L452:L515" si="132">L451+C452*-1</f>
        <v>425000</v>
      </c>
      <c r="M452" s="63">
        <f>L452/Assumptions!$D$6</f>
        <v>1</v>
      </c>
      <c r="N452" s="24">
        <f t="shared" si="119"/>
        <v>0</v>
      </c>
      <c r="O452" s="22">
        <f>N452*Assumptions!$E$25*-1</f>
        <v>0</v>
      </c>
      <c r="P452" s="5">
        <f>Assumptions!$E$35*J452*-1</f>
        <v>-5455.3214507726598</v>
      </c>
      <c r="Q452" s="5">
        <f>J452*Assumptions!$E$36*-1</f>
        <v>-2196.9693104644748</v>
      </c>
      <c r="R452" s="5">
        <f>R440+R440*Assumptions!$D$51</f>
        <v>-1975.9504724884998</v>
      </c>
      <c r="S452" s="5">
        <f>S440+(S440*Assumptions!$D$51)</f>
        <v>0</v>
      </c>
      <c r="T452" s="5">
        <f t="shared" si="126"/>
        <v>0</v>
      </c>
      <c r="U452" s="22">
        <f t="shared" si="121"/>
        <v>-9628.2412337256337</v>
      </c>
      <c r="V452" s="5">
        <f>MAX(Assumptions!$E$18:$E$19)-U452</f>
        <v>12469.87424552433</v>
      </c>
      <c r="W452" s="5">
        <f t="shared" si="122"/>
        <v>0</v>
      </c>
      <c r="X452" s="5">
        <f t="shared" si="127"/>
        <v>-9628.2412337256337</v>
      </c>
      <c r="Y452" s="5">
        <f>D452*Assumptions!$D$44*-1</f>
        <v>0</v>
      </c>
      <c r="Z452" s="5">
        <f t="shared" si="123"/>
        <v>2841.6330117986963</v>
      </c>
      <c r="AA452" s="5">
        <f t="shared" ref="AA452:AA515" si="133">AG451</f>
        <v>2541871.2952289027</v>
      </c>
      <c r="AB452" s="3">
        <f>Assumptions!$E$45</f>
        <v>6.9899151946608562E-3</v>
      </c>
      <c r="AC452" s="5">
        <f t="shared" ref="AC452:AC515" si="134">(AA452+Z452)+(AA452*AB452)</f>
        <v>2562480.3930300944</v>
      </c>
      <c r="AD452" s="4">
        <f>AC452*Assumptions!$E$43</f>
        <v>2294.8946578351652</v>
      </c>
      <c r="AE452" s="2">
        <f>AD452*Assumptions!$D$44*-1</f>
        <v>-344.23419867527474</v>
      </c>
      <c r="AF452" s="2">
        <f>AC452*Assumptions!$E$46*-1</f>
        <v>-85.400357499536327</v>
      </c>
      <c r="AG452" s="5">
        <f t="shared" ref="AG452:AG515" si="135">AC452+SUM(AE452:AF452)</f>
        <v>2562050.7584739197</v>
      </c>
      <c r="AH452" s="20">
        <f>Model_30y[[#This Row],[Mortgage Payment]]+Model_30y[[#This Row],[Total Upkeep]]+Model_30y[[#This Row],[Monthly Investment]]</f>
        <v>-6786.6082219269374</v>
      </c>
      <c r="AI452" s="5">
        <f>Model_Renter!D452*-1</f>
        <v>10722.356151588518</v>
      </c>
      <c r="AJ452" s="5">
        <f t="shared" si="128"/>
        <v>3935.7479296615802</v>
      </c>
    </row>
    <row r="453" spans="1:36" x14ac:dyDescent="0.25">
      <c r="A453" s="17">
        <f t="shared" si="129"/>
        <v>451</v>
      </c>
      <c r="B453" s="17">
        <f t="shared" si="124"/>
        <v>38</v>
      </c>
      <c r="C453" s="23">
        <f>IFERROR(PPMT(Assumptions!$E$17, A453, 180, Assumptions!$D$8), 0)</f>
        <v>0</v>
      </c>
      <c r="D453" s="38">
        <f>IFERROR(IPMT(Assumptions!$E$17,A453,180,Assumptions!$D$8), 0)</f>
        <v>0</v>
      </c>
      <c r="E453" s="2">
        <f t="shared" si="130"/>
        <v>0</v>
      </c>
      <c r="F453" s="2">
        <f>IF(I452&gt;1, Assumptions!$E$19, 0)*-1</f>
        <v>0</v>
      </c>
      <c r="G453" s="24">
        <f t="shared" si="125"/>
        <v>1</v>
      </c>
      <c r="H453" s="20">
        <f t="shared" si="131"/>
        <v>339999.99999999988</v>
      </c>
      <c r="I453" s="2">
        <f>MAX(Assumptions!$D$8-SUM(Model_15y!H453), 0)</f>
        <v>1.1641532182693481E-10</v>
      </c>
      <c r="J453" s="2">
        <f>J452*(1+(Assumptions!$E$51))</f>
        <v>2659214.8054859163</v>
      </c>
      <c r="K453" s="22">
        <f t="shared" si="120"/>
        <v>2659214.8054859163</v>
      </c>
      <c r="L453" s="5">
        <f t="shared" si="132"/>
        <v>425000</v>
      </c>
      <c r="M453" s="63">
        <f>L453/Assumptions!$D$6</f>
        <v>1</v>
      </c>
      <c r="N453" s="24">
        <f t="shared" si="119"/>
        <v>0</v>
      </c>
      <c r="O453" s="22">
        <f>N453*Assumptions!$E$25*-1</f>
        <v>0</v>
      </c>
      <c r="P453" s="5">
        <f>Assumptions!$E$35*J453*-1</f>
        <v>-5477.5471056426995</v>
      </c>
      <c r="Q453" s="5">
        <f>J453*Assumptions!$E$36*-1</f>
        <v>-2205.9200353841834</v>
      </c>
      <c r="R453" s="5">
        <f>R441+R441*Assumptions!$D$51</f>
        <v>-1975.9504724884998</v>
      </c>
      <c r="S453" s="5">
        <f>S441+(S441*Assumptions!$D$51)</f>
        <v>0</v>
      </c>
      <c r="T453" s="5">
        <f t="shared" si="126"/>
        <v>0</v>
      </c>
      <c r="U453" s="22">
        <f t="shared" si="121"/>
        <v>-9659.417613515383</v>
      </c>
      <c r="V453" s="5">
        <f>MAX(Assumptions!$E$18:$E$19)-U453</f>
        <v>12501.050625314079</v>
      </c>
      <c r="W453" s="5">
        <f t="shared" si="122"/>
        <v>0</v>
      </c>
      <c r="X453" s="5">
        <f t="shared" si="127"/>
        <v>-9659.417613515383</v>
      </c>
      <c r="Y453" s="5">
        <f>D453*Assumptions!$D$44*-1</f>
        <v>0</v>
      </c>
      <c r="Z453" s="5">
        <f t="shared" si="123"/>
        <v>2841.6330117986963</v>
      </c>
      <c r="AA453" s="5">
        <f t="shared" si="133"/>
        <v>2562050.7584739197</v>
      </c>
      <c r="AB453" s="3">
        <f>Assumptions!$E$45</f>
        <v>6.9899151946608562E-3</v>
      </c>
      <c r="AC453" s="5">
        <f t="shared" si="134"/>
        <v>2582800.9090118678</v>
      </c>
      <c r="AD453" s="4">
        <f>AC453*Assumptions!$E$43</f>
        <v>2313.093214084754</v>
      </c>
      <c r="AE453" s="2">
        <f>AD453*Assumptions!$D$44*-1</f>
        <v>-346.9639821127131</v>
      </c>
      <c r="AF453" s="2">
        <f>AC453*Assumptions!$E$46*-1</f>
        <v>-86.077583883058594</v>
      </c>
      <c r="AG453" s="5">
        <f t="shared" si="135"/>
        <v>2582367.8674458722</v>
      </c>
      <c r="AH453" s="20">
        <f>Model_30y[[#This Row],[Mortgage Payment]]+Model_30y[[#This Row],[Total Upkeep]]+Model_30y[[#This Row],[Monthly Investment]]</f>
        <v>-6817.7846017166867</v>
      </c>
      <c r="AI453" s="5">
        <f>Model_Renter!D453*-1</f>
        <v>10722.356151588518</v>
      </c>
      <c r="AJ453" s="5">
        <f t="shared" si="128"/>
        <v>3904.5715498718309</v>
      </c>
    </row>
    <row r="454" spans="1:36" x14ac:dyDescent="0.25">
      <c r="A454" s="17">
        <f t="shared" si="129"/>
        <v>452</v>
      </c>
      <c r="B454" s="17">
        <f t="shared" si="124"/>
        <v>38</v>
      </c>
      <c r="C454" s="23">
        <f>IFERROR(PPMT(Assumptions!$E$17, A454, 180, Assumptions!$D$8), 0)</f>
        <v>0</v>
      </c>
      <c r="D454" s="38">
        <f>IFERROR(IPMT(Assumptions!$E$17,A454,180,Assumptions!$D$8), 0)</f>
        <v>0</v>
      </c>
      <c r="E454" s="2">
        <f t="shared" si="130"/>
        <v>0</v>
      </c>
      <c r="F454" s="2">
        <f>IF(I453&gt;1, Assumptions!$E$19, 0)*-1</f>
        <v>0</v>
      </c>
      <c r="G454" s="24">
        <f t="shared" si="125"/>
        <v>1</v>
      </c>
      <c r="H454" s="20">
        <f t="shared" si="131"/>
        <v>339999.99999999988</v>
      </c>
      <c r="I454" s="2">
        <f>MAX(Assumptions!$D$8-SUM(Model_15y!H454), 0)</f>
        <v>1.1641532182693481E-10</v>
      </c>
      <c r="J454" s="2">
        <f>J453*(1+(Assumptions!$E$51))</f>
        <v>2670048.7757707764</v>
      </c>
      <c r="K454" s="22">
        <f t="shared" si="120"/>
        <v>2670048.7757707764</v>
      </c>
      <c r="L454" s="5">
        <f t="shared" si="132"/>
        <v>425000</v>
      </c>
      <c r="M454" s="63">
        <f>L454/Assumptions!$D$6</f>
        <v>1</v>
      </c>
      <c r="N454" s="24">
        <f t="shared" si="119"/>
        <v>0</v>
      </c>
      <c r="O454" s="22">
        <f>N454*Assumptions!$E$25*-1</f>
        <v>0</v>
      </c>
      <c r="P454" s="5">
        <f>Assumptions!$E$35*J454*-1</f>
        <v>-5499.8633105818526</v>
      </c>
      <c r="Q454" s="5">
        <f>J454*Assumptions!$E$36*-1</f>
        <v>-2214.9072266651688</v>
      </c>
      <c r="R454" s="5">
        <f>R442+R442*Assumptions!$D$51</f>
        <v>-1975.9504724884998</v>
      </c>
      <c r="S454" s="5">
        <f>S442+(S442*Assumptions!$D$51)</f>
        <v>0</v>
      </c>
      <c r="T454" s="5">
        <f t="shared" si="126"/>
        <v>0</v>
      </c>
      <c r="U454" s="22">
        <f t="shared" si="121"/>
        <v>-9690.7210097355201</v>
      </c>
      <c r="V454" s="5">
        <f>MAX(Assumptions!$E$18:$E$19)-U454</f>
        <v>12532.354021534216</v>
      </c>
      <c r="W454" s="5">
        <f t="shared" si="122"/>
        <v>0</v>
      </c>
      <c r="X454" s="5">
        <f t="shared" si="127"/>
        <v>-9690.7210097355201</v>
      </c>
      <c r="Y454" s="5">
        <f>D454*Assumptions!$D$44*-1</f>
        <v>0</v>
      </c>
      <c r="Z454" s="5">
        <f t="shared" si="123"/>
        <v>2841.6330117986963</v>
      </c>
      <c r="AA454" s="5">
        <f t="shared" si="133"/>
        <v>2582367.8674458722</v>
      </c>
      <c r="AB454" s="3">
        <f>Assumptions!$E$45</f>
        <v>6.9899151946608562E-3</v>
      </c>
      <c r="AC454" s="5">
        <f t="shared" si="134"/>
        <v>2603260.0328525347</v>
      </c>
      <c r="AD454" s="4">
        <f>AC454*Assumptions!$E$43</f>
        <v>2331.4159041367993</v>
      </c>
      <c r="AE454" s="2">
        <f>AD454*Assumptions!$D$44*-1</f>
        <v>-349.71238562051991</v>
      </c>
      <c r="AF454" s="2">
        <f>AC454*Assumptions!$E$46*-1</f>
        <v>-86.759429681712362</v>
      </c>
      <c r="AG454" s="5">
        <f t="shared" si="135"/>
        <v>2602823.5610372326</v>
      </c>
      <c r="AH454" s="20">
        <f>Model_30y[[#This Row],[Mortgage Payment]]+Model_30y[[#This Row],[Total Upkeep]]+Model_30y[[#This Row],[Monthly Investment]]</f>
        <v>-6849.0879979368237</v>
      </c>
      <c r="AI454" s="5">
        <f>Model_Renter!D454*-1</f>
        <v>10722.356151588518</v>
      </c>
      <c r="AJ454" s="5">
        <f t="shared" si="128"/>
        <v>3873.2681536516939</v>
      </c>
    </row>
    <row r="455" spans="1:36" x14ac:dyDescent="0.25">
      <c r="A455" s="17">
        <f t="shared" si="129"/>
        <v>453</v>
      </c>
      <c r="B455" s="17">
        <f t="shared" si="124"/>
        <v>38</v>
      </c>
      <c r="C455" s="23">
        <f>IFERROR(PPMT(Assumptions!$E$17, A455, 180, Assumptions!$D$8), 0)</f>
        <v>0</v>
      </c>
      <c r="D455" s="38">
        <f>IFERROR(IPMT(Assumptions!$E$17,A455,180,Assumptions!$D$8), 0)</f>
        <v>0</v>
      </c>
      <c r="E455" s="2">
        <f t="shared" si="130"/>
        <v>0</v>
      </c>
      <c r="F455" s="2">
        <f>IF(I454&gt;1, Assumptions!$E$19, 0)*-1</f>
        <v>0</v>
      </c>
      <c r="G455" s="24">
        <f t="shared" si="125"/>
        <v>1</v>
      </c>
      <c r="H455" s="20">
        <f t="shared" si="131"/>
        <v>339999.99999999988</v>
      </c>
      <c r="I455" s="2">
        <f>MAX(Assumptions!$D$8-SUM(Model_15y!H455), 0)</f>
        <v>1.1641532182693481E-10</v>
      </c>
      <c r="J455" s="2">
        <f>J454*(1+(Assumptions!$E$51))</f>
        <v>2680926.8849916453</v>
      </c>
      <c r="K455" s="22">
        <f t="shared" si="120"/>
        <v>2680926.8849916453</v>
      </c>
      <c r="L455" s="5">
        <f t="shared" si="132"/>
        <v>425000</v>
      </c>
      <c r="M455" s="63">
        <f>L455/Assumptions!$D$6</f>
        <v>1</v>
      </c>
      <c r="N455" s="24">
        <f t="shared" si="119"/>
        <v>0</v>
      </c>
      <c r="O455" s="22">
        <f>N455*Assumptions!$E$25*-1</f>
        <v>0</v>
      </c>
      <c r="P455" s="5">
        <f>Assumptions!$E$35*J455*-1</f>
        <v>-5522.2704345023094</v>
      </c>
      <c r="Q455" s="5">
        <f>J455*Assumptions!$E$36*-1</f>
        <v>-2223.9310328758997</v>
      </c>
      <c r="R455" s="5">
        <f>R443+R443*Assumptions!$D$51</f>
        <v>-1975.9504724884998</v>
      </c>
      <c r="S455" s="5">
        <f>S443+(S443*Assumptions!$D$51)</f>
        <v>0</v>
      </c>
      <c r="T455" s="5">
        <f t="shared" si="126"/>
        <v>0</v>
      </c>
      <c r="U455" s="22">
        <f t="shared" si="121"/>
        <v>-9722.1519398667078</v>
      </c>
      <c r="V455" s="5">
        <f>MAX(Assumptions!$E$18:$E$19)-U455</f>
        <v>12563.784951665404</v>
      </c>
      <c r="W455" s="5">
        <f t="shared" si="122"/>
        <v>0</v>
      </c>
      <c r="X455" s="5">
        <f t="shared" si="127"/>
        <v>-9722.1519398667078</v>
      </c>
      <c r="Y455" s="5">
        <f>D455*Assumptions!$D$44*-1</f>
        <v>0</v>
      </c>
      <c r="Z455" s="5">
        <f t="shared" si="123"/>
        <v>2841.6330117986963</v>
      </c>
      <c r="AA455" s="5">
        <f t="shared" si="133"/>
        <v>2602823.5610372326</v>
      </c>
      <c r="AB455" s="3">
        <f>Assumptions!$E$45</f>
        <v>6.9899151946608562E-3</v>
      </c>
      <c r="AC455" s="5">
        <f t="shared" si="134"/>
        <v>2623858.7100073467</v>
      </c>
      <c r="AD455" s="4">
        <f>AC455*Assumptions!$E$43</f>
        <v>2349.8635747178614</v>
      </c>
      <c r="AE455" s="2">
        <f>AD455*Assumptions!$D$44*-1</f>
        <v>-352.47953620767919</v>
      </c>
      <c r="AF455" s="2">
        <f>AC455*Assumptions!$E$46*-1</f>
        <v>-87.445926404896383</v>
      </c>
      <c r="AG455" s="5">
        <f t="shared" si="135"/>
        <v>2623418.7845447343</v>
      </c>
      <c r="AH455" s="20">
        <f>Model_30y[[#This Row],[Mortgage Payment]]+Model_30y[[#This Row],[Total Upkeep]]+Model_30y[[#This Row],[Monthly Investment]]</f>
        <v>-6880.5189280680115</v>
      </c>
      <c r="AI455" s="5">
        <f>Model_Renter!D455*-1</f>
        <v>10722.356151588518</v>
      </c>
      <c r="AJ455" s="5">
        <f t="shared" si="128"/>
        <v>3841.8372235205061</v>
      </c>
    </row>
    <row r="456" spans="1:36" x14ac:dyDescent="0.25">
      <c r="A456" s="17">
        <f t="shared" si="129"/>
        <v>454</v>
      </c>
      <c r="B456" s="17">
        <f t="shared" si="124"/>
        <v>38</v>
      </c>
      <c r="C456" s="23">
        <f>IFERROR(PPMT(Assumptions!$E$17, A456, 180, Assumptions!$D$8), 0)</f>
        <v>0</v>
      </c>
      <c r="D456" s="38">
        <f>IFERROR(IPMT(Assumptions!$E$17,A456,180,Assumptions!$D$8), 0)</f>
        <v>0</v>
      </c>
      <c r="E456" s="2">
        <f t="shared" si="130"/>
        <v>0</v>
      </c>
      <c r="F456" s="2">
        <f>IF(I455&gt;1, Assumptions!$E$19, 0)*-1</f>
        <v>0</v>
      </c>
      <c r="G456" s="24">
        <f t="shared" si="125"/>
        <v>1</v>
      </c>
      <c r="H456" s="20">
        <f t="shared" si="131"/>
        <v>339999.99999999988</v>
      </c>
      <c r="I456" s="2">
        <f>MAX(Assumptions!$D$8-SUM(Model_15y!H456), 0)</f>
        <v>1.1641532182693481E-10</v>
      </c>
      <c r="J456" s="2">
        <f>J455*(1+(Assumptions!$E$51))</f>
        <v>2691849.312976012</v>
      </c>
      <c r="K456" s="22">
        <f t="shared" si="120"/>
        <v>2691849.312976012</v>
      </c>
      <c r="L456" s="5">
        <f t="shared" si="132"/>
        <v>425000</v>
      </c>
      <c r="M456" s="63">
        <f>L456/Assumptions!$D$6</f>
        <v>1</v>
      </c>
      <c r="N456" s="24">
        <f t="shared" si="119"/>
        <v>0</v>
      </c>
      <c r="O456" s="22">
        <f>N456*Assumptions!$E$25*-1</f>
        <v>0</v>
      </c>
      <c r="P456" s="5">
        <f>Assumptions!$E$35*J456*-1</f>
        <v>-5544.7688478192531</v>
      </c>
      <c r="Q456" s="5">
        <f>J456*Assumptions!$E$36*-1</f>
        <v>-2232.991603190133</v>
      </c>
      <c r="R456" s="5">
        <f>R444+R444*Assumptions!$D$51</f>
        <v>-1975.9504724884998</v>
      </c>
      <c r="S456" s="5">
        <f>S444+(S444*Assumptions!$D$51)</f>
        <v>0</v>
      </c>
      <c r="T456" s="5">
        <f t="shared" si="126"/>
        <v>0</v>
      </c>
      <c r="U456" s="22">
        <f t="shared" si="121"/>
        <v>-9753.7109234978852</v>
      </c>
      <c r="V456" s="5">
        <f>MAX(Assumptions!$E$18:$E$19)-U456</f>
        <v>12595.343935296582</v>
      </c>
      <c r="W456" s="5">
        <f t="shared" si="122"/>
        <v>0</v>
      </c>
      <c r="X456" s="5">
        <f t="shared" si="127"/>
        <v>-9753.7109234978852</v>
      </c>
      <c r="Y456" s="5">
        <f>D456*Assumptions!$D$44*-1</f>
        <v>0</v>
      </c>
      <c r="Z456" s="5">
        <f t="shared" si="123"/>
        <v>2841.6330117986963</v>
      </c>
      <c r="AA456" s="5">
        <f t="shared" si="133"/>
        <v>2623418.7845447343</v>
      </c>
      <c r="AB456" s="3">
        <f>Assumptions!$E$45</f>
        <v>6.9899151946608562E-3</v>
      </c>
      <c r="AC456" s="5">
        <f t="shared" si="134"/>
        <v>2644597.8923805812</v>
      </c>
      <c r="AD456" s="4">
        <f>AC456*Assumptions!$E$43</f>
        <v>2368.4370783300883</v>
      </c>
      <c r="AE456" s="2">
        <f>AD456*Assumptions!$D$44*-1</f>
        <v>-355.26556174951321</v>
      </c>
      <c r="AF456" s="2">
        <f>AC456*Assumptions!$E$46*-1</f>
        <v>-88.137105776937545</v>
      </c>
      <c r="AG456" s="5">
        <f t="shared" si="135"/>
        <v>2644154.4897130546</v>
      </c>
      <c r="AH456" s="20">
        <f>Model_30y[[#This Row],[Mortgage Payment]]+Model_30y[[#This Row],[Total Upkeep]]+Model_30y[[#This Row],[Monthly Investment]]</f>
        <v>-6912.0779116991889</v>
      </c>
      <c r="AI456" s="5">
        <f>Model_Renter!D456*-1</f>
        <v>10722.356151588518</v>
      </c>
      <c r="AJ456" s="5">
        <f t="shared" si="128"/>
        <v>3810.2782398893287</v>
      </c>
    </row>
    <row r="457" spans="1:36" x14ac:dyDescent="0.25">
      <c r="A457" s="17">
        <f t="shared" si="129"/>
        <v>455</v>
      </c>
      <c r="B457" s="17">
        <f t="shared" si="124"/>
        <v>38</v>
      </c>
      <c r="C457" s="23">
        <f>IFERROR(PPMT(Assumptions!$E$17, A457, 180, Assumptions!$D$8), 0)</f>
        <v>0</v>
      </c>
      <c r="D457" s="38">
        <f>IFERROR(IPMT(Assumptions!$E$17,A457,180,Assumptions!$D$8), 0)</f>
        <v>0</v>
      </c>
      <c r="E457" s="2">
        <f t="shared" si="130"/>
        <v>0</v>
      </c>
      <c r="F457" s="2">
        <f>IF(I456&gt;1, Assumptions!$E$19, 0)*-1</f>
        <v>0</v>
      </c>
      <c r="G457" s="24">
        <f t="shared" si="125"/>
        <v>1</v>
      </c>
      <c r="H457" s="20">
        <f t="shared" si="131"/>
        <v>339999.99999999988</v>
      </c>
      <c r="I457" s="2">
        <f>MAX(Assumptions!$D$8-SUM(Model_15y!H457), 0)</f>
        <v>1.1641532182693481E-10</v>
      </c>
      <c r="J457" s="2">
        <f>J456*(1+(Assumptions!$E$51))</f>
        <v>2702816.2402840052</v>
      </c>
      <c r="K457" s="22">
        <f t="shared" si="120"/>
        <v>2702816.2402840052</v>
      </c>
      <c r="L457" s="5">
        <f t="shared" si="132"/>
        <v>425000</v>
      </c>
      <c r="M457" s="63">
        <f>L457/Assumptions!$D$6</f>
        <v>1</v>
      </c>
      <c r="N457" s="24">
        <f t="shared" si="119"/>
        <v>0</v>
      </c>
      <c r="O457" s="22">
        <f>N457*Assumptions!$E$25*-1</f>
        <v>0</v>
      </c>
      <c r="P457" s="5">
        <f>Assumptions!$E$35*J457*-1</f>
        <v>-5567.358922456986</v>
      </c>
      <c r="Q457" s="5">
        <f>J457*Assumptions!$E$36*-1</f>
        <v>-2242.0890873893773</v>
      </c>
      <c r="R457" s="5">
        <f>R445+R445*Assumptions!$D$51</f>
        <v>-1975.9504724884998</v>
      </c>
      <c r="S457" s="5">
        <f>S445+(S445*Assumptions!$D$51)</f>
        <v>0</v>
      </c>
      <c r="T457" s="5">
        <f t="shared" si="126"/>
        <v>0</v>
      </c>
      <c r="U457" s="22">
        <f t="shared" si="121"/>
        <v>-9785.3984823348619</v>
      </c>
      <c r="V457" s="5">
        <f>MAX(Assumptions!$E$18:$E$19)-U457</f>
        <v>12627.031494133558</v>
      </c>
      <c r="W457" s="5">
        <f t="shared" si="122"/>
        <v>0</v>
      </c>
      <c r="X457" s="5">
        <f t="shared" si="127"/>
        <v>-9785.3984823348619</v>
      </c>
      <c r="Y457" s="5">
        <f>D457*Assumptions!$D$44*-1</f>
        <v>0</v>
      </c>
      <c r="Z457" s="5">
        <f t="shared" si="123"/>
        <v>2841.6330117986963</v>
      </c>
      <c r="AA457" s="5">
        <f t="shared" si="133"/>
        <v>2644154.4897130546</v>
      </c>
      <c r="AB457" s="3">
        <f>Assumptions!$E$45</f>
        <v>6.9899151946608562E-3</v>
      </c>
      <c r="AC457" s="5">
        <f t="shared" si="134"/>
        <v>2665478.5383695294</v>
      </c>
      <c r="AD457" s="4">
        <f>AC457*Assumptions!$E$43</f>
        <v>2387.1372732906129</v>
      </c>
      <c r="AE457" s="2">
        <f>AD457*Assumptions!$D$44*-1</f>
        <v>-358.07059099359191</v>
      </c>
      <c r="AF457" s="2">
        <f>AC457*Assumptions!$E$46*-1</f>
        <v>-88.832999738556822</v>
      </c>
      <c r="AG457" s="5">
        <f t="shared" si="135"/>
        <v>2665031.6347787972</v>
      </c>
      <c r="AH457" s="20">
        <f>Model_30y[[#This Row],[Mortgage Payment]]+Model_30y[[#This Row],[Total Upkeep]]+Model_30y[[#This Row],[Monthly Investment]]</f>
        <v>-6943.7654705361656</v>
      </c>
      <c r="AI457" s="5">
        <f>Model_Renter!D457*-1</f>
        <v>10722.356151588518</v>
      </c>
      <c r="AJ457" s="5">
        <f t="shared" si="128"/>
        <v>3778.590681052352</v>
      </c>
    </row>
    <row r="458" spans="1:36" x14ac:dyDescent="0.25">
      <c r="A458" s="17">
        <f t="shared" si="129"/>
        <v>456</v>
      </c>
      <c r="B458" s="17">
        <f t="shared" si="124"/>
        <v>38</v>
      </c>
      <c r="C458" s="23">
        <f>IFERROR(PPMT(Assumptions!$E$17, A458, 180, Assumptions!$D$8), 0)</f>
        <v>0</v>
      </c>
      <c r="D458" s="38">
        <f>IFERROR(IPMT(Assumptions!$E$17,A458,180,Assumptions!$D$8), 0)</f>
        <v>0</v>
      </c>
      <c r="E458" s="2">
        <f t="shared" si="130"/>
        <v>0</v>
      </c>
      <c r="F458" s="2">
        <f>IF(I457&gt;1, Assumptions!$E$19, 0)*-1</f>
        <v>0</v>
      </c>
      <c r="G458" s="24">
        <f t="shared" si="125"/>
        <v>1</v>
      </c>
      <c r="H458" s="20">
        <f t="shared" si="131"/>
        <v>339999.99999999988</v>
      </c>
      <c r="I458" s="2">
        <f>MAX(Assumptions!$D$8-SUM(Model_15y!H458), 0)</f>
        <v>1.1641532182693481E-10</v>
      </c>
      <c r="J458" s="2">
        <f>J457*(1+(Assumptions!$E$51))</f>
        <v>2713827.8482113774</v>
      </c>
      <c r="K458" s="22">
        <f t="shared" si="120"/>
        <v>2713827.8482113774</v>
      </c>
      <c r="L458" s="5">
        <f t="shared" si="132"/>
        <v>425000</v>
      </c>
      <c r="M458" s="63">
        <f>L458/Assumptions!$D$6</f>
        <v>1</v>
      </c>
      <c r="N458" s="24">
        <f t="shared" si="119"/>
        <v>0</v>
      </c>
      <c r="O458" s="22">
        <f>N458*Assumptions!$E$25*-1</f>
        <v>0</v>
      </c>
      <c r="P458" s="5">
        <f>Assumptions!$E$35*J458*-1</f>
        <v>-5590.0410318550757</v>
      </c>
      <c r="Q458" s="5">
        <f>J458*Assumptions!$E$36*-1</f>
        <v>-2251.223635865369</v>
      </c>
      <c r="R458" s="5">
        <f>R446+R446*Assumptions!$D$51</f>
        <v>-1975.9504724884998</v>
      </c>
      <c r="S458" s="5">
        <f>S446+(S446*Assumptions!$D$51)</f>
        <v>0</v>
      </c>
      <c r="T458" s="5">
        <f t="shared" si="126"/>
        <v>0</v>
      </c>
      <c r="U458" s="22">
        <f t="shared" si="121"/>
        <v>-9817.2151402089439</v>
      </c>
      <c r="V458" s="5">
        <f>MAX(Assumptions!$E$18:$E$19)-U458</f>
        <v>12658.84815200764</v>
      </c>
      <c r="W458" s="5">
        <f t="shared" si="122"/>
        <v>0</v>
      </c>
      <c r="X458" s="5">
        <f t="shared" si="127"/>
        <v>-9817.2151402089439</v>
      </c>
      <c r="Y458" s="5">
        <f>D458*Assumptions!$D$44*-1</f>
        <v>0</v>
      </c>
      <c r="Z458" s="5">
        <f t="shared" si="123"/>
        <v>2841.6330117986963</v>
      </c>
      <c r="AA458" s="5">
        <f t="shared" si="133"/>
        <v>2665031.6347787972</v>
      </c>
      <c r="AB458" s="3">
        <f>Assumptions!$E$45</f>
        <v>6.9899151946608562E-3</v>
      </c>
      <c r="AC458" s="5">
        <f t="shared" si="134"/>
        <v>2686501.612908788</v>
      </c>
      <c r="AD458" s="4">
        <f>AC458*Assumptions!$E$43</f>
        <v>2405.9650237712185</v>
      </c>
      <c r="AE458" s="2">
        <f>AD458*Assumptions!$D$44*-1</f>
        <v>-360.89475356568278</v>
      </c>
      <c r="AF458" s="2">
        <f>AC458*Assumptions!$E$46*-1</f>
        <v>-89.533640448345466</v>
      </c>
      <c r="AG458" s="5">
        <f t="shared" si="135"/>
        <v>2686051.184514774</v>
      </c>
      <c r="AH458" s="20">
        <f>Model_30y[[#This Row],[Mortgage Payment]]+Model_30y[[#This Row],[Total Upkeep]]+Model_30y[[#This Row],[Monthly Investment]]</f>
        <v>-6975.5821284102476</v>
      </c>
      <c r="AI458" s="5">
        <f>Model_Renter!D458*-1</f>
        <v>10722.356151588518</v>
      </c>
      <c r="AJ458" s="5">
        <f t="shared" si="128"/>
        <v>3746.77402317827</v>
      </c>
    </row>
    <row r="459" spans="1:36" x14ac:dyDescent="0.25">
      <c r="A459" s="17">
        <f t="shared" si="129"/>
        <v>457</v>
      </c>
      <c r="B459" s="17">
        <f t="shared" si="124"/>
        <v>39</v>
      </c>
      <c r="C459" s="23">
        <f>IFERROR(PPMT(Assumptions!$E$17, A459, 180, Assumptions!$D$8), 0)</f>
        <v>0</v>
      </c>
      <c r="D459" s="38">
        <f>IFERROR(IPMT(Assumptions!$E$17,A459,180,Assumptions!$D$8), 0)</f>
        <v>0</v>
      </c>
      <c r="E459" s="2">
        <f t="shared" si="130"/>
        <v>0</v>
      </c>
      <c r="F459" s="2">
        <f>IF(I458&gt;1, Assumptions!$E$19, 0)*-1</f>
        <v>0</v>
      </c>
      <c r="G459" s="24">
        <f t="shared" si="125"/>
        <v>1</v>
      </c>
      <c r="H459" s="20">
        <f t="shared" si="131"/>
        <v>339999.99999999988</v>
      </c>
      <c r="I459" s="2">
        <f>MAX(Assumptions!$D$8-SUM(Model_15y!H459), 0)</f>
        <v>1.1641532182693481E-10</v>
      </c>
      <c r="J459" s="2">
        <f>J458*(1+(Assumptions!$E$51))</f>
        <v>2724884.3187925024</v>
      </c>
      <c r="K459" s="22">
        <f t="shared" si="120"/>
        <v>2724884.3187925024</v>
      </c>
      <c r="L459" s="5">
        <f t="shared" si="132"/>
        <v>425000</v>
      </c>
      <c r="M459" s="63">
        <f>L459/Assumptions!$D$6</f>
        <v>1</v>
      </c>
      <c r="N459" s="24">
        <f t="shared" si="119"/>
        <v>0</v>
      </c>
      <c r="O459" s="22">
        <f>N459*Assumptions!$E$25*-1</f>
        <v>0</v>
      </c>
      <c r="P459" s="5">
        <f>Assumptions!$E$35*J459*-1</f>
        <v>-5612.8155509745256</v>
      </c>
      <c r="Q459" s="5">
        <f>J459*Assumptions!$E$36*-1</f>
        <v>-2260.3953996225591</v>
      </c>
      <c r="R459" s="5">
        <f>R447+R447*Assumptions!$D$51</f>
        <v>-2074.7479961129247</v>
      </c>
      <c r="S459" s="5">
        <f>S447+(S447*Assumptions!$D$51)</f>
        <v>0</v>
      </c>
      <c r="T459" s="5">
        <f t="shared" si="126"/>
        <v>0</v>
      </c>
      <c r="U459" s="22">
        <f t="shared" si="121"/>
        <v>-9947.9589467100086</v>
      </c>
      <c r="V459" s="5">
        <f>MAX(Assumptions!$E$18:$E$19)-U459</f>
        <v>12789.591958508705</v>
      </c>
      <c r="W459" s="5">
        <f t="shared" si="122"/>
        <v>0</v>
      </c>
      <c r="X459" s="5">
        <f t="shared" si="127"/>
        <v>-9947.9589467100086</v>
      </c>
      <c r="Y459" s="5">
        <f>D459*Assumptions!$D$44*-1</f>
        <v>0</v>
      </c>
      <c r="Z459" s="5">
        <f t="shared" si="123"/>
        <v>2841.6330117986963</v>
      </c>
      <c r="AA459" s="5">
        <f t="shared" si="133"/>
        <v>2686051.184514774</v>
      </c>
      <c r="AB459" s="3">
        <f>Assumptions!$E$45</f>
        <v>6.9899151946608562E-3</v>
      </c>
      <c r="AC459" s="5">
        <f t="shared" si="134"/>
        <v>2707668.0875148494</v>
      </c>
      <c r="AD459" s="4">
        <f>AC459*Assumptions!$E$43</f>
        <v>2424.9211998382734</v>
      </c>
      <c r="AE459" s="2">
        <f>AD459*Assumptions!$D$44*-1</f>
        <v>-363.73817997574099</v>
      </c>
      <c r="AF459" s="2">
        <f>AC459*Assumptions!$E$46*-1</f>
        <v>-90.239060284251025</v>
      </c>
      <c r="AG459" s="5">
        <f t="shared" si="135"/>
        <v>2707214.1102745896</v>
      </c>
      <c r="AH459" s="20">
        <f>Model_30y[[#This Row],[Mortgage Payment]]+Model_30y[[#This Row],[Total Upkeep]]+Model_30y[[#This Row],[Monthly Investment]]</f>
        <v>-7106.3259349113123</v>
      </c>
      <c r="AI459" s="5">
        <f>Model_Renter!D459*-1</f>
        <v>11123.372271657929</v>
      </c>
      <c r="AJ459" s="5">
        <f t="shared" si="128"/>
        <v>4017.0463367466164</v>
      </c>
    </row>
    <row r="460" spans="1:36" x14ac:dyDescent="0.25">
      <c r="A460" s="17">
        <f t="shared" si="129"/>
        <v>458</v>
      </c>
      <c r="B460" s="17">
        <f t="shared" si="124"/>
        <v>39</v>
      </c>
      <c r="C460" s="23">
        <f>IFERROR(PPMT(Assumptions!$E$17, A460, 180, Assumptions!$D$8), 0)</f>
        <v>0</v>
      </c>
      <c r="D460" s="38">
        <f>IFERROR(IPMT(Assumptions!$E$17,A460,180,Assumptions!$D$8), 0)</f>
        <v>0</v>
      </c>
      <c r="E460" s="2">
        <f t="shared" si="130"/>
        <v>0</v>
      </c>
      <c r="F460" s="2">
        <f>IF(I459&gt;1, Assumptions!$E$19, 0)*-1</f>
        <v>0</v>
      </c>
      <c r="G460" s="24">
        <f t="shared" si="125"/>
        <v>1</v>
      </c>
      <c r="H460" s="20">
        <f t="shared" si="131"/>
        <v>339999.99999999988</v>
      </c>
      <c r="I460" s="2">
        <f>MAX(Assumptions!$D$8-SUM(Model_15y!H460), 0)</f>
        <v>1.1641532182693481E-10</v>
      </c>
      <c r="J460" s="2">
        <f>J459*(1+(Assumptions!$E$51))</f>
        <v>2735985.8348033852</v>
      </c>
      <c r="K460" s="22">
        <f t="shared" si="120"/>
        <v>2735985.8348033852</v>
      </c>
      <c r="L460" s="5">
        <f t="shared" si="132"/>
        <v>425000</v>
      </c>
      <c r="M460" s="63">
        <f>L460/Assumptions!$D$6</f>
        <v>1</v>
      </c>
      <c r="N460" s="24">
        <f t="shared" si="119"/>
        <v>0</v>
      </c>
      <c r="O460" s="22">
        <f>N460*Assumptions!$E$25*-1</f>
        <v>0</v>
      </c>
      <c r="P460" s="5">
        <f>Assumptions!$E$35*J460*-1</f>
        <v>-5635.6828563039826</v>
      </c>
      <c r="Q460" s="5">
        <f>J460*Assumptions!$E$36*-1</f>
        <v>-2269.6045302806106</v>
      </c>
      <c r="R460" s="5">
        <f>R448+R448*Assumptions!$D$51</f>
        <v>-2074.7479961129247</v>
      </c>
      <c r="S460" s="5">
        <f>S448+(S448*Assumptions!$D$51)</f>
        <v>0</v>
      </c>
      <c r="T460" s="5">
        <f t="shared" si="126"/>
        <v>0</v>
      </c>
      <c r="U460" s="22">
        <f t="shared" si="121"/>
        <v>-9980.0353826975188</v>
      </c>
      <c r="V460" s="5">
        <f>MAX(Assumptions!$E$18:$E$19)-U460</f>
        <v>12821.668394496215</v>
      </c>
      <c r="W460" s="5">
        <f t="shared" si="122"/>
        <v>0</v>
      </c>
      <c r="X460" s="5">
        <f t="shared" si="127"/>
        <v>-9980.0353826975188</v>
      </c>
      <c r="Y460" s="5">
        <f>D460*Assumptions!$D$44*-1</f>
        <v>0</v>
      </c>
      <c r="Z460" s="5">
        <f t="shared" si="123"/>
        <v>2841.6330117986963</v>
      </c>
      <c r="AA460" s="5">
        <f t="shared" si="133"/>
        <v>2707214.1102745896</v>
      </c>
      <c r="AB460" s="3">
        <f>Assumptions!$E$45</f>
        <v>6.9899151946608562E-3</v>
      </c>
      <c r="AC460" s="5">
        <f t="shared" si="134"/>
        <v>2728978.9403309971</v>
      </c>
      <c r="AD460" s="4">
        <f>AC460*Assumptions!$E$43</f>
        <v>2444.0066774929369</v>
      </c>
      <c r="AE460" s="2">
        <f>AD460*Assumptions!$D$44*-1</f>
        <v>-366.60100162394053</v>
      </c>
      <c r="AF460" s="2">
        <f>AC460*Assumptions!$E$46*-1</f>
        <v>-90.949291845073603</v>
      </c>
      <c r="AG460" s="5">
        <f t="shared" si="135"/>
        <v>2728521.3900375282</v>
      </c>
      <c r="AH460" s="20">
        <f>Model_30y[[#This Row],[Mortgage Payment]]+Model_30y[[#This Row],[Total Upkeep]]+Model_30y[[#This Row],[Monthly Investment]]</f>
        <v>-7138.4023708988225</v>
      </c>
      <c r="AI460" s="5">
        <f>Model_Renter!D460*-1</f>
        <v>11123.372271657929</v>
      </c>
      <c r="AJ460" s="5">
        <f t="shared" si="128"/>
        <v>3984.9699007591062</v>
      </c>
    </row>
    <row r="461" spans="1:36" x14ac:dyDescent="0.25">
      <c r="A461" s="17">
        <f t="shared" si="129"/>
        <v>459</v>
      </c>
      <c r="B461" s="17">
        <f t="shared" si="124"/>
        <v>39</v>
      </c>
      <c r="C461" s="23">
        <f>IFERROR(PPMT(Assumptions!$E$17, A461, 180, Assumptions!$D$8), 0)</f>
        <v>0</v>
      </c>
      <c r="D461" s="38">
        <f>IFERROR(IPMT(Assumptions!$E$17,A461,180,Assumptions!$D$8), 0)</f>
        <v>0</v>
      </c>
      <c r="E461" s="2">
        <f t="shared" si="130"/>
        <v>0</v>
      </c>
      <c r="F461" s="2">
        <f>IF(I460&gt;1, Assumptions!$E$19, 0)*-1</f>
        <v>0</v>
      </c>
      <c r="G461" s="24">
        <f t="shared" si="125"/>
        <v>1</v>
      </c>
      <c r="H461" s="20">
        <f t="shared" si="131"/>
        <v>339999.99999999988</v>
      </c>
      <c r="I461" s="2">
        <f>MAX(Assumptions!$D$8-SUM(Model_15y!H461), 0)</f>
        <v>1.1641532182693481E-10</v>
      </c>
      <c r="J461" s="2">
        <f>J460*(1+(Assumptions!$E$51))</f>
        <v>2747132.5797646828</v>
      </c>
      <c r="K461" s="22">
        <f t="shared" si="120"/>
        <v>2747132.5797646828</v>
      </c>
      <c r="L461" s="5">
        <f t="shared" si="132"/>
        <v>425000</v>
      </c>
      <c r="M461" s="63">
        <f>L461/Assumptions!$D$6</f>
        <v>1</v>
      </c>
      <c r="N461" s="24">
        <f t="shared" si="119"/>
        <v>0</v>
      </c>
      <c r="O461" s="22">
        <f>N461*Assumptions!$E$25*-1</f>
        <v>0</v>
      </c>
      <c r="P461" s="5">
        <f>Assumptions!$E$35*J461*-1</f>
        <v>-5658.6433258659499</v>
      </c>
      <c r="Q461" s="5">
        <f>J461*Assumptions!$E$36*-1</f>
        <v>-2278.8511800769029</v>
      </c>
      <c r="R461" s="5">
        <f>R449+R449*Assumptions!$D$51</f>
        <v>-2074.7479961129247</v>
      </c>
      <c r="S461" s="5">
        <f>S449+(S449*Assumptions!$D$51)</f>
        <v>0</v>
      </c>
      <c r="T461" s="5">
        <f t="shared" si="126"/>
        <v>0</v>
      </c>
      <c r="U461" s="22">
        <f t="shared" si="121"/>
        <v>-10012.242502055778</v>
      </c>
      <c r="V461" s="5">
        <f>MAX(Assumptions!$E$18:$E$19)-U461</f>
        <v>12853.875513854475</v>
      </c>
      <c r="W461" s="5">
        <f t="shared" si="122"/>
        <v>0</v>
      </c>
      <c r="X461" s="5">
        <f t="shared" si="127"/>
        <v>-10012.242502055778</v>
      </c>
      <c r="Y461" s="5">
        <f>D461*Assumptions!$D$44*-1</f>
        <v>0</v>
      </c>
      <c r="Z461" s="5">
        <f t="shared" si="123"/>
        <v>2841.6330117986963</v>
      </c>
      <c r="AA461" s="5">
        <f t="shared" si="133"/>
        <v>2728521.3900375282</v>
      </c>
      <c r="AB461" s="3">
        <f>Assumptions!$E$45</f>
        <v>6.9899151946608562E-3</v>
      </c>
      <c r="AC461" s="5">
        <f t="shared" si="134"/>
        <v>2750435.1561725074</v>
      </c>
      <c r="AD461" s="4">
        <f>AC461*Assumptions!$E$43</f>
        <v>2463.2223387116419</v>
      </c>
      <c r="AE461" s="2">
        <f>AD461*Assumptions!$D$44*-1</f>
        <v>-369.48335080674627</v>
      </c>
      <c r="AF461" s="2">
        <f>AC461*Assumptions!$E$46*-1</f>
        <v>-91.664367951972295</v>
      </c>
      <c r="AG461" s="5">
        <f t="shared" si="135"/>
        <v>2749974.0084537487</v>
      </c>
      <c r="AH461" s="20">
        <f>Model_30y[[#This Row],[Mortgage Payment]]+Model_30y[[#This Row],[Total Upkeep]]+Model_30y[[#This Row],[Monthly Investment]]</f>
        <v>-7170.6094902570821</v>
      </c>
      <c r="AI461" s="5">
        <f>Model_Renter!D461*-1</f>
        <v>11123.372271657929</v>
      </c>
      <c r="AJ461" s="5">
        <f t="shared" si="128"/>
        <v>3952.7627814008465</v>
      </c>
    </row>
    <row r="462" spans="1:36" x14ac:dyDescent="0.25">
      <c r="A462" s="17">
        <f t="shared" si="129"/>
        <v>460</v>
      </c>
      <c r="B462" s="17">
        <f t="shared" si="124"/>
        <v>39</v>
      </c>
      <c r="C462" s="23">
        <f>IFERROR(PPMT(Assumptions!$E$17, A462, 180, Assumptions!$D$8), 0)</f>
        <v>0</v>
      </c>
      <c r="D462" s="38">
        <f>IFERROR(IPMT(Assumptions!$E$17,A462,180,Assumptions!$D$8), 0)</f>
        <v>0</v>
      </c>
      <c r="E462" s="2">
        <f t="shared" si="130"/>
        <v>0</v>
      </c>
      <c r="F462" s="2">
        <f>IF(I461&gt;1, Assumptions!$E$19, 0)*-1</f>
        <v>0</v>
      </c>
      <c r="G462" s="24">
        <f t="shared" si="125"/>
        <v>1</v>
      </c>
      <c r="H462" s="20">
        <f t="shared" si="131"/>
        <v>339999.99999999988</v>
      </c>
      <c r="I462" s="2">
        <f>MAX(Assumptions!$D$8-SUM(Model_15y!H462), 0)</f>
        <v>1.1641532182693481E-10</v>
      </c>
      <c r="J462" s="2">
        <f>J461*(1+(Assumptions!$E$51))</f>
        <v>2758324.7379447375</v>
      </c>
      <c r="K462" s="22">
        <f t="shared" si="120"/>
        <v>2758324.7379447375</v>
      </c>
      <c r="L462" s="5">
        <f t="shared" si="132"/>
        <v>425000</v>
      </c>
      <c r="M462" s="63">
        <f>L462/Assumptions!$D$6</f>
        <v>1</v>
      </c>
      <c r="N462" s="24">
        <f t="shared" si="119"/>
        <v>0</v>
      </c>
      <c r="O462" s="22">
        <f>N462*Assumptions!$E$25*-1</f>
        <v>0</v>
      </c>
      <c r="P462" s="5">
        <f>Assumptions!$E$35*J462*-1</f>
        <v>-5681.6973392230439</v>
      </c>
      <c r="Q462" s="5">
        <f>J462*Assumptions!$E$36*-1</f>
        <v>-2288.1355018690497</v>
      </c>
      <c r="R462" s="5">
        <f>R450+R450*Assumptions!$D$51</f>
        <v>-2074.7479961129247</v>
      </c>
      <c r="S462" s="5">
        <f>S450+(S450*Assumptions!$D$51)</f>
        <v>0</v>
      </c>
      <c r="T462" s="5">
        <f t="shared" si="126"/>
        <v>0</v>
      </c>
      <c r="U462" s="22">
        <f t="shared" si="121"/>
        <v>-10044.580837205018</v>
      </c>
      <c r="V462" s="5">
        <f>MAX(Assumptions!$E$18:$E$19)-U462</f>
        <v>12886.213849003714</v>
      </c>
      <c r="W462" s="5">
        <f t="shared" si="122"/>
        <v>0</v>
      </c>
      <c r="X462" s="5">
        <f t="shared" si="127"/>
        <v>-10044.580837205018</v>
      </c>
      <c r="Y462" s="5">
        <f>D462*Assumptions!$D$44*-1</f>
        <v>0</v>
      </c>
      <c r="Z462" s="5">
        <f t="shared" si="123"/>
        <v>2841.6330117986963</v>
      </c>
      <c r="AA462" s="5">
        <f t="shared" si="133"/>
        <v>2749974.0084537487</v>
      </c>
      <c r="AB462" s="3">
        <f>Assumptions!$E$45</f>
        <v>6.9899151946608562E-3</v>
      </c>
      <c r="AC462" s="5">
        <f t="shared" si="134"/>
        <v>2772037.7265721606</v>
      </c>
      <c r="AD462" s="4">
        <f>AC462*Assumptions!$E$43</f>
        <v>2482.5690714868533</v>
      </c>
      <c r="AE462" s="2">
        <f>AD462*Assumptions!$D$44*-1</f>
        <v>-372.38536072302799</v>
      </c>
      <c r="AF462" s="2">
        <f>AC462*Assumptions!$E$46*-1</f>
        <v>-92.384321649981956</v>
      </c>
      <c r="AG462" s="5">
        <f t="shared" si="135"/>
        <v>2771572.9568897877</v>
      </c>
      <c r="AH462" s="20">
        <f>Model_30y[[#This Row],[Mortgage Payment]]+Model_30y[[#This Row],[Total Upkeep]]+Model_30y[[#This Row],[Monthly Investment]]</f>
        <v>-7202.9478254063215</v>
      </c>
      <c r="AI462" s="5">
        <f>Model_Renter!D462*-1</f>
        <v>11123.372271657929</v>
      </c>
      <c r="AJ462" s="5">
        <f t="shared" si="128"/>
        <v>3920.4244462516072</v>
      </c>
    </row>
    <row r="463" spans="1:36" x14ac:dyDescent="0.25">
      <c r="A463" s="17">
        <f t="shared" si="129"/>
        <v>461</v>
      </c>
      <c r="B463" s="17">
        <f t="shared" si="124"/>
        <v>39</v>
      </c>
      <c r="C463" s="23">
        <f>IFERROR(PPMT(Assumptions!$E$17, A463, 180, Assumptions!$D$8), 0)</f>
        <v>0</v>
      </c>
      <c r="D463" s="38">
        <f>IFERROR(IPMT(Assumptions!$E$17,A463,180,Assumptions!$D$8), 0)</f>
        <v>0</v>
      </c>
      <c r="E463" s="2">
        <f t="shared" si="130"/>
        <v>0</v>
      </c>
      <c r="F463" s="2">
        <f>IF(I462&gt;1, Assumptions!$E$19, 0)*-1</f>
        <v>0</v>
      </c>
      <c r="G463" s="24">
        <f t="shared" si="125"/>
        <v>1</v>
      </c>
      <c r="H463" s="20">
        <f t="shared" si="131"/>
        <v>339999.99999999988</v>
      </c>
      <c r="I463" s="2">
        <f>MAX(Assumptions!$D$8-SUM(Model_15y!H463), 0)</f>
        <v>1.1641532182693481E-10</v>
      </c>
      <c r="J463" s="2">
        <f>J462*(1+(Assumptions!$E$51))</f>
        <v>2769562.4943626239</v>
      </c>
      <c r="K463" s="22">
        <f t="shared" si="120"/>
        <v>2769562.4943626239</v>
      </c>
      <c r="L463" s="5">
        <f t="shared" si="132"/>
        <v>425000</v>
      </c>
      <c r="M463" s="63">
        <f>L463/Assumptions!$D$6</f>
        <v>1</v>
      </c>
      <c r="N463" s="24">
        <f t="shared" si="119"/>
        <v>0</v>
      </c>
      <c r="O463" s="22">
        <f>N463*Assumptions!$E$25*-1</f>
        <v>0</v>
      </c>
      <c r="P463" s="5">
        <f>Assumptions!$E$35*J463*-1</f>
        <v>-5704.8452774842644</v>
      </c>
      <c r="Q463" s="5">
        <f>J463*Assumptions!$E$36*-1</f>
        <v>-2297.4576491374246</v>
      </c>
      <c r="R463" s="5">
        <f>R451+R451*Assumptions!$D$51</f>
        <v>-2074.7479961129247</v>
      </c>
      <c r="S463" s="5">
        <f>S451+(S451*Assumptions!$D$51)</f>
        <v>0</v>
      </c>
      <c r="T463" s="5">
        <f t="shared" si="126"/>
        <v>0</v>
      </c>
      <c r="U463" s="22">
        <f t="shared" si="121"/>
        <v>-10077.050922734614</v>
      </c>
      <c r="V463" s="5">
        <f>MAX(Assumptions!$E$18:$E$19)-U463</f>
        <v>12918.68393453331</v>
      </c>
      <c r="W463" s="5">
        <f t="shared" si="122"/>
        <v>0</v>
      </c>
      <c r="X463" s="5">
        <f t="shared" si="127"/>
        <v>-10077.050922734614</v>
      </c>
      <c r="Y463" s="5">
        <f>D463*Assumptions!$D$44*-1</f>
        <v>0</v>
      </c>
      <c r="Z463" s="5">
        <f t="shared" si="123"/>
        <v>2841.6330117986963</v>
      </c>
      <c r="AA463" s="5">
        <f t="shared" si="133"/>
        <v>2771572.9568897877</v>
      </c>
      <c r="AB463" s="3">
        <f>Assumptions!$E$45</f>
        <v>6.9899151946608562E-3</v>
      </c>
      <c r="AC463" s="5">
        <f t="shared" si="134"/>
        <v>2793787.6498260614</v>
      </c>
      <c r="AD463" s="4">
        <f>AC463*Assumptions!$E$43</f>
        <v>2502.0477698681038</v>
      </c>
      <c r="AE463" s="2">
        <f>AD463*Assumptions!$D$44*-1</f>
        <v>-375.30716548021559</v>
      </c>
      <c r="AF463" s="2">
        <f>AC463*Assumptions!$E$46*-1</f>
        <v>-93.109186209540283</v>
      </c>
      <c r="AG463" s="5">
        <f t="shared" si="135"/>
        <v>2793319.2334743715</v>
      </c>
      <c r="AH463" s="20">
        <f>Model_30y[[#This Row],[Mortgage Payment]]+Model_30y[[#This Row],[Total Upkeep]]+Model_30y[[#This Row],[Monthly Investment]]</f>
        <v>-7235.4179109359175</v>
      </c>
      <c r="AI463" s="5">
        <f>Model_Renter!D463*-1</f>
        <v>11123.372271657929</v>
      </c>
      <c r="AJ463" s="5">
        <f t="shared" si="128"/>
        <v>3887.9543607220112</v>
      </c>
    </row>
    <row r="464" spans="1:36" x14ac:dyDescent="0.25">
      <c r="A464" s="17">
        <f t="shared" si="129"/>
        <v>462</v>
      </c>
      <c r="B464" s="17">
        <f t="shared" si="124"/>
        <v>39</v>
      </c>
      <c r="C464" s="23">
        <f>IFERROR(PPMT(Assumptions!$E$17, A464, 180, Assumptions!$D$8), 0)</f>
        <v>0</v>
      </c>
      <c r="D464" s="38">
        <f>IFERROR(IPMT(Assumptions!$E$17,A464,180,Assumptions!$D$8), 0)</f>
        <v>0</v>
      </c>
      <c r="E464" s="2">
        <f t="shared" si="130"/>
        <v>0</v>
      </c>
      <c r="F464" s="2">
        <f>IF(I463&gt;1, Assumptions!$E$19, 0)*-1</f>
        <v>0</v>
      </c>
      <c r="G464" s="24">
        <f t="shared" si="125"/>
        <v>1</v>
      </c>
      <c r="H464" s="20">
        <f t="shared" si="131"/>
        <v>339999.99999999988</v>
      </c>
      <c r="I464" s="2">
        <f>MAX(Assumptions!$D$8-SUM(Model_15y!H464), 0)</f>
        <v>1.1641532182693481E-10</v>
      </c>
      <c r="J464" s="2">
        <f>J463*(1+(Assumptions!$E$51))</f>
        <v>2780846.0347912069</v>
      </c>
      <c r="K464" s="22">
        <f t="shared" si="120"/>
        <v>2780846.0347912069</v>
      </c>
      <c r="L464" s="5">
        <f t="shared" si="132"/>
        <v>425000</v>
      </c>
      <c r="M464" s="63">
        <f>L464/Assumptions!$D$6</f>
        <v>1</v>
      </c>
      <c r="N464" s="24">
        <f t="shared" si="119"/>
        <v>0</v>
      </c>
      <c r="O464" s="22">
        <f>N464*Assumptions!$E$25*-1</f>
        <v>0</v>
      </c>
      <c r="P464" s="5">
        <f>Assumptions!$E$35*J464*-1</f>
        <v>-5728.0875233112965</v>
      </c>
      <c r="Q464" s="5">
        <f>J464*Assumptions!$E$36*-1</f>
        <v>-2306.8177759876999</v>
      </c>
      <c r="R464" s="5">
        <f>R452+R452*Assumptions!$D$51</f>
        <v>-2074.7479961129247</v>
      </c>
      <c r="S464" s="5">
        <f>S452+(S452*Assumptions!$D$51)</f>
        <v>0</v>
      </c>
      <c r="T464" s="5">
        <f t="shared" si="126"/>
        <v>0</v>
      </c>
      <c r="U464" s="22">
        <f t="shared" si="121"/>
        <v>-10109.653295411921</v>
      </c>
      <c r="V464" s="5">
        <f>MAX(Assumptions!$E$18:$E$19)-U464</f>
        <v>12951.286307210617</v>
      </c>
      <c r="W464" s="5">
        <f t="shared" si="122"/>
        <v>0</v>
      </c>
      <c r="X464" s="5">
        <f t="shared" si="127"/>
        <v>-10109.653295411921</v>
      </c>
      <c r="Y464" s="5">
        <f>D464*Assumptions!$D$44*-1</f>
        <v>0</v>
      </c>
      <c r="Z464" s="5">
        <f t="shared" si="123"/>
        <v>2841.6330117986963</v>
      </c>
      <c r="AA464" s="5">
        <f t="shared" si="133"/>
        <v>2793319.2334743715</v>
      </c>
      <c r="AB464" s="3">
        <f>Assumptions!$E$45</f>
        <v>6.9899151946608562E-3</v>
      </c>
      <c r="AC464" s="5">
        <f t="shared" si="134"/>
        <v>2815685.9310397711</v>
      </c>
      <c r="AD464" s="4">
        <f>AC464*Assumptions!$E$43</f>
        <v>2521.6593340033087</v>
      </c>
      <c r="AE464" s="2">
        <f>AD464*Assumptions!$D$44*-1</f>
        <v>-378.24890010049631</v>
      </c>
      <c r="AF464" s="2">
        <f>AC464*Assumptions!$E$46*-1</f>
        <v>-93.838995128025232</v>
      </c>
      <c r="AG464" s="5">
        <f t="shared" si="135"/>
        <v>2815213.8431445425</v>
      </c>
      <c r="AH464" s="20">
        <f>Model_30y[[#This Row],[Mortgage Payment]]+Model_30y[[#This Row],[Total Upkeep]]+Model_30y[[#This Row],[Monthly Investment]]</f>
        <v>-7268.0202836132248</v>
      </c>
      <c r="AI464" s="5">
        <f>Model_Renter!D464*-1</f>
        <v>11123.372271657929</v>
      </c>
      <c r="AJ464" s="5">
        <f t="shared" si="128"/>
        <v>3855.3519880447038</v>
      </c>
    </row>
    <row r="465" spans="1:36" x14ac:dyDescent="0.25">
      <c r="A465" s="17">
        <f t="shared" si="129"/>
        <v>463</v>
      </c>
      <c r="B465" s="17">
        <f t="shared" si="124"/>
        <v>39</v>
      </c>
      <c r="C465" s="23">
        <f>IFERROR(PPMT(Assumptions!$E$17, A465, 180, Assumptions!$D$8), 0)</f>
        <v>0</v>
      </c>
      <c r="D465" s="38">
        <f>IFERROR(IPMT(Assumptions!$E$17,A465,180,Assumptions!$D$8), 0)</f>
        <v>0</v>
      </c>
      <c r="E465" s="2">
        <f t="shared" si="130"/>
        <v>0</v>
      </c>
      <c r="F465" s="2">
        <f>IF(I464&gt;1, Assumptions!$E$19, 0)*-1</f>
        <v>0</v>
      </c>
      <c r="G465" s="24">
        <f t="shared" si="125"/>
        <v>1</v>
      </c>
      <c r="H465" s="20">
        <f t="shared" si="131"/>
        <v>339999.99999999988</v>
      </c>
      <c r="I465" s="2">
        <f>MAX(Assumptions!$D$8-SUM(Model_15y!H465), 0)</f>
        <v>1.1641532182693481E-10</v>
      </c>
      <c r="J465" s="2">
        <f>J464*(1+(Assumptions!$E$51))</f>
        <v>2792175.5457602139</v>
      </c>
      <c r="K465" s="22">
        <f t="shared" si="120"/>
        <v>2792175.5457602139</v>
      </c>
      <c r="L465" s="5">
        <f t="shared" si="132"/>
        <v>425000</v>
      </c>
      <c r="M465" s="63">
        <f>L465/Assumptions!$D$6</f>
        <v>1</v>
      </c>
      <c r="N465" s="24">
        <f t="shared" si="119"/>
        <v>0</v>
      </c>
      <c r="O465" s="22">
        <f>N465*Assumptions!$E$25*-1</f>
        <v>0</v>
      </c>
      <c r="P465" s="5">
        <f>Assumptions!$E$35*J465*-1</f>
        <v>-5751.4244609248381</v>
      </c>
      <c r="Q465" s="5">
        <f>J465*Assumptions!$E$36*-1</f>
        <v>-2316.2160371533942</v>
      </c>
      <c r="R465" s="5">
        <f>R453+R453*Assumptions!$D$51</f>
        <v>-2074.7479961129247</v>
      </c>
      <c r="S465" s="5">
        <f>S453+(S453*Assumptions!$D$51)</f>
        <v>0</v>
      </c>
      <c r="T465" s="5">
        <f t="shared" si="126"/>
        <v>0</v>
      </c>
      <c r="U465" s="22">
        <f t="shared" si="121"/>
        <v>-10142.388494191156</v>
      </c>
      <c r="V465" s="5">
        <f>MAX(Assumptions!$E$18:$E$19)-U465</f>
        <v>12984.021505989853</v>
      </c>
      <c r="W465" s="5">
        <f t="shared" si="122"/>
        <v>0</v>
      </c>
      <c r="X465" s="5">
        <f t="shared" si="127"/>
        <v>-10142.388494191156</v>
      </c>
      <c r="Y465" s="5">
        <f>D465*Assumptions!$D$44*-1</f>
        <v>0</v>
      </c>
      <c r="Z465" s="5">
        <f t="shared" si="123"/>
        <v>2841.6330117986963</v>
      </c>
      <c r="AA465" s="5">
        <f t="shared" si="133"/>
        <v>2815213.8431445425</v>
      </c>
      <c r="AB465" s="3">
        <f>Assumptions!$E$45</f>
        <v>6.9899151946608562E-3</v>
      </c>
      <c r="AC465" s="5">
        <f t="shared" si="134"/>
        <v>2837733.582174757</v>
      </c>
      <c r="AD465" s="4">
        <f>AC465*Assumptions!$E$43</f>
        <v>2541.4046701803641</v>
      </c>
      <c r="AE465" s="2">
        <f>AD465*Assumptions!$D$44*-1</f>
        <v>-381.2107005270546</v>
      </c>
      <c r="AF465" s="2">
        <f>AC465*Assumptions!$E$46*-1</f>
        <v>-94.573782131303105</v>
      </c>
      <c r="AG465" s="5">
        <f t="shared" si="135"/>
        <v>2837257.7976920987</v>
      </c>
      <c r="AH465" s="20">
        <f>Model_30y[[#This Row],[Mortgage Payment]]+Model_30y[[#This Row],[Total Upkeep]]+Model_30y[[#This Row],[Monthly Investment]]</f>
        <v>-7300.7554823924602</v>
      </c>
      <c r="AI465" s="5">
        <f>Model_Renter!D465*-1</f>
        <v>11123.372271657929</v>
      </c>
      <c r="AJ465" s="5">
        <f t="shared" si="128"/>
        <v>3822.6167892654685</v>
      </c>
    </row>
    <row r="466" spans="1:36" x14ac:dyDescent="0.25">
      <c r="A466" s="17">
        <f t="shared" si="129"/>
        <v>464</v>
      </c>
      <c r="B466" s="17">
        <f t="shared" si="124"/>
        <v>39</v>
      </c>
      <c r="C466" s="23">
        <f>IFERROR(PPMT(Assumptions!$E$17, A466, 180, Assumptions!$D$8), 0)</f>
        <v>0</v>
      </c>
      <c r="D466" s="38">
        <f>IFERROR(IPMT(Assumptions!$E$17,A466,180,Assumptions!$D$8), 0)</f>
        <v>0</v>
      </c>
      <c r="E466" s="2">
        <f t="shared" si="130"/>
        <v>0</v>
      </c>
      <c r="F466" s="2">
        <f>IF(I465&gt;1, Assumptions!$E$19, 0)*-1</f>
        <v>0</v>
      </c>
      <c r="G466" s="24">
        <f t="shared" si="125"/>
        <v>1</v>
      </c>
      <c r="H466" s="20">
        <f t="shared" si="131"/>
        <v>339999.99999999988</v>
      </c>
      <c r="I466" s="2">
        <f>MAX(Assumptions!$D$8-SUM(Model_15y!H466), 0)</f>
        <v>1.1641532182693481E-10</v>
      </c>
      <c r="J466" s="2">
        <f>J465*(1+(Assumptions!$E$51))</f>
        <v>2803551.2145593171</v>
      </c>
      <c r="K466" s="22">
        <f t="shared" si="120"/>
        <v>2803551.2145593171</v>
      </c>
      <c r="L466" s="5">
        <f t="shared" si="132"/>
        <v>425000</v>
      </c>
      <c r="M466" s="63">
        <f>L466/Assumptions!$D$6</f>
        <v>1</v>
      </c>
      <c r="N466" s="24">
        <f t="shared" ref="N466:N529" si="136">IF(M466&lt;0.2, 1, 0)</f>
        <v>0</v>
      </c>
      <c r="O466" s="22">
        <f>N466*Assumptions!$E$25*-1</f>
        <v>0</v>
      </c>
      <c r="P466" s="5">
        <f>Assumptions!$E$35*J466*-1</f>
        <v>-5774.8564761109492</v>
      </c>
      <c r="Q466" s="5">
        <f>J466*Assumptions!$E$36*-1</f>
        <v>-2325.6525879984288</v>
      </c>
      <c r="R466" s="5">
        <f>R454+R454*Assumptions!$D$51</f>
        <v>-2074.7479961129247</v>
      </c>
      <c r="S466" s="5">
        <f>S454+(S454*Assumptions!$D$51)</f>
        <v>0</v>
      </c>
      <c r="T466" s="5">
        <f t="shared" si="126"/>
        <v>0</v>
      </c>
      <c r="U466" s="22">
        <f t="shared" si="121"/>
        <v>-10175.257060222302</v>
      </c>
      <c r="V466" s="5">
        <f>MAX(Assumptions!$E$18:$E$19)-U466</f>
        <v>13016.890072020999</v>
      </c>
      <c r="W466" s="5">
        <f t="shared" si="122"/>
        <v>0</v>
      </c>
      <c r="X466" s="5">
        <f t="shared" si="127"/>
        <v>-10175.257060222302</v>
      </c>
      <c r="Y466" s="5">
        <f>D466*Assumptions!$D$44*-1</f>
        <v>0</v>
      </c>
      <c r="Z466" s="5">
        <f t="shared" si="123"/>
        <v>2841.6330117986963</v>
      </c>
      <c r="AA466" s="5">
        <f t="shared" si="133"/>
        <v>2837257.7976920987</v>
      </c>
      <c r="AB466" s="3">
        <f>Assumptions!$E$45</f>
        <v>6.9899151946608562E-3</v>
      </c>
      <c r="AC466" s="5">
        <f t="shared" si="134"/>
        <v>2859931.6220951555</v>
      </c>
      <c r="AD466" s="4">
        <f>AC466*Assumptions!$E$43</f>
        <v>2561.2846908690281</v>
      </c>
      <c r="AE466" s="2">
        <f>AD466*Assumptions!$D$44*-1</f>
        <v>-384.19270363035417</v>
      </c>
      <c r="AF466" s="2">
        <f>AC466*Assumptions!$E$46*-1</f>
        <v>-95.313581175286942</v>
      </c>
      <c r="AG466" s="5">
        <f t="shared" si="135"/>
        <v>2859452.11581035</v>
      </c>
      <c r="AH466" s="20">
        <f>Model_30y[[#This Row],[Mortgage Payment]]+Model_30y[[#This Row],[Total Upkeep]]+Model_30y[[#This Row],[Monthly Investment]]</f>
        <v>-7333.6240484236059</v>
      </c>
      <c r="AI466" s="5">
        <f>Model_Renter!D466*-1</f>
        <v>11123.372271657929</v>
      </c>
      <c r="AJ466" s="5">
        <f t="shared" si="128"/>
        <v>3789.7482232343227</v>
      </c>
    </row>
    <row r="467" spans="1:36" x14ac:dyDescent="0.25">
      <c r="A467" s="17">
        <f t="shared" si="129"/>
        <v>465</v>
      </c>
      <c r="B467" s="17">
        <f t="shared" si="124"/>
        <v>39</v>
      </c>
      <c r="C467" s="23">
        <f>IFERROR(PPMT(Assumptions!$E$17, A467, 180, Assumptions!$D$8), 0)</f>
        <v>0</v>
      </c>
      <c r="D467" s="38">
        <f>IFERROR(IPMT(Assumptions!$E$17,A467,180,Assumptions!$D$8), 0)</f>
        <v>0</v>
      </c>
      <c r="E467" s="2">
        <f t="shared" si="130"/>
        <v>0</v>
      </c>
      <c r="F467" s="2">
        <f>IF(I466&gt;1, Assumptions!$E$19, 0)*-1</f>
        <v>0</v>
      </c>
      <c r="G467" s="24">
        <f t="shared" si="125"/>
        <v>1</v>
      </c>
      <c r="H467" s="20">
        <f t="shared" si="131"/>
        <v>339999.99999999988</v>
      </c>
      <c r="I467" s="2">
        <f>MAX(Assumptions!$D$8-SUM(Model_15y!H467), 0)</f>
        <v>1.1641532182693481E-10</v>
      </c>
      <c r="J467" s="2">
        <f>J466*(1+(Assumptions!$E$51))</f>
        <v>2814973.2292412296</v>
      </c>
      <c r="K467" s="22">
        <f t="shared" si="120"/>
        <v>2814973.2292412296</v>
      </c>
      <c r="L467" s="5">
        <f t="shared" si="132"/>
        <v>425000</v>
      </c>
      <c r="M467" s="63">
        <f>L467/Assumptions!$D$6</f>
        <v>1</v>
      </c>
      <c r="N467" s="24">
        <f t="shared" si="136"/>
        <v>0</v>
      </c>
      <c r="O467" s="22">
        <f>N467*Assumptions!$E$25*-1</f>
        <v>0</v>
      </c>
      <c r="P467" s="5">
        <f>Assumptions!$E$35*J467*-1</f>
        <v>-5798.3839562274288</v>
      </c>
      <c r="Q467" s="5">
        <f>J467*Assumptions!$E$36*-1</f>
        <v>-2335.1275845196965</v>
      </c>
      <c r="R467" s="5">
        <f>R455+R455*Assumptions!$D$51</f>
        <v>-2074.7479961129247</v>
      </c>
      <c r="S467" s="5">
        <f>S455+(S455*Assumptions!$D$51)</f>
        <v>0</v>
      </c>
      <c r="T467" s="5">
        <f t="shared" si="126"/>
        <v>0</v>
      </c>
      <c r="U467" s="22">
        <f t="shared" si="121"/>
        <v>-10208.259536860051</v>
      </c>
      <c r="V467" s="5">
        <f>MAX(Assumptions!$E$18:$E$19)-U467</f>
        <v>13049.892548658747</v>
      </c>
      <c r="W467" s="5">
        <f t="shared" si="122"/>
        <v>0</v>
      </c>
      <c r="X467" s="5">
        <f t="shared" si="127"/>
        <v>-10208.259536860051</v>
      </c>
      <c r="Y467" s="5">
        <f>D467*Assumptions!$D$44*-1</f>
        <v>0</v>
      </c>
      <c r="Z467" s="5">
        <f t="shared" si="123"/>
        <v>2841.6330117986963</v>
      </c>
      <c r="AA467" s="5">
        <f t="shared" si="133"/>
        <v>2859452.11581035</v>
      </c>
      <c r="AB467" s="3">
        <f>Assumptions!$E$45</f>
        <v>6.9899151946608562E-3</v>
      </c>
      <c r="AC467" s="5">
        <f t="shared" si="134"/>
        <v>2882281.0766148567</v>
      </c>
      <c r="AD467" s="4">
        <f>AC467*Assumptions!$E$43</f>
        <v>2581.300314763088</v>
      </c>
      <c r="AE467" s="2">
        <f>AD467*Assumptions!$D$44*-1</f>
        <v>-387.19504721446316</v>
      </c>
      <c r="AF467" s="2">
        <f>AC467*Assumptions!$E$46*-1</f>
        <v>-96.058426447505852</v>
      </c>
      <c r="AG467" s="5">
        <f t="shared" si="135"/>
        <v>2881797.8231411949</v>
      </c>
      <c r="AH467" s="20">
        <f>Model_30y[[#This Row],[Mortgage Payment]]+Model_30y[[#This Row],[Total Upkeep]]+Model_30y[[#This Row],[Monthly Investment]]</f>
        <v>-7366.6265250613542</v>
      </c>
      <c r="AI467" s="5">
        <f>Model_Renter!D467*-1</f>
        <v>11123.372271657929</v>
      </c>
      <c r="AJ467" s="5">
        <f t="shared" si="128"/>
        <v>3756.7457465965745</v>
      </c>
    </row>
    <row r="468" spans="1:36" x14ac:dyDescent="0.25">
      <c r="A468" s="17">
        <f t="shared" si="129"/>
        <v>466</v>
      </c>
      <c r="B468" s="17">
        <f t="shared" si="124"/>
        <v>39</v>
      </c>
      <c r="C468" s="23">
        <f>IFERROR(PPMT(Assumptions!$E$17, A468, 180, Assumptions!$D$8), 0)</f>
        <v>0</v>
      </c>
      <c r="D468" s="38">
        <f>IFERROR(IPMT(Assumptions!$E$17,A468,180,Assumptions!$D$8), 0)</f>
        <v>0</v>
      </c>
      <c r="E468" s="2">
        <f t="shared" si="130"/>
        <v>0</v>
      </c>
      <c r="F468" s="2">
        <f>IF(I467&gt;1, Assumptions!$E$19, 0)*-1</f>
        <v>0</v>
      </c>
      <c r="G468" s="24">
        <f t="shared" si="125"/>
        <v>1</v>
      </c>
      <c r="H468" s="20">
        <f t="shared" si="131"/>
        <v>339999.99999999988</v>
      </c>
      <c r="I468" s="2">
        <f>MAX(Assumptions!$D$8-SUM(Model_15y!H468), 0)</f>
        <v>1.1641532182693481E-10</v>
      </c>
      <c r="J468" s="2">
        <f>J467*(1+(Assumptions!$E$51))</f>
        <v>2826441.7786248145</v>
      </c>
      <c r="K468" s="22">
        <f t="shared" si="120"/>
        <v>2826441.7786248145</v>
      </c>
      <c r="L468" s="5">
        <f t="shared" si="132"/>
        <v>425000</v>
      </c>
      <c r="M468" s="63">
        <f>L468/Assumptions!$D$6</f>
        <v>1</v>
      </c>
      <c r="N468" s="24">
        <f t="shared" si="136"/>
        <v>0</v>
      </c>
      <c r="O468" s="22">
        <f>N468*Assumptions!$E$25*-1</f>
        <v>0</v>
      </c>
      <c r="P468" s="5">
        <f>Assumptions!$E$35*J468*-1</f>
        <v>-5822.0072902102193</v>
      </c>
      <c r="Q468" s="5">
        <f>J468*Assumptions!$E$36*-1</f>
        <v>-2344.6411833496413</v>
      </c>
      <c r="R468" s="5">
        <f>R456+R456*Assumptions!$D$51</f>
        <v>-2074.7479961129247</v>
      </c>
      <c r="S468" s="5">
        <f>S456+(S456*Assumptions!$D$51)</f>
        <v>0</v>
      </c>
      <c r="T468" s="5">
        <f t="shared" si="126"/>
        <v>0</v>
      </c>
      <c r="U468" s="22">
        <f t="shared" si="121"/>
        <v>-10241.396469672785</v>
      </c>
      <c r="V468" s="5">
        <f>MAX(Assumptions!$E$18:$E$19)-U468</f>
        <v>13083.029481471482</v>
      </c>
      <c r="W468" s="5">
        <f t="shared" si="122"/>
        <v>0</v>
      </c>
      <c r="X468" s="5">
        <f t="shared" si="127"/>
        <v>-10241.396469672785</v>
      </c>
      <c r="Y468" s="5">
        <f>D468*Assumptions!$D$44*-1</f>
        <v>0</v>
      </c>
      <c r="Z468" s="5">
        <f t="shared" si="123"/>
        <v>2841.6330117986963</v>
      </c>
      <c r="AA468" s="5">
        <f t="shared" si="133"/>
        <v>2881797.8231411949</v>
      </c>
      <c r="AB468" s="3">
        <f>Assumptions!$E$45</f>
        <v>6.9899151946608562E-3</v>
      </c>
      <c r="AC468" s="5">
        <f t="shared" si="134"/>
        <v>2904782.978544909</v>
      </c>
      <c r="AD468" s="4">
        <f>AC468*Assumptions!$E$43</f>
        <v>2601.4524668228132</v>
      </c>
      <c r="AE468" s="2">
        <f>AD468*Assumptions!$D$44*-1</f>
        <v>-390.21787002342199</v>
      </c>
      <c r="AF468" s="2">
        <f>AC468*Assumptions!$E$46*-1</f>
        <v>-96.808352368684751</v>
      </c>
      <c r="AG468" s="5">
        <f t="shared" si="135"/>
        <v>2904295.9523225171</v>
      </c>
      <c r="AH468" s="20">
        <f>Model_30y[[#This Row],[Mortgage Payment]]+Model_30y[[#This Row],[Total Upkeep]]+Model_30y[[#This Row],[Monthly Investment]]</f>
        <v>-7399.763457874089</v>
      </c>
      <c r="AI468" s="5">
        <f>Model_Renter!D468*-1</f>
        <v>11123.372271657929</v>
      </c>
      <c r="AJ468" s="5">
        <f t="shared" si="128"/>
        <v>3723.6088137838397</v>
      </c>
    </row>
    <row r="469" spans="1:36" x14ac:dyDescent="0.25">
      <c r="A469" s="17">
        <f t="shared" si="129"/>
        <v>467</v>
      </c>
      <c r="B469" s="17">
        <f t="shared" si="124"/>
        <v>39</v>
      </c>
      <c r="C469" s="23">
        <f>IFERROR(PPMT(Assumptions!$E$17, A469, 180, Assumptions!$D$8), 0)</f>
        <v>0</v>
      </c>
      <c r="D469" s="38">
        <f>IFERROR(IPMT(Assumptions!$E$17,A469,180,Assumptions!$D$8), 0)</f>
        <v>0</v>
      </c>
      <c r="E469" s="2">
        <f t="shared" si="130"/>
        <v>0</v>
      </c>
      <c r="F469" s="2">
        <f>IF(I468&gt;1, Assumptions!$E$19, 0)*-1</f>
        <v>0</v>
      </c>
      <c r="G469" s="24">
        <f t="shared" si="125"/>
        <v>1</v>
      </c>
      <c r="H469" s="20">
        <f t="shared" si="131"/>
        <v>339999.99999999988</v>
      </c>
      <c r="I469" s="2">
        <f>MAX(Assumptions!$D$8-SUM(Model_15y!H469), 0)</f>
        <v>1.1641532182693481E-10</v>
      </c>
      <c r="J469" s="2">
        <f>J468*(1+(Assumptions!$E$51))</f>
        <v>2837957.0522982073</v>
      </c>
      <c r="K469" s="22">
        <f t="shared" si="120"/>
        <v>2837957.0522982073</v>
      </c>
      <c r="L469" s="5">
        <f t="shared" si="132"/>
        <v>425000</v>
      </c>
      <c r="M469" s="63">
        <f>L469/Assumptions!$D$6</f>
        <v>1</v>
      </c>
      <c r="N469" s="24">
        <f t="shared" si="136"/>
        <v>0</v>
      </c>
      <c r="O469" s="22">
        <f>N469*Assumptions!$E$25*-1</f>
        <v>0</v>
      </c>
      <c r="P469" s="5">
        <f>Assumptions!$E$35*J469*-1</f>
        <v>-5845.7268685798399</v>
      </c>
      <c r="Q469" s="5">
        <f>J469*Assumptions!$E$36*-1</f>
        <v>-2354.1935417588479</v>
      </c>
      <c r="R469" s="5">
        <f>R457+R457*Assumptions!$D$51</f>
        <v>-2074.7479961129247</v>
      </c>
      <c r="S469" s="5">
        <f>S457+(S457*Assumptions!$D$51)</f>
        <v>0</v>
      </c>
      <c r="T469" s="5">
        <f t="shared" si="126"/>
        <v>0</v>
      </c>
      <c r="U469" s="22">
        <f t="shared" si="121"/>
        <v>-10274.668406451612</v>
      </c>
      <c r="V469" s="5">
        <f>MAX(Assumptions!$E$18:$E$19)-U469</f>
        <v>13116.301418250308</v>
      </c>
      <c r="W469" s="5">
        <f t="shared" si="122"/>
        <v>0</v>
      </c>
      <c r="X469" s="5">
        <f t="shared" si="127"/>
        <v>-10274.668406451612</v>
      </c>
      <c r="Y469" s="5">
        <f>D469*Assumptions!$D$44*-1</f>
        <v>0</v>
      </c>
      <c r="Z469" s="5">
        <f t="shared" si="123"/>
        <v>2841.6330117986963</v>
      </c>
      <c r="AA469" s="5">
        <f t="shared" si="133"/>
        <v>2904295.9523225171</v>
      </c>
      <c r="AB469" s="3">
        <f>Assumptions!$E$45</f>
        <v>6.9899151946608562E-3</v>
      </c>
      <c r="AC469" s="5">
        <f t="shared" si="134"/>
        <v>2927438.3677412472</v>
      </c>
      <c r="AD469" s="4">
        <f>AC469*Assumptions!$E$43</f>
        <v>2621.7420783177031</v>
      </c>
      <c r="AE469" s="2">
        <f>AD469*Assumptions!$D$44*-1</f>
        <v>-393.26131174765544</v>
      </c>
      <c r="AF469" s="2">
        <f>AC469*Assumptions!$E$46*-1</f>
        <v>-97.563393594335096</v>
      </c>
      <c r="AG469" s="5">
        <f t="shared" si="135"/>
        <v>2926947.5430359053</v>
      </c>
      <c r="AH469" s="20">
        <f>Model_30y[[#This Row],[Mortgage Payment]]+Model_30y[[#This Row],[Total Upkeep]]+Model_30y[[#This Row],[Monthly Investment]]</f>
        <v>-7433.0353946529158</v>
      </c>
      <c r="AI469" s="5">
        <f>Model_Renter!D469*-1</f>
        <v>11123.372271657929</v>
      </c>
      <c r="AJ469" s="5">
        <f t="shared" si="128"/>
        <v>3690.3368770050129</v>
      </c>
    </row>
    <row r="470" spans="1:36" x14ac:dyDescent="0.25">
      <c r="A470" s="17">
        <f t="shared" si="129"/>
        <v>468</v>
      </c>
      <c r="B470" s="17">
        <f t="shared" si="124"/>
        <v>39</v>
      </c>
      <c r="C470" s="23">
        <f>IFERROR(PPMT(Assumptions!$E$17, A470, 180, Assumptions!$D$8), 0)</f>
        <v>0</v>
      </c>
      <c r="D470" s="38">
        <f>IFERROR(IPMT(Assumptions!$E$17,A470,180,Assumptions!$D$8), 0)</f>
        <v>0</v>
      </c>
      <c r="E470" s="2">
        <f t="shared" si="130"/>
        <v>0</v>
      </c>
      <c r="F470" s="2">
        <f>IF(I469&gt;1, Assumptions!$E$19, 0)*-1</f>
        <v>0</v>
      </c>
      <c r="G470" s="24">
        <f t="shared" si="125"/>
        <v>1</v>
      </c>
      <c r="H470" s="20">
        <f t="shared" si="131"/>
        <v>339999.99999999988</v>
      </c>
      <c r="I470" s="2">
        <f>MAX(Assumptions!$D$8-SUM(Model_15y!H470), 0)</f>
        <v>1.1641532182693481E-10</v>
      </c>
      <c r="J470" s="2">
        <f>J469*(1+(Assumptions!$E$51))</f>
        <v>2849519.2406219481</v>
      </c>
      <c r="K470" s="22">
        <f t="shared" si="120"/>
        <v>2849519.2406219481</v>
      </c>
      <c r="L470" s="5">
        <f t="shared" si="132"/>
        <v>425000</v>
      </c>
      <c r="M470" s="63">
        <f>L470/Assumptions!$D$6</f>
        <v>1</v>
      </c>
      <c r="N470" s="24">
        <f t="shared" si="136"/>
        <v>0</v>
      </c>
      <c r="O470" s="22">
        <f>N470*Assumptions!$E$25*-1</f>
        <v>0</v>
      </c>
      <c r="P470" s="5">
        <f>Assumptions!$E$35*J470*-1</f>
        <v>-5869.5430834478329</v>
      </c>
      <c r="Q470" s="5">
        <f>J470*Assumptions!$E$36*-1</f>
        <v>-2363.784817658639</v>
      </c>
      <c r="R470" s="5">
        <f>R458+R458*Assumptions!$D$51</f>
        <v>-2074.7479961129247</v>
      </c>
      <c r="S470" s="5">
        <f>S458+(S458*Assumptions!$D$51)</f>
        <v>0</v>
      </c>
      <c r="T470" s="5">
        <f t="shared" si="126"/>
        <v>0</v>
      </c>
      <c r="U470" s="22">
        <f t="shared" si="121"/>
        <v>-10308.075897219396</v>
      </c>
      <c r="V470" s="5">
        <f>MAX(Assumptions!$E$18:$E$19)-U470</f>
        <v>13149.708909018093</v>
      </c>
      <c r="W470" s="5">
        <f t="shared" si="122"/>
        <v>0</v>
      </c>
      <c r="X470" s="5">
        <f t="shared" si="127"/>
        <v>-10308.075897219396</v>
      </c>
      <c r="Y470" s="5">
        <f>D470*Assumptions!$D$44*-1</f>
        <v>0</v>
      </c>
      <c r="Z470" s="5">
        <f t="shared" si="123"/>
        <v>2841.6330117986963</v>
      </c>
      <c r="AA470" s="5">
        <f t="shared" si="133"/>
        <v>2926947.5430359053</v>
      </c>
      <c r="AB470" s="3">
        <f>Assumptions!$E$45</f>
        <v>6.9899151946608562E-3</v>
      </c>
      <c r="AC470" s="5">
        <f t="shared" si="134"/>
        <v>2950248.291152746</v>
      </c>
      <c r="AD470" s="4">
        <f>AC470*Assumptions!$E$43</f>
        <v>2642.1700868695184</v>
      </c>
      <c r="AE470" s="2">
        <f>AD470*Assumptions!$D$44*-1</f>
        <v>-396.32551303042777</v>
      </c>
      <c r="AF470" s="2">
        <f>AC470*Assumptions!$E$46*-1</f>
        <v>-98.323585016356319</v>
      </c>
      <c r="AG470" s="5">
        <f t="shared" si="135"/>
        <v>2949753.6420546994</v>
      </c>
      <c r="AH470" s="20">
        <f>Model_30y[[#This Row],[Mortgage Payment]]+Model_30y[[#This Row],[Total Upkeep]]+Model_30y[[#This Row],[Monthly Investment]]</f>
        <v>-7466.4428854206999</v>
      </c>
      <c r="AI470" s="5">
        <f>Model_Renter!D470*-1</f>
        <v>11123.372271657929</v>
      </c>
      <c r="AJ470" s="5">
        <f t="shared" si="128"/>
        <v>3656.9293862372288</v>
      </c>
    </row>
    <row r="471" spans="1:36" x14ac:dyDescent="0.25">
      <c r="A471" s="17">
        <f t="shared" si="129"/>
        <v>469</v>
      </c>
      <c r="B471" s="17">
        <f t="shared" si="124"/>
        <v>40</v>
      </c>
      <c r="C471" s="23">
        <f>IFERROR(PPMT(Assumptions!$E$17, A471, 180, Assumptions!$D$8), 0)</f>
        <v>0</v>
      </c>
      <c r="D471" s="38">
        <f>IFERROR(IPMT(Assumptions!$E$17,A471,180,Assumptions!$D$8), 0)</f>
        <v>0</v>
      </c>
      <c r="E471" s="2">
        <f t="shared" si="130"/>
        <v>0</v>
      </c>
      <c r="F471" s="2">
        <f>IF(I470&gt;1, Assumptions!$E$19, 0)*-1</f>
        <v>0</v>
      </c>
      <c r="G471" s="24">
        <f t="shared" si="125"/>
        <v>1</v>
      </c>
      <c r="H471" s="20">
        <f t="shared" si="131"/>
        <v>339999.99999999988</v>
      </c>
      <c r="I471" s="2">
        <f>MAX(Assumptions!$D$8-SUM(Model_15y!H471), 0)</f>
        <v>1.1641532182693481E-10</v>
      </c>
      <c r="J471" s="2">
        <f>J470*(1+(Assumptions!$E$51))</f>
        <v>2861128.5347321294</v>
      </c>
      <c r="K471" s="22">
        <f t="shared" si="120"/>
        <v>2861128.5347321294</v>
      </c>
      <c r="L471" s="5">
        <f t="shared" si="132"/>
        <v>425000</v>
      </c>
      <c r="M471" s="63">
        <f>L471/Assumptions!$D$6</f>
        <v>1</v>
      </c>
      <c r="N471" s="24">
        <f t="shared" si="136"/>
        <v>0</v>
      </c>
      <c r="O471" s="22">
        <f>N471*Assumptions!$E$25*-1</f>
        <v>0</v>
      </c>
      <c r="P471" s="5">
        <f>Assumptions!$E$35*J471*-1</f>
        <v>-5893.4563285232562</v>
      </c>
      <c r="Q471" s="5">
        <f>J471*Assumptions!$E$36*-1</f>
        <v>-2373.4151696036888</v>
      </c>
      <c r="R471" s="5">
        <f>R459+R459*Assumptions!$D$51</f>
        <v>-2178.4853959185712</v>
      </c>
      <c r="S471" s="5">
        <f>S459+(S459*Assumptions!$D$51)</f>
        <v>0</v>
      </c>
      <c r="T471" s="5">
        <f t="shared" si="126"/>
        <v>0</v>
      </c>
      <c r="U471" s="22">
        <f t="shared" si="121"/>
        <v>-10445.356894045515</v>
      </c>
      <c r="V471" s="5">
        <f>MAX(Assumptions!$E$18:$E$19)-U471</f>
        <v>13286.989905844212</v>
      </c>
      <c r="W471" s="5">
        <f t="shared" si="122"/>
        <v>0</v>
      </c>
      <c r="X471" s="5">
        <f t="shared" si="127"/>
        <v>-10445.356894045515</v>
      </c>
      <c r="Y471" s="5">
        <f>D471*Assumptions!$D$44*-1</f>
        <v>0</v>
      </c>
      <c r="Z471" s="5">
        <f t="shared" si="123"/>
        <v>2841.6330117986963</v>
      </c>
      <c r="AA471" s="5">
        <f t="shared" si="133"/>
        <v>2949753.6420546994</v>
      </c>
      <c r="AB471" s="3">
        <f>Assumptions!$E$45</f>
        <v>6.9899151946608562E-3</v>
      </c>
      <c r="AC471" s="5">
        <f t="shared" si="134"/>
        <v>2973213.8028696026</v>
      </c>
      <c r="AD471" s="4">
        <f>AC471*Assumptions!$E$43</f>
        <v>2662.737436495614</v>
      </c>
      <c r="AE471" s="2">
        <f>AD471*Assumptions!$D$44*-1</f>
        <v>-399.41061547434208</v>
      </c>
      <c r="AF471" s="2">
        <f>AC471*Assumptions!$E$46*-1</f>
        <v>-99.088961764648303</v>
      </c>
      <c r="AG471" s="5">
        <f t="shared" si="135"/>
        <v>2972715.3032923634</v>
      </c>
      <c r="AH471" s="20">
        <f>Model_30y[[#This Row],[Mortgage Payment]]+Model_30y[[#This Row],[Total Upkeep]]+Model_30y[[#This Row],[Monthly Investment]]</f>
        <v>-7603.7238822468189</v>
      </c>
      <c r="AI471" s="5">
        <f>Model_Renter!D471*-1</f>
        <v>11539.386394617937</v>
      </c>
      <c r="AJ471" s="5">
        <f t="shared" si="128"/>
        <v>3935.6625123711183</v>
      </c>
    </row>
    <row r="472" spans="1:36" x14ac:dyDescent="0.25">
      <c r="A472" s="17">
        <f t="shared" si="129"/>
        <v>470</v>
      </c>
      <c r="B472" s="17">
        <f t="shared" si="124"/>
        <v>40</v>
      </c>
      <c r="C472" s="23">
        <f>IFERROR(PPMT(Assumptions!$E$17, A472, 180, Assumptions!$D$8), 0)</f>
        <v>0</v>
      </c>
      <c r="D472" s="38">
        <f>IFERROR(IPMT(Assumptions!$E$17,A472,180,Assumptions!$D$8), 0)</f>
        <v>0</v>
      </c>
      <c r="E472" s="2">
        <f t="shared" si="130"/>
        <v>0</v>
      </c>
      <c r="F472" s="2">
        <f>IF(I471&gt;1, Assumptions!$E$19, 0)*-1</f>
        <v>0</v>
      </c>
      <c r="G472" s="24">
        <f t="shared" si="125"/>
        <v>1</v>
      </c>
      <c r="H472" s="20">
        <f t="shared" si="131"/>
        <v>339999.99999999988</v>
      </c>
      <c r="I472" s="2">
        <f>MAX(Assumptions!$D$8-SUM(Model_15y!H472), 0)</f>
        <v>1.1641532182693481E-10</v>
      </c>
      <c r="J472" s="2">
        <f>J471*(1+(Assumptions!$E$51))</f>
        <v>2872785.1265435563</v>
      </c>
      <c r="K472" s="22">
        <f t="shared" si="120"/>
        <v>2872785.1265435563</v>
      </c>
      <c r="L472" s="5">
        <f t="shared" si="132"/>
        <v>425000</v>
      </c>
      <c r="M472" s="63">
        <f>L472/Assumptions!$D$6</f>
        <v>1</v>
      </c>
      <c r="N472" s="24">
        <f t="shared" si="136"/>
        <v>0</v>
      </c>
      <c r="O472" s="22">
        <f>N472*Assumptions!$E$25*-1</f>
        <v>0</v>
      </c>
      <c r="P472" s="5">
        <f>Assumptions!$E$35*J472*-1</f>
        <v>-5917.4669991191849</v>
      </c>
      <c r="Q472" s="5">
        <f>J472*Assumptions!$E$36*-1</f>
        <v>-2383.0847567946425</v>
      </c>
      <c r="R472" s="5">
        <f>R460+R460*Assumptions!$D$51</f>
        <v>-2178.4853959185712</v>
      </c>
      <c r="S472" s="5">
        <f>S460+(S460*Assumptions!$D$51)</f>
        <v>0</v>
      </c>
      <c r="T472" s="5">
        <f t="shared" si="126"/>
        <v>0</v>
      </c>
      <c r="U472" s="22">
        <f t="shared" si="121"/>
        <v>-10479.037151832399</v>
      </c>
      <c r="V472" s="5">
        <f>MAX(Assumptions!$E$18:$E$19)-U472</f>
        <v>13320.670163631095</v>
      </c>
      <c r="W472" s="5">
        <f t="shared" si="122"/>
        <v>0</v>
      </c>
      <c r="X472" s="5">
        <f t="shared" si="127"/>
        <v>-10479.037151832399</v>
      </c>
      <c r="Y472" s="5">
        <f>D472*Assumptions!$D$44*-1</f>
        <v>0</v>
      </c>
      <c r="Z472" s="5">
        <f t="shared" si="123"/>
        <v>2841.6330117986963</v>
      </c>
      <c r="AA472" s="5">
        <f t="shared" si="133"/>
        <v>2972715.3032923634</v>
      </c>
      <c r="AB472" s="3">
        <f>Assumptions!$E$45</f>
        <v>6.9899151946608562E-3</v>
      </c>
      <c r="AC472" s="5">
        <f t="shared" si="134"/>
        <v>2996335.9641720466</v>
      </c>
      <c r="AD472" s="4">
        <f>AC472*Assumptions!$E$43</f>
        <v>2683.4450776525618</v>
      </c>
      <c r="AE472" s="2">
        <f>AD472*Assumptions!$D$44*-1</f>
        <v>-402.51676164788427</v>
      </c>
      <c r="AF472" s="2">
        <f>AC472*Assumptions!$E$46*-1</f>
        <v>-99.859559208734765</v>
      </c>
      <c r="AG472" s="5">
        <f t="shared" si="135"/>
        <v>2995833.58785119</v>
      </c>
      <c r="AH472" s="20">
        <f>Model_30y[[#This Row],[Mortgage Payment]]+Model_30y[[#This Row],[Total Upkeep]]+Model_30y[[#This Row],[Monthly Investment]]</f>
        <v>-7637.4041400337028</v>
      </c>
      <c r="AI472" s="5">
        <f>Model_Renter!D472*-1</f>
        <v>11539.386394617937</v>
      </c>
      <c r="AJ472" s="5">
        <f t="shared" si="128"/>
        <v>3901.9822545842344</v>
      </c>
    </row>
    <row r="473" spans="1:36" x14ac:dyDescent="0.25">
      <c r="A473" s="17">
        <f t="shared" si="129"/>
        <v>471</v>
      </c>
      <c r="B473" s="17">
        <f t="shared" si="124"/>
        <v>40</v>
      </c>
      <c r="C473" s="23">
        <f>IFERROR(PPMT(Assumptions!$E$17, A473, 180, Assumptions!$D$8), 0)</f>
        <v>0</v>
      </c>
      <c r="D473" s="38">
        <f>IFERROR(IPMT(Assumptions!$E$17,A473,180,Assumptions!$D$8), 0)</f>
        <v>0</v>
      </c>
      <c r="E473" s="2">
        <f t="shared" si="130"/>
        <v>0</v>
      </c>
      <c r="F473" s="2">
        <f>IF(I472&gt;1, Assumptions!$E$19, 0)*-1</f>
        <v>0</v>
      </c>
      <c r="G473" s="24">
        <f t="shared" si="125"/>
        <v>1</v>
      </c>
      <c r="H473" s="20">
        <f t="shared" si="131"/>
        <v>339999.99999999988</v>
      </c>
      <c r="I473" s="2">
        <f>MAX(Assumptions!$D$8-SUM(Model_15y!H473), 0)</f>
        <v>1.1641532182693481E-10</v>
      </c>
      <c r="J473" s="2">
        <f>J472*(1+(Assumptions!$E$51))</f>
        <v>2884489.2087529185</v>
      </c>
      <c r="K473" s="22">
        <f t="shared" si="120"/>
        <v>2884489.2087529185</v>
      </c>
      <c r="L473" s="5">
        <f t="shared" si="132"/>
        <v>425000</v>
      </c>
      <c r="M473" s="63">
        <f>L473/Assumptions!$D$6</f>
        <v>1</v>
      </c>
      <c r="N473" s="24">
        <f t="shared" si="136"/>
        <v>0</v>
      </c>
      <c r="O473" s="22">
        <f>N473*Assumptions!$E$25*-1</f>
        <v>0</v>
      </c>
      <c r="P473" s="5">
        <f>Assumptions!$E$35*J473*-1</f>
        <v>-5941.5754921592506</v>
      </c>
      <c r="Q473" s="5">
        <f>J473*Assumptions!$E$36*-1</f>
        <v>-2392.7937390807497</v>
      </c>
      <c r="R473" s="5">
        <f>R461+R461*Assumptions!$D$51</f>
        <v>-2178.4853959185712</v>
      </c>
      <c r="S473" s="5">
        <f>S461+(S461*Assumptions!$D$51)</f>
        <v>0</v>
      </c>
      <c r="T473" s="5">
        <f t="shared" si="126"/>
        <v>0</v>
      </c>
      <c r="U473" s="22">
        <f t="shared" si="121"/>
        <v>-10512.854627158571</v>
      </c>
      <c r="V473" s="5">
        <f>MAX(Assumptions!$E$18:$E$19)-U473</f>
        <v>13354.487638957267</v>
      </c>
      <c r="W473" s="5">
        <f t="shared" si="122"/>
        <v>0</v>
      </c>
      <c r="X473" s="5">
        <f t="shared" si="127"/>
        <v>-10512.854627158571</v>
      </c>
      <c r="Y473" s="5">
        <f>D473*Assumptions!$D$44*-1</f>
        <v>0</v>
      </c>
      <c r="Z473" s="5">
        <f t="shared" si="123"/>
        <v>2841.6330117986963</v>
      </c>
      <c r="AA473" s="5">
        <f t="shared" si="133"/>
        <v>2995833.58785119</v>
      </c>
      <c r="AB473" s="3">
        <f>Assumptions!$E$45</f>
        <v>6.9899151946608562E-3</v>
      </c>
      <c r="AC473" s="5">
        <f t="shared" si="134"/>
        <v>3019615.8435793854</v>
      </c>
      <c r="AD473" s="4">
        <f>AC473*Assumptions!$E$43</f>
        <v>2704.293967280074</v>
      </c>
      <c r="AE473" s="2">
        <f>AD473*Assumptions!$D$44*-1</f>
        <v>-405.64409509201107</v>
      </c>
      <c r="AF473" s="2">
        <f>AC473*Assumptions!$E$46*-1</f>
        <v>-100.63541295939777</v>
      </c>
      <c r="AG473" s="5">
        <f t="shared" si="135"/>
        <v>3019109.564071334</v>
      </c>
      <c r="AH473" s="20">
        <f>Model_30y[[#This Row],[Mortgage Payment]]+Model_30y[[#This Row],[Total Upkeep]]+Model_30y[[#This Row],[Monthly Investment]]</f>
        <v>-7671.2216153598747</v>
      </c>
      <c r="AI473" s="5">
        <f>Model_Renter!D473*-1</f>
        <v>11539.386394617937</v>
      </c>
      <c r="AJ473" s="5">
        <f t="shared" si="128"/>
        <v>3868.1647792580625</v>
      </c>
    </row>
    <row r="474" spans="1:36" x14ac:dyDescent="0.25">
      <c r="A474" s="17">
        <f t="shared" si="129"/>
        <v>472</v>
      </c>
      <c r="B474" s="17">
        <f t="shared" si="124"/>
        <v>40</v>
      </c>
      <c r="C474" s="23">
        <f>IFERROR(PPMT(Assumptions!$E$17, A474, 180, Assumptions!$D$8), 0)</f>
        <v>0</v>
      </c>
      <c r="D474" s="38">
        <f>IFERROR(IPMT(Assumptions!$E$17,A474,180,Assumptions!$D$8), 0)</f>
        <v>0</v>
      </c>
      <c r="E474" s="2">
        <f t="shared" si="130"/>
        <v>0</v>
      </c>
      <c r="F474" s="2">
        <f>IF(I473&gt;1, Assumptions!$E$19, 0)*-1</f>
        <v>0</v>
      </c>
      <c r="G474" s="24">
        <f t="shared" si="125"/>
        <v>1</v>
      </c>
      <c r="H474" s="20">
        <f t="shared" si="131"/>
        <v>339999.99999999988</v>
      </c>
      <c r="I474" s="2">
        <f>MAX(Assumptions!$D$8-SUM(Model_15y!H474), 0)</f>
        <v>1.1641532182693481E-10</v>
      </c>
      <c r="J474" s="2">
        <f>J473*(1+(Assumptions!$E$51))</f>
        <v>2896240.9748419756</v>
      </c>
      <c r="K474" s="22">
        <f t="shared" si="120"/>
        <v>2896240.9748419756</v>
      </c>
      <c r="L474" s="5">
        <f t="shared" si="132"/>
        <v>425000</v>
      </c>
      <c r="M474" s="63">
        <f>L474/Assumptions!$D$6</f>
        <v>1</v>
      </c>
      <c r="N474" s="24">
        <f t="shared" si="136"/>
        <v>0</v>
      </c>
      <c r="O474" s="22">
        <f>N474*Assumptions!$E$25*-1</f>
        <v>0</v>
      </c>
      <c r="P474" s="5">
        <f>Assumptions!$E$35*J474*-1</f>
        <v>-5965.782206184198</v>
      </c>
      <c r="Q474" s="5">
        <f>J474*Assumptions!$E$36*-1</f>
        <v>-2402.5422769625029</v>
      </c>
      <c r="R474" s="5">
        <f>R462+R462*Assumptions!$D$51</f>
        <v>-2178.4853959185712</v>
      </c>
      <c r="S474" s="5">
        <f>S462+(S462*Assumptions!$D$51)</f>
        <v>0</v>
      </c>
      <c r="T474" s="5">
        <f t="shared" si="126"/>
        <v>0</v>
      </c>
      <c r="U474" s="22">
        <f t="shared" si="121"/>
        <v>-10546.809879065273</v>
      </c>
      <c r="V474" s="5">
        <f>MAX(Assumptions!$E$18:$E$19)-U474</f>
        <v>13388.442890863969</v>
      </c>
      <c r="W474" s="5">
        <f t="shared" si="122"/>
        <v>0</v>
      </c>
      <c r="X474" s="5">
        <f t="shared" si="127"/>
        <v>-10546.809879065273</v>
      </c>
      <c r="Y474" s="5">
        <f>D474*Assumptions!$D$44*-1</f>
        <v>0</v>
      </c>
      <c r="Z474" s="5">
        <f t="shared" si="123"/>
        <v>2841.6330117986963</v>
      </c>
      <c r="AA474" s="5">
        <f t="shared" si="133"/>
        <v>3019109.564071334</v>
      </c>
      <c r="AB474" s="3">
        <f>Assumptions!$E$45</f>
        <v>6.9899151946608562E-3</v>
      </c>
      <c r="AC474" s="5">
        <f t="shared" si="134"/>
        <v>3043054.5168993808</v>
      </c>
      <c r="AD474" s="4">
        <f>AC474*Assumptions!$E$43</f>
        <v>2725.2850688452245</v>
      </c>
      <c r="AE474" s="2">
        <f>AD474*Assumptions!$D$44*-1</f>
        <v>-408.79276032678365</v>
      </c>
      <c r="AF474" s="2">
        <f>AC474*Assumptions!$E$46*-1</f>
        <v>-101.41655887032336</v>
      </c>
      <c r="AG474" s="5">
        <f t="shared" si="135"/>
        <v>3042544.3075801837</v>
      </c>
      <c r="AH474" s="20">
        <f>Model_30y[[#This Row],[Mortgage Payment]]+Model_30y[[#This Row],[Total Upkeep]]+Model_30y[[#This Row],[Monthly Investment]]</f>
        <v>-7705.1768672665767</v>
      </c>
      <c r="AI474" s="5">
        <f>Model_Renter!D474*-1</f>
        <v>11539.386394617937</v>
      </c>
      <c r="AJ474" s="5">
        <f t="shared" si="128"/>
        <v>3834.2095273513605</v>
      </c>
    </row>
    <row r="475" spans="1:36" x14ac:dyDescent="0.25">
      <c r="A475" s="17">
        <f t="shared" si="129"/>
        <v>473</v>
      </c>
      <c r="B475" s="17">
        <f t="shared" si="124"/>
        <v>40</v>
      </c>
      <c r="C475" s="23">
        <f>IFERROR(PPMT(Assumptions!$E$17, A475, 180, Assumptions!$D$8), 0)</f>
        <v>0</v>
      </c>
      <c r="D475" s="38">
        <f>IFERROR(IPMT(Assumptions!$E$17,A475,180,Assumptions!$D$8), 0)</f>
        <v>0</v>
      </c>
      <c r="E475" s="2">
        <f t="shared" si="130"/>
        <v>0</v>
      </c>
      <c r="F475" s="2">
        <f>IF(I474&gt;1, Assumptions!$E$19, 0)*-1</f>
        <v>0</v>
      </c>
      <c r="G475" s="24">
        <f t="shared" si="125"/>
        <v>1</v>
      </c>
      <c r="H475" s="20">
        <f t="shared" si="131"/>
        <v>339999.99999999988</v>
      </c>
      <c r="I475" s="2">
        <f>MAX(Assumptions!$D$8-SUM(Model_15y!H475), 0)</f>
        <v>1.1641532182693481E-10</v>
      </c>
      <c r="J475" s="2">
        <f>J474*(1+(Assumptions!$E$51))</f>
        <v>2908040.6190807563</v>
      </c>
      <c r="K475" s="22">
        <f t="shared" si="120"/>
        <v>2908040.6190807563</v>
      </c>
      <c r="L475" s="5">
        <f t="shared" si="132"/>
        <v>425000</v>
      </c>
      <c r="M475" s="63">
        <f>L475/Assumptions!$D$6</f>
        <v>1</v>
      </c>
      <c r="N475" s="24">
        <f t="shared" si="136"/>
        <v>0</v>
      </c>
      <c r="O475" s="22">
        <f>N475*Assumptions!$E$25*-1</f>
        <v>0</v>
      </c>
      <c r="P475" s="5">
        <f>Assumptions!$E$35*J475*-1</f>
        <v>-5990.0875413584799</v>
      </c>
      <c r="Q475" s="5">
        <f>J475*Assumptions!$E$36*-1</f>
        <v>-2412.3305315942966</v>
      </c>
      <c r="R475" s="5">
        <f>R463+R463*Assumptions!$D$51</f>
        <v>-2178.4853959185712</v>
      </c>
      <c r="S475" s="5">
        <f>S463+(S463*Assumptions!$D$51)</f>
        <v>0</v>
      </c>
      <c r="T475" s="5">
        <f t="shared" si="126"/>
        <v>0</v>
      </c>
      <c r="U475" s="22">
        <f t="shared" si="121"/>
        <v>-10580.903468871347</v>
      </c>
      <c r="V475" s="5">
        <f>MAX(Assumptions!$E$18:$E$19)-U475</f>
        <v>13422.536480670044</v>
      </c>
      <c r="W475" s="5">
        <f t="shared" si="122"/>
        <v>0</v>
      </c>
      <c r="X475" s="5">
        <f t="shared" si="127"/>
        <v>-10580.903468871347</v>
      </c>
      <c r="Y475" s="5">
        <f>D475*Assumptions!$D$44*-1</f>
        <v>0</v>
      </c>
      <c r="Z475" s="5">
        <f t="shared" si="123"/>
        <v>2841.6330117986963</v>
      </c>
      <c r="AA475" s="5">
        <f t="shared" si="133"/>
        <v>3042544.3075801837</v>
      </c>
      <c r="AB475" s="3">
        <f>Assumptions!$E$45</f>
        <v>6.9899151946608562E-3</v>
      </c>
      <c r="AC475" s="5">
        <f t="shared" si="134"/>
        <v>3066653.0672779661</v>
      </c>
      <c r="AD475" s="4">
        <f>AC475*Assumptions!$E$43</f>
        <v>2746.4193523869731</v>
      </c>
      <c r="AE475" s="2">
        <f>AD475*Assumptions!$D$44*-1</f>
        <v>-411.96290285804594</v>
      </c>
      <c r="AF475" s="2">
        <f>AC475*Assumptions!$E$46*-1</f>
        <v>-102.20303303975844</v>
      </c>
      <c r="AG475" s="5">
        <f t="shared" si="135"/>
        <v>3066138.9013420683</v>
      </c>
      <c r="AH475" s="20">
        <f>Model_30y[[#This Row],[Mortgage Payment]]+Model_30y[[#This Row],[Total Upkeep]]+Model_30y[[#This Row],[Monthly Investment]]</f>
        <v>-7739.270457072651</v>
      </c>
      <c r="AI475" s="5">
        <f>Model_Renter!D475*-1</f>
        <v>11539.386394617937</v>
      </c>
      <c r="AJ475" s="5">
        <f t="shared" si="128"/>
        <v>3800.1159375452862</v>
      </c>
    </row>
    <row r="476" spans="1:36" x14ac:dyDescent="0.25">
      <c r="A476" s="17">
        <f t="shared" si="129"/>
        <v>474</v>
      </c>
      <c r="B476" s="17">
        <f t="shared" si="124"/>
        <v>40</v>
      </c>
      <c r="C476" s="23">
        <f>IFERROR(PPMT(Assumptions!$E$17, A476, 180, Assumptions!$D$8), 0)</f>
        <v>0</v>
      </c>
      <c r="D476" s="38">
        <f>IFERROR(IPMT(Assumptions!$E$17,A476,180,Assumptions!$D$8), 0)</f>
        <v>0</v>
      </c>
      <c r="E476" s="2">
        <f t="shared" si="130"/>
        <v>0</v>
      </c>
      <c r="F476" s="2">
        <f>IF(I475&gt;1, Assumptions!$E$19, 0)*-1</f>
        <v>0</v>
      </c>
      <c r="G476" s="24">
        <f t="shared" si="125"/>
        <v>1</v>
      </c>
      <c r="H476" s="20">
        <f t="shared" si="131"/>
        <v>339999.99999999988</v>
      </c>
      <c r="I476" s="2">
        <f>MAX(Assumptions!$D$8-SUM(Model_15y!H476), 0)</f>
        <v>1.1641532182693481E-10</v>
      </c>
      <c r="J476" s="2">
        <f>J475*(1+(Assumptions!$E$51))</f>
        <v>2919888.3365307688</v>
      </c>
      <c r="K476" s="22">
        <f t="shared" si="120"/>
        <v>2919888.3365307688</v>
      </c>
      <c r="L476" s="5">
        <f t="shared" si="132"/>
        <v>425000</v>
      </c>
      <c r="M476" s="63">
        <f>L476/Assumptions!$D$6</f>
        <v>1</v>
      </c>
      <c r="N476" s="24">
        <f t="shared" si="136"/>
        <v>0</v>
      </c>
      <c r="O476" s="22">
        <f>N476*Assumptions!$E$25*-1</f>
        <v>0</v>
      </c>
      <c r="P476" s="5">
        <f>Assumptions!$E$35*J476*-1</f>
        <v>-6014.4918994768641</v>
      </c>
      <c r="Q476" s="5">
        <f>J476*Assumptions!$E$36*-1</f>
        <v>-2422.1586647870863</v>
      </c>
      <c r="R476" s="5">
        <f>R464+R464*Assumptions!$D$51</f>
        <v>-2178.4853959185712</v>
      </c>
      <c r="S476" s="5">
        <f>S464+(S464*Assumptions!$D$51)</f>
        <v>0</v>
      </c>
      <c r="T476" s="5">
        <f t="shared" si="126"/>
        <v>0</v>
      </c>
      <c r="U476" s="22">
        <f t="shared" si="121"/>
        <v>-10615.135960182521</v>
      </c>
      <c r="V476" s="5">
        <f>MAX(Assumptions!$E$18:$E$19)-U476</f>
        <v>13456.768971981217</v>
      </c>
      <c r="W476" s="5">
        <f t="shared" si="122"/>
        <v>0</v>
      </c>
      <c r="X476" s="5">
        <f t="shared" si="127"/>
        <v>-10615.135960182521</v>
      </c>
      <c r="Y476" s="5">
        <f>D476*Assumptions!$D$44*-1</f>
        <v>0</v>
      </c>
      <c r="Z476" s="5">
        <f t="shared" si="123"/>
        <v>2841.6330117986963</v>
      </c>
      <c r="AA476" s="5">
        <f t="shared" si="133"/>
        <v>3066138.9013420683</v>
      </c>
      <c r="AB476" s="3">
        <f>Assumptions!$E$45</f>
        <v>6.9899151946608562E-3</v>
      </c>
      <c r="AC476" s="5">
        <f t="shared" si="134"/>
        <v>3090412.5852492987</v>
      </c>
      <c r="AD476" s="4">
        <f>AC476*Assumptions!$E$43</f>
        <v>2767.6977945609929</v>
      </c>
      <c r="AE476" s="2">
        <f>AD476*Assumptions!$D$44*-1</f>
        <v>-415.15466918414893</v>
      </c>
      <c r="AF476" s="2">
        <f>AC476*Assumptions!$E$46*-1</f>
        <v>-102.9948718121789</v>
      </c>
      <c r="AG476" s="5">
        <f t="shared" si="135"/>
        <v>3089894.4357083025</v>
      </c>
      <c r="AH476" s="20">
        <f>Model_30y[[#This Row],[Mortgage Payment]]+Model_30y[[#This Row],[Total Upkeep]]+Model_30y[[#This Row],[Monthly Investment]]</f>
        <v>-7773.5029483838243</v>
      </c>
      <c r="AI476" s="5">
        <f>Model_Renter!D476*-1</f>
        <v>11539.386394617937</v>
      </c>
      <c r="AJ476" s="5">
        <f t="shared" si="128"/>
        <v>3765.8834462341129</v>
      </c>
    </row>
    <row r="477" spans="1:36" x14ac:dyDescent="0.25">
      <c r="A477" s="17">
        <f t="shared" si="129"/>
        <v>475</v>
      </c>
      <c r="B477" s="17">
        <f t="shared" si="124"/>
        <v>40</v>
      </c>
      <c r="C477" s="23">
        <f>IFERROR(PPMT(Assumptions!$E$17, A477, 180, Assumptions!$D$8), 0)</f>
        <v>0</v>
      </c>
      <c r="D477" s="38">
        <f>IFERROR(IPMT(Assumptions!$E$17,A477,180,Assumptions!$D$8), 0)</f>
        <v>0</v>
      </c>
      <c r="E477" s="2">
        <f t="shared" si="130"/>
        <v>0</v>
      </c>
      <c r="F477" s="2">
        <f>IF(I476&gt;1, Assumptions!$E$19, 0)*-1</f>
        <v>0</v>
      </c>
      <c r="G477" s="24">
        <f t="shared" si="125"/>
        <v>1</v>
      </c>
      <c r="H477" s="20">
        <f t="shared" si="131"/>
        <v>339999.99999999988</v>
      </c>
      <c r="I477" s="2">
        <f>MAX(Assumptions!$D$8-SUM(Model_15y!H477), 0)</f>
        <v>1.1641532182693481E-10</v>
      </c>
      <c r="J477" s="2">
        <f>J476*(1+(Assumptions!$E$51))</f>
        <v>2931784.3230482261</v>
      </c>
      <c r="K477" s="22">
        <f t="shared" si="120"/>
        <v>2931784.3230482261</v>
      </c>
      <c r="L477" s="5">
        <f t="shared" si="132"/>
        <v>425000</v>
      </c>
      <c r="M477" s="63">
        <f>L477/Assumptions!$D$6</f>
        <v>1</v>
      </c>
      <c r="N477" s="24">
        <f t="shared" si="136"/>
        <v>0</v>
      </c>
      <c r="O477" s="22">
        <f>N477*Assumptions!$E$25*-1</f>
        <v>0</v>
      </c>
      <c r="P477" s="5">
        <f>Assumptions!$E$35*J477*-1</f>
        <v>-6038.9956839710831</v>
      </c>
      <c r="Q477" s="5">
        <f>J477*Assumptions!$E$36*-1</f>
        <v>-2432.026839011065</v>
      </c>
      <c r="R477" s="5">
        <f>R465+R465*Assumptions!$D$51</f>
        <v>-2178.4853959185712</v>
      </c>
      <c r="S477" s="5">
        <f>S465+(S465*Assumptions!$D$51)</f>
        <v>0</v>
      </c>
      <c r="T477" s="5">
        <f t="shared" si="126"/>
        <v>0</v>
      </c>
      <c r="U477" s="22">
        <f t="shared" si="121"/>
        <v>-10649.507918900719</v>
      </c>
      <c r="V477" s="5">
        <f>MAX(Assumptions!$E$18:$E$19)-U477</f>
        <v>13491.140930699416</v>
      </c>
      <c r="W477" s="5">
        <f t="shared" si="122"/>
        <v>0</v>
      </c>
      <c r="X477" s="5">
        <f t="shared" si="127"/>
        <v>-10649.507918900719</v>
      </c>
      <c r="Y477" s="5">
        <f>D477*Assumptions!$D$44*-1</f>
        <v>0</v>
      </c>
      <c r="Z477" s="5">
        <f t="shared" si="123"/>
        <v>2841.6330117986963</v>
      </c>
      <c r="AA477" s="5">
        <f t="shared" si="133"/>
        <v>3089894.4357083025</v>
      </c>
      <c r="AB477" s="3">
        <f>Assumptions!$E$45</f>
        <v>6.9899151946608562E-3</v>
      </c>
      <c r="AC477" s="5">
        <f t="shared" si="134"/>
        <v>3114334.1687861569</v>
      </c>
      <c r="AD477" s="4">
        <f>AC477*Assumptions!$E$43</f>
        <v>2789.1213786848025</v>
      </c>
      <c r="AE477" s="2">
        <f>AD477*Assumptions!$D$44*-1</f>
        <v>-418.36820680272035</v>
      </c>
      <c r="AF477" s="2">
        <f>AC477*Assumptions!$E$46*-1</f>
        <v>-103.79211177996925</v>
      </c>
      <c r="AG477" s="5">
        <f t="shared" si="135"/>
        <v>3113812.0084675741</v>
      </c>
      <c r="AH477" s="20">
        <f>Model_30y[[#This Row],[Mortgage Payment]]+Model_30y[[#This Row],[Total Upkeep]]+Model_30y[[#This Row],[Monthly Investment]]</f>
        <v>-7807.8749071020229</v>
      </c>
      <c r="AI477" s="5">
        <f>Model_Renter!D477*-1</f>
        <v>11539.386394617937</v>
      </c>
      <c r="AJ477" s="5">
        <f t="shared" si="128"/>
        <v>3731.5114875159143</v>
      </c>
    </row>
    <row r="478" spans="1:36" x14ac:dyDescent="0.25">
      <c r="A478" s="17">
        <f t="shared" si="129"/>
        <v>476</v>
      </c>
      <c r="B478" s="17">
        <f t="shared" si="124"/>
        <v>40</v>
      </c>
      <c r="C478" s="23">
        <f>IFERROR(PPMT(Assumptions!$E$17, A478, 180, Assumptions!$D$8), 0)</f>
        <v>0</v>
      </c>
      <c r="D478" s="38">
        <f>IFERROR(IPMT(Assumptions!$E$17,A478,180,Assumptions!$D$8), 0)</f>
        <v>0</v>
      </c>
      <c r="E478" s="2">
        <f t="shared" si="130"/>
        <v>0</v>
      </c>
      <c r="F478" s="2">
        <f>IF(I477&gt;1, Assumptions!$E$19, 0)*-1</f>
        <v>0</v>
      </c>
      <c r="G478" s="24">
        <f t="shared" si="125"/>
        <v>1</v>
      </c>
      <c r="H478" s="20">
        <f t="shared" si="131"/>
        <v>339999.99999999988</v>
      </c>
      <c r="I478" s="2">
        <f>MAX(Assumptions!$D$8-SUM(Model_15y!H478), 0)</f>
        <v>1.1641532182693481E-10</v>
      </c>
      <c r="J478" s="2">
        <f>J477*(1+(Assumptions!$E$51))</f>
        <v>2943728.7752872841</v>
      </c>
      <c r="K478" s="22">
        <f t="shared" si="120"/>
        <v>2943728.7752872841</v>
      </c>
      <c r="L478" s="5">
        <f t="shared" si="132"/>
        <v>425000</v>
      </c>
      <c r="M478" s="63">
        <f>L478/Assumptions!$D$6</f>
        <v>1</v>
      </c>
      <c r="N478" s="24">
        <f t="shared" si="136"/>
        <v>0</v>
      </c>
      <c r="O478" s="22">
        <f>N478*Assumptions!$E$25*-1</f>
        <v>0</v>
      </c>
      <c r="P478" s="5">
        <f>Assumptions!$E$35*J478*-1</f>
        <v>-6063.5992999164991</v>
      </c>
      <c r="Q478" s="5">
        <f>J478*Assumptions!$E$36*-1</f>
        <v>-2441.9352173983511</v>
      </c>
      <c r="R478" s="5">
        <f>R466+R466*Assumptions!$D$51</f>
        <v>-2178.4853959185712</v>
      </c>
      <c r="S478" s="5">
        <f>S466+(S466*Assumptions!$D$51)</f>
        <v>0</v>
      </c>
      <c r="T478" s="5">
        <f t="shared" si="126"/>
        <v>0</v>
      </c>
      <c r="U478" s="22">
        <f t="shared" si="121"/>
        <v>-10684.019913233422</v>
      </c>
      <c r="V478" s="5">
        <f>MAX(Assumptions!$E$18:$E$19)-U478</f>
        <v>13525.652925032118</v>
      </c>
      <c r="W478" s="5">
        <f t="shared" si="122"/>
        <v>0</v>
      </c>
      <c r="X478" s="5">
        <f t="shared" si="127"/>
        <v>-10684.019913233422</v>
      </c>
      <c r="Y478" s="5">
        <f>D478*Assumptions!$D$44*-1</f>
        <v>0</v>
      </c>
      <c r="Z478" s="5">
        <f t="shared" si="123"/>
        <v>2841.6330117986963</v>
      </c>
      <c r="AA478" s="5">
        <f t="shared" si="133"/>
        <v>3113812.0084675741</v>
      </c>
      <c r="AB478" s="3">
        <f>Assumptions!$E$45</f>
        <v>6.9899151946608562E-3</v>
      </c>
      <c r="AC478" s="5">
        <f t="shared" si="134"/>
        <v>3138418.9233506778</v>
      </c>
      <c r="AD478" s="4">
        <f>AC478*Assumptions!$E$43</f>
        <v>2810.691094783208</v>
      </c>
      <c r="AE478" s="2">
        <f>AD478*Assumptions!$D$44*-1</f>
        <v>-421.6036642174812</v>
      </c>
      <c r="AF478" s="2">
        <f>AC478*Assumptions!$E$46*-1</f>
        <v>-104.59478978511351</v>
      </c>
      <c r="AG478" s="5">
        <f t="shared" si="135"/>
        <v>3137892.7248966754</v>
      </c>
      <c r="AH478" s="20">
        <f>Model_30y[[#This Row],[Mortgage Payment]]+Model_30y[[#This Row],[Total Upkeep]]+Model_30y[[#This Row],[Monthly Investment]]</f>
        <v>-7842.3869014347256</v>
      </c>
      <c r="AI478" s="5">
        <f>Model_Renter!D478*-1</f>
        <v>11539.386394617937</v>
      </c>
      <c r="AJ478" s="5">
        <f t="shared" si="128"/>
        <v>3696.9994931832116</v>
      </c>
    </row>
    <row r="479" spans="1:36" x14ac:dyDescent="0.25">
      <c r="A479" s="17">
        <f t="shared" si="129"/>
        <v>477</v>
      </c>
      <c r="B479" s="17">
        <f t="shared" si="124"/>
        <v>40</v>
      </c>
      <c r="C479" s="23">
        <f>IFERROR(PPMT(Assumptions!$E$17, A479, 180, Assumptions!$D$8), 0)</f>
        <v>0</v>
      </c>
      <c r="D479" s="38">
        <f>IFERROR(IPMT(Assumptions!$E$17,A479,180,Assumptions!$D$8), 0)</f>
        <v>0</v>
      </c>
      <c r="E479" s="2">
        <f t="shared" si="130"/>
        <v>0</v>
      </c>
      <c r="F479" s="2">
        <f>IF(I478&gt;1, Assumptions!$E$19, 0)*-1</f>
        <v>0</v>
      </c>
      <c r="G479" s="24">
        <f t="shared" si="125"/>
        <v>1</v>
      </c>
      <c r="H479" s="20">
        <f t="shared" si="131"/>
        <v>339999.99999999988</v>
      </c>
      <c r="I479" s="2">
        <f>MAX(Assumptions!$D$8-SUM(Model_15y!H479), 0)</f>
        <v>1.1641532182693481E-10</v>
      </c>
      <c r="J479" s="2">
        <f>J478*(1+(Assumptions!$E$51))</f>
        <v>2955721.8907032921</v>
      </c>
      <c r="K479" s="22">
        <f t="shared" si="120"/>
        <v>2955721.8907032921</v>
      </c>
      <c r="L479" s="5">
        <f t="shared" si="132"/>
        <v>425000</v>
      </c>
      <c r="M479" s="63">
        <f>L479/Assumptions!$D$6</f>
        <v>1</v>
      </c>
      <c r="N479" s="24">
        <f t="shared" si="136"/>
        <v>0</v>
      </c>
      <c r="O479" s="22">
        <f>N479*Assumptions!$E$25*-1</f>
        <v>0</v>
      </c>
      <c r="P479" s="5">
        <f>Assumptions!$E$35*J479*-1</f>
        <v>-6088.3031540388029</v>
      </c>
      <c r="Q479" s="5">
        <f>J479*Assumptions!$E$36*-1</f>
        <v>-2451.8839637456822</v>
      </c>
      <c r="R479" s="5">
        <f>R467+R467*Assumptions!$D$51</f>
        <v>-2178.4853959185712</v>
      </c>
      <c r="S479" s="5">
        <f>S467+(S467*Assumptions!$D$51)</f>
        <v>0</v>
      </c>
      <c r="T479" s="5">
        <f t="shared" si="126"/>
        <v>0</v>
      </c>
      <c r="U479" s="22">
        <f t="shared" si="121"/>
        <v>-10718.672513703055</v>
      </c>
      <c r="V479" s="5">
        <f>MAX(Assumptions!$E$18:$E$19)-U479</f>
        <v>13560.305525501752</v>
      </c>
      <c r="W479" s="5">
        <f t="shared" si="122"/>
        <v>0</v>
      </c>
      <c r="X479" s="5">
        <f t="shared" si="127"/>
        <v>-10718.672513703055</v>
      </c>
      <c r="Y479" s="5">
        <f>D479*Assumptions!$D$44*-1</f>
        <v>0</v>
      </c>
      <c r="Z479" s="5">
        <f t="shared" si="123"/>
        <v>2841.6330117986963</v>
      </c>
      <c r="AA479" s="5">
        <f t="shared" si="133"/>
        <v>3137892.7248966754</v>
      </c>
      <c r="AB479" s="3">
        <f>Assumptions!$E$45</f>
        <v>6.9899151946608562E-3</v>
      </c>
      <c r="AC479" s="5">
        <f t="shared" si="134"/>
        <v>3162667.9619454453</v>
      </c>
      <c r="AD479" s="4">
        <f>AC479*Assumptions!$E$43</f>
        <v>2832.4079396340549</v>
      </c>
      <c r="AE479" s="2">
        <f>AD479*Assumptions!$D$44*-1</f>
        <v>-424.86119094510821</v>
      </c>
      <c r="AF479" s="2">
        <f>AC479*Assumptions!$E$46*-1</f>
        <v>-105.40294292089786</v>
      </c>
      <c r="AG479" s="5">
        <f t="shared" si="135"/>
        <v>3162137.6978115793</v>
      </c>
      <c r="AH479" s="20">
        <f>Model_30y[[#This Row],[Mortgage Payment]]+Model_30y[[#This Row],[Total Upkeep]]+Model_30y[[#This Row],[Monthly Investment]]</f>
        <v>-7877.039501904359</v>
      </c>
      <c r="AI479" s="5">
        <f>Model_Renter!D479*-1</f>
        <v>11539.386394617937</v>
      </c>
      <c r="AJ479" s="5">
        <f t="shared" si="128"/>
        <v>3662.3468927135782</v>
      </c>
    </row>
    <row r="480" spans="1:36" x14ac:dyDescent="0.25">
      <c r="A480" s="17">
        <f t="shared" si="129"/>
        <v>478</v>
      </c>
      <c r="B480" s="17">
        <f t="shared" si="124"/>
        <v>40</v>
      </c>
      <c r="C480" s="23">
        <f>IFERROR(PPMT(Assumptions!$E$17, A480, 180, Assumptions!$D$8), 0)</f>
        <v>0</v>
      </c>
      <c r="D480" s="38">
        <f>IFERROR(IPMT(Assumptions!$E$17,A480,180,Assumptions!$D$8), 0)</f>
        <v>0</v>
      </c>
      <c r="E480" s="2">
        <f t="shared" si="130"/>
        <v>0</v>
      </c>
      <c r="F480" s="2">
        <f>IF(I479&gt;1, Assumptions!$E$19, 0)*-1</f>
        <v>0</v>
      </c>
      <c r="G480" s="24">
        <f t="shared" si="125"/>
        <v>1</v>
      </c>
      <c r="H480" s="20">
        <f t="shared" si="131"/>
        <v>339999.99999999988</v>
      </c>
      <c r="I480" s="2">
        <f>MAX(Assumptions!$D$8-SUM(Model_15y!H480), 0)</f>
        <v>1.1641532182693481E-10</v>
      </c>
      <c r="J480" s="2">
        <f>J479*(1+(Assumptions!$E$51))</f>
        <v>2967763.8675560565</v>
      </c>
      <c r="K480" s="22">
        <f t="shared" si="120"/>
        <v>2967763.8675560565</v>
      </c>
      <c r="L480" s="5">
        <f t="shared" si="132"/>
        <v>425000</v>
      </c>
      <c r="M480" s="63">
        <f>L480/Assumptions!$D$6</f>
        <v>1</v>
      </c>
      <c r="N480" s="24">
        <f t="shared" si="136"/>
        <v>0</v>
      </c>
      <c r="O480" s="22">
        <f>N480*Assumptions!$E$25*-1</f>
        <v>0</v>
      </c>
      <c r="P480" s="5">
        <f>Assumptions!$E$35*J480*-1</f>
        <v>-6113.1076547207331</v>
      </c>
      <c r="Q480" s="5">
        <f>J480*Assumptions!$E$36*-1</f>
        <v>-2461.8732425171247</v>
      </c>
      <c r="R480" s="5">
        <f>R468+R468*Assumptions!$D$51</f>
        <v>-2178.4853959185712</v>
      </c>
      <c r="S480" s="5">
        <f>S468+(S468*Assumptions!$D$51)</f>
        <v>0</v>
      </c>
      <c r="T480" s="5">
        <f t="shared" si="126"/>
        <v>0</v>
      </c>
      <c r="U480" s="22">
        <f t="shared" si="121"/>
        <v>-10753.466293156429</v>
      </c>
      <c r="V480" s="5">
        <f>MAX(Assumptions!$E$18:$E$19)-U480</f>
        <v>13595.099304955125</v>
      </c>
      <c r="W480" s="5">
        <f t="shared" si="122"/>
        <v>0</v>
      </c>
      <c r="X480" s="5">
        <f t="shared" si="127"/>
        <v>-10753.466293156429</v>
      </c>
      <c r="Y480" s="5">
        <f>D480*Assumptions!$D$44*-1</f>
        <v>0</v>
      </c>
      <c r="Z480" s="5">
        <f t="shared" si="123"/>
        <v>2841.6330117986963</v>
      </c>
      <c r="AA480" s="5">
        <f t="shared" si="133"/>
        <v>3162137.6978115793</v>
      </c>
      <c r="AB480" s="3">
        <f>Assumptions!$E$45</f>
        <v>6.9899151946608562E-3</v>
      </c>
      <c r="AC480" s="5">
        <f t="shared" si="134"/>
        <v>3187082.4051649212</v>
      </c>
      <c r="AD480" s="4">
        <f>AC480*Assumptions!$E$43</f>
        <v>2854.2729168142869</v>
      </c>
      <c r="AE480" s="2">
        <f>AD480*Assumptions!$D$44*-1</f>
        <v>-428.14093752214302</v>
      </c>
      <c r="AF480" s="2">
        <f>AC480*Assumptions!$E$46*-1</f>
        <v>-106.21660853362471</v>
      </c>
      <c r="AG480" s="5">
        <f t="shared" si="135"/>
        <v>3186548.0476188655</v>
      </c>
      <c r="AH480" s="20">
        <f>Model_30y[[#This Row],[Mortgage Payment]]+Model_30y[[#This Row],[Total Upkeep]]+Model_30y[[#This Row],[Monthly Investment]]</f>
        <v>-7911.8332813577326</v>
      </c>
      <c r="AI480" s="5">
        <f>Model_Renter!D480*-1</f>
        <v>11539.386394617937</v>
      </c>
      <c r="AJ480" s="5">
        <f t="shared" si="128"/>
        <v>3627.5531132602046</v>
      </c>
    </row>
    <row r="481" spans="1:36" x14ac:dyDescent="0.25">
      <c r="A481" s="17">
        <f t="shared" si="129"/>
        <v>479</v>
      </c>
      <c r="B481" s="17">
        <f t="shared" si="124"/>
        <v>40</v>
      </c>
      <c r="C481" s="23">
        <f>IFERROR(PPMT(Assumptions!$E$17, A481, 180, Assumptions!$D$8), 0)</f>
        <v>0</v>
      </c>
      <c r="D481" s="38">
        <f>IFERROR(IPMT(Assumptions!$E$17,A481,180,Assumptions!$D$8), 0)</f>
        <v>0</v>
      </c>
      <c r="E481" s="2">
        <f t="shared" si="130"/>
        <v>0</v>
      </c>
      <c r="F481" s="2">
        <f>IF(I480&gt;1, Assumptions!$E$19, 0)*-1</f>
        <v>0</v>
      </c>
      <c r="G481" s="24">
        <f t="shared" si="125"/>
        <v>1</v>
      </c>
      <c r="H481" s="20">
        <f t="shared" si="131"/>
        <v>339999.99999999988</v>
      </c>
      <c r="I481" s="2">
        <f>MAX(Assumptions!$D$8-SUM(Model_15y!H481), 0)</f>
        <v>1.1641532182693481E-10</v>
      </c>
      <c r="J481" s="2">
        <f>J480*(1+(Assumptions!$E$51))</f>
        <v>2979854.904913119</v>
      </c>
      <c r="K481" s="22">
        <f t="shared" si="120"/>
        <v>2979854.904913119</v>
      </c>
      <c r="L481" s="5">
        <f t="shared" si="132"/>
        <v>425000</v>
      </c>
      <c r="M481" s="63">
        <f>L481/Assumptions!$D$6</f>
        <v>1</v>
      </c>
      <c r="N481" s="24">
        <f t="shared" si="136"/>
        <v>0</v>
      </c>
      <c r="O481" s="22">
        <f>N481*Assumptions!$E$25*-1</f>
        <v>0</v>
      </c>
      <c r="P481" s="5">
        <f>Assumptions!$E$35*J481*-1</f>
        <v>-6138.0132120088347</v>
      </c>
      <c r="Q481" s="5">
        <f>J481*Assumptions!$E$36*-1</f>
        <v>-2471.9032188467913</v>
      </c>
      <c r="R481" s="5">
        <f>R469+R469*Assumptions!$D$51</f>
        <v>-2178.4853959185712</v>
      </c>
      <c r="S481" s="5">
        <f>S469+(S469*Assumptions!$D$51)</f>
        <v>0</v>
      </c>
      <c r="T481" s="5">
        <f t="shared" si="126"/>
        <v>0</v>
      </c>
      <c r="U481" s="22">
        <f t="shared" si="121"/>
        <v>-10788.401826774198</v>
      </c>
      <c r="V481" s="5">
        <f>MAX(Assumptions!$E$18:$E$19)-U481</f>
        <v>13630.034838572894</v>
      </c>
      <c r="W481" s="5">
        <f t="shared" si="122"/>
        <v>0</v>
      </c>
      <c r="X481" s="5">
        <f t="shared" si="127"/>
        <v>-10788.401826774198</v>
      </c>
      <c r="Y481" s="5">
        <f>D481*Assumptions!$D$44*-1</f>
        <v>0</v>
      </c>
      <c r="Z481" s="5">
        <f t="shared" si="123"/>
        <v>2841.6330117986963</v>
      </c>
      <c r="AA481" s="5">
        <f t="shared" si="133"/>
        <v>3186548.0476188655</v>
      </c>
      <c r="AB481" s="3">
        <f>Assumptions!$E$45</f>
        <v>6.9899151946608562E-3</v>
      </c>
      <c r="AC481" s="5">
        <f t="shared" si="134"/>
        <v>3211663.3812472322</v>
      </c>
      <c r="AD481" s="4">
        <f>AC481*Assumptions!$E$43</f>
        <v>2876.2870367463283</v>
      </c>
      <c r="AE481" s="2">
        <f>AD481*Assumptions!$D$44*-1</f>
        <v>-431.44305551194924</v>
      </c>
      <c r="AF481" s="2">
        <f>AC481*Assumptions!$E$46*-1</f>
        <v>-107.03582422433858</v>
      </c>
      <c r="AG481" s="5">
        <f t="shared" si="135"/>
        <v>3211124.9023674959</v>
      </c>
      <c r="AH481" s="20">
        <f>Model_30y[[#This Row],[Mortgage Payment]]+Model_30y[[#This Row],[Total Upkeep]]+Model_30y[[#This Row],[Monthly Investment]]</f>
        <v>-7946.7688149755013</v>
      </c>
      <c r="AI481" s="5">
        <f>Model_Renter!D481*-1</f>
        <v>11539.386394617937</v>
      </c>
      <c r="AJ481" s="5">
        <f t="shared" si="128"/>
        <v>3592.6175796424359</v>
      </c>
    </row>
    <row r="482" spans="1:36" x14ac:dyDescent="0.25">
      <c r="A482" s="17">
        <f t="shared" si="129"/>
        <v>480</v>
      </c>
      <c r="B482" s="17">
        <f t="shared" si="124"/>
        <v>40</v>
      </c>
      <c r="C482" s="23">
        <f>IFERROR(PPMT(Assumptions!$E$17, A482, 180, Assumptions!$D$8), 0)</f>
        <v>0</v>
      </c>
      <c r="D482" s="38">
        <f>IFERROR(IPMT(Assumptions!$E$17,A482,180,Assumptions!$D$8), 0)</f>
        <v>0</v>
      </c>
      <c r="E482" s="2">
        <f t="shared" si="130"/>
        <v>0</v>
      </c>
      <c r="F482" s="2">
        <f>IF(I481&gt;1, Assumptions!$E$19, 0)*-1</f>
        <v>0</v>
      </c>
      <c r="G482" s="24">
        <f t="shared" si="125"/>
        <v>1</v>
      </c>
      <c r="H482" s="20">
        <f t="shared" si="131"/>
        <v>339999.99999999988</v>
      </c>
      <c r="I482" s="2">
        <f>MAX(Assumptions!$D$8-SUM(Model_15y!H482), 0)</f>
        <v>1.1641532182693481E-10</v>
      </c>
      <c r="J482" s="2">
        <f>J481*(1+(Assumptions!$E$51))</f>
        <v>2991995.2026530467</v>
      </c>
      <c r="K482" s="22">
        <f t="shared" si="120"/>
        <v>2991995.2026530467</v>
      </c>
      <c r="L482" s="5">
        <f t="shared" si="132"/>
        <v>425000</v>
      </c>
      <c r="M482" s="63">
        <f>L482/Assumptions!$D$6</f>
        <v>1</v>
      </c>
      <c r="N482" s="24">
        <f t="shared" si="136"/>
        <v>0</v>
      </c>
      <c r="O482" s="22">
        <f>N482*Assumptions!$E$25*-1</f>
        <v>0</v>
      </c>
      <c r="P482" s="5">
        <f>Assumptions!$E$35*J482*-1</f>
        <v>-6163.0202376202269</v>
      </c>
      <c r="Q482" s="5">
        <f>J482*Assumptions!$E$36*-1</f>
        <v>-2481.9740585415716</v>
      </c>
      <c r="R482" s="5">
        <f>R470+R470*Assumptions!$D$51</f>
        <v>-2178.4853959185712</v>
      </c>
      <c r="S482" s="5">
        <f>S470+(S470*Assumptions!$D$51)</f>
        <v>0</v>
      </c>
      <c r="T482" s="5">
        <f t="shared" si="126"/>
        <v>0</v>
      </c>
      <c r="U482" s="22">
        <f t="shared" si="121"/>
        <v>-10823.479692080369</v>
      </c>
      <c r="V482" s="5">
        <f>MAX(Assumptions!$E$18:$E$19)-U482</f>
        <v>13665.112703879066</v>
      </c>
      <c r="W482" s="5">
        <f t="shared" si="122"/>
        <v>0</v>
      </c>
      <c r="X482" s="5">
        <f t="shared" si="127"/>
        <v>-10823.479692080369</v>
      </c>
      <c r="Y482" s="5">
        <f>D482*Assumptions!$D$44*-1</f>
        <v>0</v>
      </c>
      <c r="Z482" s="5">
        <f t="shared" si="123"/>
        <v>2841.6330117986963</v>
      </c>
      <c r="AA482" s="5">
        <f t="shared" si="133"/>
        <v>3211124.9023674959</v>
      </c>
      <c r="AB482" s="3">
        <f>Assumptions!$E$45</f>
        <v>6.9899151946608562E-3</v>
      </c>
      <c r="AC482" s="5">
        <f t="shared" si="134"/>
        <v>3236412.026126307</v>
      </c>
      <c r="AD482" s="4">
        <f>AC482*Assumptions!$E$43</f>
        <v>2898.4513167447749</v>
      </c>
      <c r="AE482" s="2">
        <f>AD482*Assumptions!$D$44*-1</f>
        <v>-434.76769751171622</v>
      </c>
      <c r="AF482" s="2">
        <f>AC482*Assumptions!$E$46*-1</f>
        <v>-107.86062785056373</v>
      </c>
      <c r="AG482" s="5">
        <f t="shared" si="135"/>
        <v>3235869.3978009447</v>
      </c>
      <c r="AH482" s="20">
        <f>Model_30y[[#This Row],[Mortgage Payment]]+Model_30y[[#This Row],[Total Upkeep]]+Model_30y[[#This Row],[Monthly Investment]]</f>
        <v>-7981.8466802816729</v>
      </c>
      <c r="AI482" s="5">
        <f>Model_Renter!D482*-1</f>
        <v>11539.386394617937</v>
      </c>
      <c r="AJ482" s="5">
        <f t="shared" si="128"/>
        <v>3557.5397143362643</v>
      </c>
    </row>
    <row r="483" spans="1:36" x14ac:dyDescent="0.25">
      <c r="A483" s="17">
        <f t="shared" si="129"/>
        <v>481</v>
      </c>
      <c r="B483" s="17">
        <f t="shared" si="124"/>
        <v>41</v>
      </c>
      <c r="C483" s="23">
        <f>IFERROR(PPMT(Assumptions!$E$17, A483, 180, Assumptions!$D$8), 0)</f>
        <v>0</v>
      </c>
      <c r="D483" s="38">
        <f>IFERROR(IPMT(Assumptions!$E$17,A483,180,Assumptions!$D$8), 0)</f>
        <v>0</v>
      </c>
      <c r="E483" s="2">
        <f t="shared" si="130"/>
        <v>0</v>
      </c>
      <c r="F483" s="2">
        <f>IF(I482&gt;1, Assumptions!$E$19, 0)*-1</f>
        <v>0</v>
      </c>
      <c r="G483" s="24">
        <f t="shared" si="125"/>
        <v>1</v>
      </c>
      <c r="H483" s="20">
        <f t="shared" si="131"/>
        <v>339999.99999999988</v>
      </c>
      <c r="I483" s="2">
        <f>MAX(Assumptions!$D$8-SUM(Model_15y!H483), 0)</f>
        <v>1.1641532182693481E-10</v>
      </c>
      <c r="J483" s="2">
        <f>J482*(1+(Assumptions!$E$51))</f>
        <v>3004184.9614687371</v>
      </c>
      <c r="K483" s="22">
        <f t="shared" si="120"/>
        <v>3004184.9614687371</v>
      </c>
      <c r="L483" s="5">
        <f t="shared" si="132"/>
        <v>425000</v>
      </c>
      <c r="M483" s="63">
        <f>L483/Assumptions!$D$6</f>
        <v>1</v>
      </c>
      <c r="N483" s="24">
        <f t="shared" si="136"/>
        <v>0</v>
      </c>
      <c r="O483" s="22">
        <f>N483*Assumptions!$E$25*-1</f>
        <v>0</v>
      </c>
      <c r="P483" s="5">
        <f>Assumptions!$E$35*J483*-1</f>
        <v>-6188.1291449494211</v>
      </c>
      <c r="Q483" s="5">
        <f>J483*Assumptions!$E$36*-1</f>
        <v>-2492.085928083874</v>
      </c>
      <c r="R483" s="5">
        <f>R471+R471*Assumptions!$D$51</f>
        <v>-2287.4096657144996</v>
      </c>
      <c r="S483" s="5">
        <f>S471+(S471*Assumptions!$D$51)</f>
        <v>0</v>
      </c>
      <c r="T483" s="5">
        <f t="shared" si="126"/>
        <v>0</v>
      </c>
      <c r="U483" s="22">
        <f t="shared" si="121"/>
        <v>-10967.624738747794</v>
      </c>
      <c r="V483" s="5">
        <f>MAX(Assumptions!$E$18:$E$19)-U483</f>
        <v>13809.257750546491</v>
      </c>
      <c r="W483" s="5">
        <f t="shared" si="122"/>
        <v>0</v>
      </c>
      <c r="X483" s="5">
        <f t="shared" si="127"/>
        <v>-10967.624738747794</v>
      </c>
      <c r="Y483" s="5">
        <f>D483*Assumptions!$D$44*-1</f>
        <v>0</v>
      </c>
      <c r="Z483" s="5">
        <f t="shared" si="123"/>
        <v>2841.6330117986963</v>
      </c>
      <c r="AA483" s="5">
        <f t="shared" si="133"/>
        <v>3235869.3978009447</v>
      </c>
      <c r="AB483" s="3">
        <f>Assumptions!$E$45</f>
        <v>6.9899151946608562E-3</v>
      </c>
      <c r="AC483" s="5">
        <f t="shared" si="134"/>
        <v>3261329.4834843706</v>
      </c>
      <c r="AD483" s="4">
        <f>AC483*Assumptions!$E$43</f>
        <v>2920.7667810634061</v>
      </c>
      <c r="AE483" s="2">
        <f>AD483*Assumptions!$D$44*-1</f>
        <v>-438.1150171595109</v>
      </c>
      <c r="AF483" s="2">
        <f>AC483*Assumptions!$E$46*-1</f>
        <v>-108.69105752805361</v>
      </c>
      <c r="AG483" s="5">
        <f t="shared" si="135"/>
        <v>3260782.6774096829</v>
      </c>
      <c r="AH483" s="20">
        <f>Model_30y[[#This Row],[Mortgage Payment]]+Model_30y[[#This Row],[Total Upkeep]]+Model_30y[[#This Row],[Monthly Investment]]</f>
        <v>-8125.9917269490979</v>
      </c>
      <c r="AI483" s="5">
        <f>Model_Renter!D483*-1</f>
        <v>11970.959445776649</v>
      </c>
      <c r="AJ483" s="5">
        <f t="shared" si="128"/>
        <v>3844.9677188275509</v>
      </c>
    </row>
    <row r="484" spans="1:36" x14ac:dyDescent="0.25">
      <c r="A484" s="17">
        <f t="shared" si="129"/>
        <v>482</v>
      </c>
      <c r="B484" s="17">
        <f t="shared" si="124"/>
        <v>41</v>
      </c>
      <c r="C484" s="23">
        <f>IFERROR(PPMT(Assumptions!$E$17, A484, 180, Assumptions!$D$8), 0)</f>
        <v>0</v>
      </c>
      <c r="D484" s="38">
        <f>IFERROR(IPMT(Assumptions!$E$17,A484,180,Assumptions!$D$8), 0)</f>
        <v>0</v>
      </c>
      <c r="E484" s="2">
        <f t="shared" si="130"/>
        <v>0</v>
      </c>
      <c r="F484" s="2">
        <f>IF(I483&gt;1, Assumptions!$E$19, 0)*-1</f>
        <v>0</v>
      </c>
      <c r="G484" s="24">
        <f t="shared" si="125"/>
        <v>1</v>
      </c>
      <c r="H484" s="20">
        <f t="shared" si="131"/>
        <v>339999.99999999988</v>
      </c>
      <c r="I484" s="2">
        <f>MAX(Assumptions!$D$8-SUM(Model_15y!H484), 0)</f>
        <v>1.1641532182693481E-10</v>
      </c>
      <c r="J484" s="2">
        <f>J483*(1+(Assumptions!$E$51))</f>
        <v>3016424.3828707356</v>
      </c>
      <c r="K484" s="22">
        <f t="shared" si="120"/>
        <v>3016424.3828707356</v>
      </c>
      <c r="L484" s="5">
        <f t="shared" si="132"/>
        <v>425000</v>
      </c>
      <c r="M484" s="63">
        <f>L484/Assumptions!$D$6</f>
        <v>1</v>
      </c>
      <c r="N484" s="24">
        <f t="shared" si="136"/>
        <v>0</v>
      </c>
      <c r="O484" s="22">
        <f>N484*Assumptions!$E$25*-1</f>
        <v>0</v>
      </c>
      <c r="P484" s="5">
        <f>Assumptions!$E$35*J484*-1</f>
        <v>-6213.3403490751471</v>
      </c>
      <c r="Q484" s="5">
        <f>J484*Assumptions!$E$36*-1</f>
        <v>-2502.238994634376</v>
      </c>
      <c r="R484" s="5">
        <f>R472+R472*Assumptions!$D$51</f>
        <v>-2287.4096657144996</v>
      </c>
      <c r="S484" s="5">
        <f>S472+(S472*Assumptions!$D$51)</f>
        <v>0</v>
      </c>
      <c r="T484" s="5">
        <f t="shared" si="126"/>
        <v>0</v>
      </c>
      <c r="U484" s="22">
        <f t="shared" si="121"/>
        <v>-11002.989009424024</v>
      </c>
      <c r="V484" s="5">
        <f>MAX(Assumptions!$E$18:$E$19)-U484</f>
        <v>13844.62202122272</v>
      </c>
      <c r="W484" s="5">
        <f t="shared" si="122"/>
        <v>0</v>
      </c>
      <c r="X484" s="5">
        <f t="shared" si="127"/>
        <v>-11002.989009424024</v>
      </c>
      <c r="Y484" s="5">
        <f>D484*Assumptions!$D$44*-1</f>
        <v>0</v>
      </c>
      <c r="Z484" s="5">
        <f t="shared" si="123"/>
        <v>2841.6330117986963</v>
      </c>
      <c r="AA484" s="5">
        <f t="shared" si="133"/>
        <v>3260782.6774096829</v>
      </c>
      <c r="AB484" s="3">
        <f>Assumptions!$E$45</f>
        <v>6.9899151946608562E-3</v>
      </c>
      <c r="AC484" s="5">
        <f t="shared" si="134"/>
        <v>3286416.9048047946</v>
      </c>
      <c r="AD484" s="4">
        <f>AC484*Assumptions!$E$43</f>
        <v>2943.2344609425181</v>
      </c>
      <c r="AE484" s="2">
        <f>AD484*Assumptions!$D$44*-1</f>
        <v>-441.4851691413777</v>
      </c>
      <c r="AF484" s="2">
        <f>AC484*Assumptions!$E$46*-1</f>
        <v>-109.52715163255219</v>
      </c>
      <c r="AG484" s="5">
        <f t="shared" si="135"/>
        <v>3285865.8924840204</v>
      </c>
      <c r="AH484" s="20">
        <f>Model_30y[[#This Row],[Mortgage Payment]]+Model_30y[[#This Row],[Total Upkeep]]+Model_30y[[#This Row],[Monthly Investment]]</f>
        <v>-8161.3559976253273</v>
      </c>
      <c r="AI484" s="5">
        <f>Model_Renter!D484*-1</f>
        <v>11970.959445776649</v>
      </c>
      <c r="AJ484" s="5">
        <f t="shared" si="128"/>
        <v>3809.6034481513216</v>
      </c>
    </row>
    <row r="485" spans="1:36" x14ac:dyDescent="0.25">
      <c r="A485" s="17">
        <f t="shared" si="129"/>
        <v>483</v>
      </c>
      <c r="B485" s="17">
        <f t="shared" si="124"/>
        <v>41</v>
      </c>
      <c r="C485" s="23">
        <f>IFERROR(PPMT(Assumptions!$E$17, A485, 180, Assumptions!$D$8), 0)</f>
        <v>0</v>
      </c>
      <c r="D485" s="38">
        <f>IFERROR(IPMT(Assumptions!$E$17,A485,180,Assumptions!$D$8), 0)</f>
        <v>0</v>
      </c>
      <c r="E485" s="2">
        <f t="shared" si="130"/>
        <v>0</v>
      </c>
      <c r="F485" s="2">
        <f>IF(I484&gt;1, Assumptions!$E$19, 0)*-1</f>
        <v>0</v>
      </c>
      <c r="G485" s="24">
        <f t="shared" si="125"/>
        <v>1</v>
      </c>
      <c r="H485" s="20">
        <f t="shared" si="131"/>
        <v>339999.99999999988</v>
      </c>
      <c r="I485" s="2">
        <f>MAX(Assumptions!$D$8-SUM(Model_15y!H485), 0)</f>
        <v>1.1641532182693481E-10</v>
      </c>
      <c r="J485" s="2">
        <f>J484*(1+(Assumptions!$E$51))</f>
        <v>3028713.6691905661</v>
      </c>
      <c r="K485" s="22">
        <f t="shared" si="120"/>
        <v>3028713.6691905661</v>
      </c>
      <c r="L485" s="5">
        <f t="shared" si="132"/>
        <v>425000</v>
      </c>
      <c r="M485" s="63">
        <f>L485/Assumptions!$D$6</f>
        <v>1</v>
      </c>
      <c r="N485" s="24">
        <f t="shared" si="136"/>
        <v>0</v>
      </c>
      <c r="O485" s="22">
        <f>N485*Assumptions!$E$25*-1</f>
        <v>0</v>
      </c>
      <c r="P485" s="5">
        <f>Assumptions!$E$35*J485*-1</f>
        <v>-6238.6542667672165</v>
      </c>
      <c r="Q485" s="5">
        <f>J485*Assumptions!$E$36*-1</f>
        <v>-2512.4334260347882</v>
      </c>
      <c r="R485" s="5">
        <f>R473+R473*Assumptions!$D$51</f>
        <v>-2287.4096657144996</v>
      </c>
      <c r="S485" s="5">
        <f>S473+(S473*Assumptions!$D$51)</f>
        <v>0</v>
      </c>
      <c r="T485" s="5">
        <f t="shared" si="126"/>
        <v>0</v>
      </c>
      <c r="U485" s="22">
        <f t="shared" si="121"/>
        <v>-11038.497358516504</v>
      </c>
      <c r="V485" s="5">
        <f>MAX(Assumptions!$E$18:$E$19)-U485</f>
        <v>13880.130370315201</v>
      </c>
      <c r="W485" s="5">
        <f t="shared" si="122"/>
        <v>0</v>
      </c>
      <c r="X485" s="5">
        <f t="shared" si="127"/>
        <v>-11038.497358516504</v>
      </c>
      <c r="Y485" s="5">
        <f>D485*Assumptions!$D$44*-1</f>
        <v>0</v>
      </c>
      <c r="Z485" s="5">
        <f t="shared" si="123"/>
        <v>2841.6330117986963</v>
      </c>
      <c r="AA485" s="5">
        <f t="shared" si="133"/>
        <v>3285865.8924840204</v>
      </c>
      <c r="AB485" s="3">
        <f>Assumptions!$E$45</f>
        <v>6.9899151946608562E-3</v>
      </c>
      <c r="AC485" s="5">
        <f t="shared" si="134"/>
        <v>3311675.4494253113</v>
      </c>
      <c r="AD485" s="4">
        <f>AC485*Assumptions!$E$43</f>
        <v>2965.8553946565794</v>
      </c>
      <c r="AE485" s="2">
        <f>AD485*Assumptions!$D$44*-1</f>
        <v>-444.87830919848687</v>
      </c>
      <c r="AF485" s="2">
        <f>AC485*Assumptions!$E$46*-1</f>
        <v>-110.36894880156756</v>
      </c>
      <c r="AG485" s="5">
        <f t="shared" si="135"/>
        <v>3311120.2021673112</v>
      </c>
      <c r="AH485" s="20">
        <f>Model_30y[[#This Row],[Mortgage Payment]]+Model_30y[[#This Row],[Total Upkeep]]+Model_30y[[#This Row],[Monthly Investment]]</f>
        <v>-8196.8643467178081</v>
      </c>
      <c r="AI485" s="5">
        <f>Model_Renter!D485*-1</f>
        <v>11970.959445776649</v>
      </c>
      <c r="AJ485" s="5">
        <f t="shared" si="128"/>
        <v>3774.0950990588408</v>
      </c>
    </row>
    <row r="486" spans="1:36" x14ac:dyDescent="0.25">
      <c r="A486" s="17">
        <f t="shared" si="129"/>
        <v>484</v>
      </c>
      <c r="B486" s="17">
        <f t="shared" si="124"/>
        <v>41</v>
      </c>
      <c r="C486" s="23">
        <f>IFERROR(PPMT(Assumptions!$E$17, A486, 180, Assumptions!$D$8), 0)</f>
        <v>0</v>
      </c>
      <c r="D486" s="38">
        <f>IFERROR(IPMT(Assumptions!$E$17,A486,180,Assumptions!$D$8), 0)</f>
        <v>0</v>
      </c>
      <c r="E486" s="2">
        <f t="shared" si="130"/>
        <v>0</v>
      </c>
      <c r="F486" s="2">
        <f>IF(I485&gt;1, Assumptions!$E$19, 0)*-1</f>
        <v>0</v>
      </c>
      <c r="G486" s="24">
        <f t="shared" si="125"/>
        <v>1</v>
      </c>
      <c r="H486" s="20">
        <f t="shared" si="131"/>
        <v>339999.99999999988</v>
      </c>
      <c r="I486" s="2">
        <f>MAX(Assumptions!$D$8-SUM(Model_15y!H486), 0)</f>
        <v>1.1641532182693481E-10</v>
      </c>
      <c r="J486" s="2">
        <f>J485*(1+(Assumptions!$E$51))</f>
        <v>3041053.0235840762</v>
      </c>
      <c r="K486" s="22">
        <f t="shared" si="120"/>
        <v>3041053.0235840762</v>
      </c>
      <c r="L486" s="5">
        <f t="shared" si="132"/>
        <v>425000</v>
      </c>
      <c r="M486" s="63">
        <f>L486/Assumptions!$D$6</f>
        <v>1</v>
      </c>
      <c r="N486" s="24">
        <f t="shared" si="136"/>
        <v>0</v>
      </c>
      <c r="O486" s="22">
        <f>N486*Assumptions!$E$25*-1</f>
        <v>0</v>
      </c>
      <c r="P486" s="5">
        <f>Assumptions!$E$35*J486*-1</f>
        <v>-6264.0713164934123</v>
      </c>
      <c r="Q486" s="5">
        <f>J486*Assumptions!$E$36*-1</f>
        <v>-2522.6693908106299</v>
      </c>
      <c r="R486" s="5">
        <f>R474+R474*Assumptions!$D$51</f>
        <v>-2287.4096657144996</v>
      </c>
      <c r="S486" s="5">
        <f>S474+(S474*Assumptions!$D$51)</f>
        <v>0</v>
      </c>
      <c r="T486" s="5">
        <f t="shared" si="126"/>
        <v>0</v>
      </c>
      <c r="U486" s="22">
        <f t="shared" si="121"/>
        <v>-11074.150373018541</v>
      </c>
      <c r="V486" s="5">
        <f>MAX(Assumptions!$E$18:$E$19)-U486</f>
        <v>13915.783384817238</v>
      </c>
      <c r="W486" s="5">
        <f t="shared" si="122"/>
        <v>0</v>
      </c>
      <c r="X486" s="5">
        <f t="shared" si="127"/>
        <v>-11074.150373018541</v>
      </c>
      <c r="Y486" s="5">
        <f>D486*Assumptions!$D$44*-1</f>
        <v>0</v>
      </c>
      <c r="Z486" s="5">
        <f t="shared" si="123"/>
        <v>2841.6330117986963</v>
      </c>
      <c r="AA486" s="5">
        <f t="shared" si="133"/>
        <v>3311120.2021673112</v>
      </c>
      <c r="AB486" s="3">
        <f>Assumptions!$E$45</f>
        <v>6.9899151946608562E-3</v>
      </c>
      <c r="AC486" s="5">
        <f t="shared" si="134"/>
        <v>3337106.2845915877</v>
      </c>
      <c r="AD486" s="4">
        <f>AC486*Assumptions!$E$43</f>
        <v>2988.6306275622105</v>
      </c>
      <c r="AE486" s="2">
        <f>AD486*Assumptions!$D$44*-1</f>
        <v>-448.29459413433159</v>
      </c>
      <c r="AF486" s="2">
        <f>AC486*Assumptions!$E$46*-1</f>
        <v>-111.21648793615725</v>
      </c>
      <c r="AG486" s="5">
        <f t="shared" si="135"/>
        <v>3336546.7735095173</v>
      </c>
      <c r="AH486" s="20">
        <f>Model_30y[[#This Row],[Mortgage Payment]]+Model_30y[[#This Row],[Total Upkeep]]+Model_30y[[#This Row],[Monthly Investment]]</f>
        <v>-8232.517361219845</v>
      </c>
      <c r="AI486" s="5">
        <f>Model_Renter!D486*-1</f>
        <v>11970.959445776649</v>
      </c>
      <c r="AJ486" s="5">
        <f t="shared" si="128"/>
        <v>3738.4420845568038</v>
      </c>
    </row>
    <row r="487" spans="1:36" x14ac:dyDescent="0.25">
      <c r="A487" s="17">
        <f t="shared" si="129"/>
        <v>485</v>
      </c>
      <c r="B487" s="17">
        <f t="shared" si="124"/>
        <v>41</v>
      </c>
      <c r="C487" s="23">
        <f>IFERROR(PPMT(Assumptions!$E$17, A487, 180, Assumptions!$D$8), 0)</f>
        <v>0</v>
      </c>
      <c r="D487" s="38">
        <f>IFERROR(IPMT(Assumptions!$E$17,A487,180,Assumptions!$D$8), 0)</f>
        <v>0</v>
      </c>
      <c r="E487" s="2">
        <f t="shared" si="130"/>
        <v>0</v>
      </c>
      <c r="F487" s="2">
        <f>IF(I486&gt;1, Assumptions!$E$19, 0)*-1</f>
        <v>0</v>
      </c>
      <c r="G487" s="24">
        <f t="shared" si="125"/>
        <v>1</v>
      </c>
      <c r="H487" s="20">
        <f t="shared" si="131"/>
        <v>339999.99999999988</v>
      </c>
      <c r="I487" s="2">
        <f>MAX(Assumptions!$D$8-SUM(Model_15y!H487), 0)</f>
        <v>1.1641532182693481E-10</v>
      </c>
      <c r="J487" s="2">
        <f>J486*(1+(Assumptions!$E$51))</f>
        <v>3053442.650034796</v>
      </c>
      <c r="K487" s="22">
        <f t="shared" si="120"/>
        <v>3053442.650034796</v>
      </c>
      <c r="L487" s="5">
        <f t="shared" si="132"/>
        <v>425000</v>
      </c>
      <c r="M487" s="63">
        <f>L487/Assumptions!$D$6</f>
        <v>1</v>
      </c>
      <c r="N487" s="24">
        <f t="shared" si="136"/>
        <v>0</v>
      </c>
      <c r="O487" s="22">
        <f>N487*Assumptions!$E$25*-1</f>
        <v>0</v>
      </c>
      <c r="P487" s="5">
        <f>Assumptions!$E$35*J487*-1</f>
        <v>-6289.5919184264076</v>
      </c>
      <c r="Q487" s="5">
        <f>J487*Assumptions!$E$36*-1</f>
        <v>-2532.9470581740129</v>
      </c>
      <c r="R487" s="5">
        <f>R475+R475*Assumptions!$D$51</f>
        <v>-2287.4096657144996</v>
      </c>
      <c r="S487" s="5">
        <f>S475+(S475*Assumptions!$D$51)</f>
        <v>0</v>
      </c>
      <c r="T487" s="5">
        <f t="shared" si="126"/>
        <v>0</v>
      </c>
      <c r="U487" s="22">
        <f t="shared" si="121"/>
        <v>-11109.948642314921</v>
      </c>
      <c r="V487" s="5">
        <f>MAX(Assumptions!$E$18:$E$19)-U487</f>
        <v>13951.581654113617</v>
      </c>
      <c r="W487" s="5">
        <f t="shared" si="122"/>
        <v>0</v>
      </c>
      <c r="X487" s="5">
        <f t="shared" si="127"/>
        <v>-11109.948642314921</v>
      </c>
      <c r="Y487" s="5">
        <f>D487*Assumptions!$D$44*-1</f>
        <v>0</v>
      </c>
      <c r="Z487" s="5">
        <f t="shared" si="123"/>
        <v>2841.6330117986963</v>
      </c>
      <c r="AA487" s="5">
        <f t="shared" si="133"/>
        <v>3336546.7735095173</v>
      </c>
      <c r="AB487" s="3">
        <f>Assumptions!$E$45</f>
        <v>6.9899151946608562E-3</v>
      </c>
      <c r="AC487" s="5">
        <f t="shared" si="134"/>
        <v>3362710.5855111671</v>
      </c>
      <c r="AD487" s="4">
        <f>AC487*Assumptions!$E$43</f>
        <v>3011.5612121464951</v>
      </c>
      <c r="AE487" s="2">
        <f>AD487*Assumptions!$D$44*-1</f>
        <v>-451.73418182197423</v>
      </c>
      <c r="AF487" s="2">
        <f>AC487*Assumptions!$E$46*-1</f>
        <v>-112.06980820272607</v>
      </c>
      <c r="AG487" s="5">
        <f t="shared" si="135"/>
        <v>3362146.7815211425</v>
      </c>
      <c r="AH487" s="20">
        <f>Model_30y[[#This Row],[Mortgage Payment]]+Model_30y[[#This Row],[Total Upkeep]]+Model_30y[[#This Row],[Monthly Investment]]</f>
        <v>-8268.3156305162247</v>
      </c>
      <c r="AI487" s="5">
        <f>Model_Renter!D487*-1</f>
        <v>11970.959445776649</v>
      </c>
      <c r="AJ487" s="5">
        <f t="shared" si="128"/>
        <v>3702.6438152604242</v>
      </c>
    </row>
    <row r="488" spans="1:36" x14ac:dyDescent="0.25">
      <c r="A488" s="17">
        <f t="shared" si="129"/>
        <v>486</v>
      </c>
      <c r="B488" s="17">
        <f t="shared" si="124"/>
        <v>41</v>
      </c>
      <c r="C488" s="23">
        <f>IFERROR(PPMT(Assumptions!$E$17, A488, 180, Assumptions!$D$8), 0)</f>
        <v>0</v>
      </c>
      <c r="D488" s="38">
        <f>IFERROR(IPMT(Assumptions!$E$17,A488,180,Assumptions!$D$8), 0)</f>
        <v>0</v>
      </c>
      <c r="E488" s="2">
        <f t="shared" si="130"/>
        <v>0</v>
      </c>
      <c r="F488" s="2">
        <f>IF(I487&gt;1, Assumptions!$E$19, 0)*-1</f>
        <v>0</v>
      </c>
      <c r="G488" s="24">
        <f t="shared" si="125"/>
        <v>1</v>
      </c>
      <c r="H488" s="20">
        <f t="shared" si="131"/>
        <v>339999.99999999988</v>
      </c>
      <c r="I488" s="2">
        <f>MAX(Assumptions!$D$8-SUM(Model_15y!H488), 0)</f>
        <v>1.1641532182693481E-10</v>
      </c>
      <c r="J488" s="2">
        <f>J487*(1+(Assumptions!$E$51))</f>
        <v>3065882.7533573089</v>
      </c>
      <c r="K488" s="22">
        <f t="shared" si="120"/>
        <v>3065882.7533573089</v>
      </c>
      <c r="L488" s="5">
        <f t="shared" si="132"/>
        <v>425000</v>
      </c>
      <c r="M488" s="63">
        <f>L488/Assumptions!$D$6</f>
        <v>1</v>
      </c>
      <c r="N488" s="24">
        <f t="shared" si="136"/>
        <v>0</v>
      </c>
      <c r="O488" s="22">
        <f>N488*Assumptions!$E$25*-1</f>
        <v>0</v>
      </c>
      <c r="P488" s="5">
        <f>Assumptions!$E$35*J488*-1</f>
        <v>-6315.2164944507113</v>
      </c>
      <c r="Q488" s="5">
        <f>J488*Assumptions!$E$36*-1</f>
        <v>-2543.2665980264419</v>
      </c>
      <c r="R488" s="5">
        <f>R476+R476*Assumptions!$D$51</f>
        <v>-2287.4096657144996</v>
      </c>
      <c r="S488" s="5">
        <f>S476+(S476*Assumptions!$D$51)</f>
        <v>0</v>
      </c>
      <c r="T488" s="5">
        <f t="shared" si="126"/>
        <v>0</v>
      </c>
      <c r="U488" s="22">
        <f t="shared" si="121"/>
        <v>-11145.892758191652</v>
      </c>
      <c r="V488" s="5">
        <f>MAX(Assumptions!$E$18:$E$19)-U488</f>
        <v>13987.525769990349</v>
      </c>
      <c r="W488" s="5">
        <f t="shared" si="122"/>
        <v>0</v>
      </c>
      <c r="X488" s="5">
        <f t="shared" si="127"/>
        <v>-11145.892758191652</v>
      </c>
      <c r="Y488" s="5">
        <f>D488*Assumptions!$D$44*-1</f>
        <v>0</v>
      </c>
      <c r="Z488" s="5">
        <f t="shared" si="123"/>
        <v>2841.6330117986963</v>
      </c>
      <c r="AA488" s="5">
        <f t="shared" si="133"/>
        <v>3362146.7815211425</v>
      </c>
      <c r="AB488" s="3">
        <f>Assumptions!$E$45</f>
        <v>6.9899151946608562E-3</v>
      </c>
      <c r="AC488" s="5">
        <f t="shared" si="134"/>
        <v>3388489.535407776</v>
      </c>
      <c r="AD488" s="4">
        <f>AC488*Assumptions!$E$43</f>
        <v>3034.6482080756123</v>
      </c>
      <c r="AE488" s="2">
        <f>AD488*Assumptions!$D$44*-1</f>
        <v>-455.19723121134183</v>
      </c>
      <c r="AF488" s="2">
        <f>AC488*Assumptions!$E$46*-1</f>
        <v>-112.92894903483591</v>
      </c>
      <c r="AG488" s="5">
        <f t="shared" si="135"/>
        <v>3387921.40922753</v>
      </c>
      <c r="AH488" s="20">
        <f>Model_30y[[#This Row],[Mortgage Payment]]+Model_30y[[#This Row],[Total Upkeep]]+Model_30y[[#This Row],[Monthly Investment]]</f>
        <v>-8304.259746392956</v>
      </c>
      <c r="AI488" s="5">
        <f>Model_Renter!D488*-1</f>
        <v>11970.959445776649</v>
      </c>
      <c r="AJ488" s="5">
        <f t="shared" si="128"/>
        <v>3666.6996993836929</v>
      </c>
    </row>
    <row r="489" spans="1:36" x14ac:dyDescent="0.25">
      <c r="A489" s="17">
        <f t="shared" si="129"/>
        <v>487</v>
      </c>
      <c r="B489" s="17">
        <f t="shared" si="124"/>
        <v>41</v>
      </c>
      <c r="C489" s="23">
        <f>IFERROR(PPMT(Assumptions!$E$17, A489, 180, Assumptions!$D$8), 0)</f>
        <v>0</v>
      </c>
      <c r="D489" s="38">
        <f>IFERROR(IPMT(Assumptions!$E$17,A489,180,Assumptions!$D$8), 0)</f>
        <v>0</v>
      </c>
      <c r="E489" s="2">
        <f t="shared" si="130"/>
        <v>0</v>
      </c>
      <c r="F489" s="2">
        <f>IF(I488&gt;1, Assumptions!$E$19, 0)*-1</f>
        <v>0</v>
      </c>
      <c r="G489" s="24">
        <f t="shared" si="125"/>
        <v>1</v>
      </c>
      <c r="H489" s="20">
        <f t="shared" si="131"/>
        <v>339999.99999999988</v>
      </c>
      <c r="I489" s="2">
        <f>MAX(Assumptions!$D$8-SUM(Model_15y!H489), 0)</f>
        <v>1.1641532182693481E-10</v>
      </c>
      <c r="J489" s="2">
        <f>J488*(1+(Assumptions!$E$51))</f>
        <v>3078373.5392006394</v>
      </c>
      <c r="K489" s="22">
        <f t="shared" si="120"/>
        <v>3078373.5392006394</v>
      </c>
      <c r="L489" s="5">
        <f t="shared" si="132"/>
        <v>425000</v>
      </c>
      <c r="M489" s="63">
        <f>L489/Assumptions!$D$6</f>
        <v>1</v>
      </c>
      <c r="N489" s="24">
        <f t="shared" si="136"/>
        <v>0</v>
      </c>
      <c r="O489" s="22">
        <f>N489*Assumptions!$E$25*-1</f>
        <v>0</v>
      </c>
      <c r="P489" s="5">
        <f>Assumptions!$E$35*J489*-1</f>
        <v>-6340.9454681696416</v>
      </c>
      <c r="Q489" s="5">
        <f>J489*Assumptions!$E$36*-1</f>
        <v>-2553.6281809616198</v>
      </c>
      <c r="R489" s="5">
        <f>R477+R477*Assumptions!$D$51</f>
        <v>-2287.4096657144996</v>
      </c>
      <c r="S489" s="5">
        <f>S477+(S477*Assumptions!$D$51)</f>
        <v>0</v>
      </c>
      <c r="T489" s="5">
        <f t="shared" si="126"/>
        <v>0</v>
      </c>
      <c r="U489" s="22">
        <f t="shared" si="121"/>
        <v>-11181.983314845762</v>
      </c>
      <c r="V489" s="5">
        <f>MAX(Assumptions!$E$18:$E$19)-U489</f>
        <v>14023.616326644458</v>
      </c>
      <c r="W489" s="5">
        <f t="shared" si="122"/>
        <v>0</v>
      </c>
      <c r="X489" s="5">
        <f t="shared" si="127"/>
        <v>-11181.983314845762</v>
      </c>
      <c r="Y489" s="5">
        <f>D489*Assumptions!$D$44*-1</f>
        <v>0</v>
      </c>
      <c r="Z489" s="5">
        <f t="shared" si="123"/>
        <v>2841.6330117986963</v>
      </c>
      <c r="AA489" s="5">
        <f t="shared" si="133"/>
        <v>3387921.40922753</v>
      </c>
      <c r="AB489" s="3">
        <f>Assumptions!$E$45</f>
        <v>6.9899151946608562E-3</v>
      </c>
      <c r="AC489" s="5">
        <f t="shared" si="134"/>
        <v>3414444.325576005</v>
      </c>
      <c r="AD489" s="4">
        <f>AC489*Assumptions!$E$43</f>
        <v>3057.8926822438102</v>
      </c>
      <c r="AE489" s="2">
        <f>AD489*Assumptions!$D$44*-1</f>
        <v>-458.68390233657152</v>
      </c>
      <c r="AF489" s="2">
        <f>AC489*Assumptions!$E$46*-1</f>
        <v>-113.7939501350282</v>
      </c>
      <c r="AG489" s="5">
        <f t="shared" si="135"/>
        <v>3413871.8477235334</v>
      </c>
      <c r="AH489" s="20">
        <f>Model_30y[[#This Row],[Mortgage Payment]]+Model_30y[[#This Row],[Total Upkeep]]+Model_30y[[#This Row],[Monthly Investment]]</f>
        <v>-8340.3503030470656</v>
      </c>
      <c r="AI489" s="5">
        <f>Model_Renter!D489*-1</f>
        <v>11970.959445776649</v>
      </c>
      <c r="AJ489" s="5">
        <f t="shared" si="128"/>
        <v>3630.6091427295833</v>
      </c>
    </row>
    <row r="490" spans="1:36" x14ac:dyDescent="0.25">
      <c r="A490" s="17">
        <f t="shared" si="129"/>
        <v>488</v>
      </c>
      <c r="B490" s="17">
        <f t="shared" si="124"/>
        <v>41</v>
      </c>
      <c r="C490" s="23">
        <f>IFERROR(PPMT(Assumptions!$E$17, A490, 180, Assumptions!$D$8), 0)</f>
        <v>0</v>
      </c>
      <c r="D490" s="38">
        <f>IFERROR(IPMT(Assumptions!$E$17,A490,180,Assumptions!$D$8), 0)</f>
        <v>0</v>
      </c>
      <c r="E490" s="2">
        <f t="shared" si="130"/>
        <v>0</v>
      </c>
      <c r="F490" s="2">
        <f>IF(I489&gt;1, Assumptions!$E$19, 0)*-1</f>
        <v>0</v>
      </c>
      <c r="G490" s="24">
        <f t="shared" si="125"/>
        <v>1</v>
      </c>
      <c r="H490" s="20">
        <f t="shared" si="131"/>
        <v>339999.99999999988</v>
      </c>
      <c r="I490" s="2">
        <f>MAX(Assumptions!$D$8-SUM(Model_15y!H490), 0)</f>
        <v>1.1641532182693481E-10</v>
      </c>
      <c r="J490" s="2">
        <f>J489*(1+(Assumptions!$E$51))</f>
        <v>3090915.2140516504</v>
      </c>
      <c r="K490" s="22">
        <f t="shared" si="120"/>
        <v>3090915.2140516504</v>
      </c>
      <c r="L490" s="5">
        <f t="shared" si="132"/>
        <v>425000</v>
      </c>
      <c r="M490" s="63">
        <f>L490/Assumptions!$D$6</f>
        <v>1</v>
      </c>
      <c r="N490" s="24">
        <f t="shared" si="136"/>
        <v>0</v>
      </c>
      <c r="O490" s="22">
        <f>N490*Assumptions!$E$25*-1</f>
        <v>0</v>
      </c>
      <c r="P490" s="5">
        <f>Assumptions!$E$35*J490*-1</f>
        <v>-6366.7792649123285</v>
      </c>
      <c r="Q490" s="5">
        <f>J490*Assumptions!$E$36*-1</f>
        <v>-2564.0319782682704</v>
      </c>
      <c r="R490" s="5">
        <f>R478+R478*Assumptions!$D$51</f>
        <v>-2287.4096657144996</v>
      </c>
      <c r="S490" s="5">
        <f>S478+(S478*Assumptions!$D$51)</f>
        <v>0</v>
      </c>
      <c r="T490" s="5">
        <f t="shared" si="126"/>
        <v>0</v>
      </c>
      <c r="U490" s="22">
        <f t="shared" si="121"/>
        <v>-11218.220908895099</v>
      </c>
      <c r="V490" s="5">
        <f>MAX(Assumptions!$E$18:$E$19)-U490</f>
        <v>14059.853920693795</v>
      </c>
      <c r="W490" s="5">
        <f t="shared" si="122"/>
        <v>0</v>
      </c>
      <c r="X490" s="5">
        <f t="shared" si="127"/>
        <v>-11218.220908895099</v>
      </c>
      <c r="Y490" s="5">
        <f>D490*Assumptions!$D$44*-1</f>
        <v>0</v>
      </c>
      <c r="Z490" s="5">
        <f t="shared" si="123"/>
        <v>2841.6330117986963</v>
      </c>
      <c r="AA490" s="5">
        <f t="shared" si="133"/>
        <v>3413871.8477235334</v>
      </c>
      <c r="AB490" s="3">
        <f>Assumptions!$E$45</f>
        <v>6.9899151946608562E-3</v>
      </c>
      <c r="AC490" s="5">
        <f t="shared" si="134"/>
        <v>3440576.1554363598</v>
      </c>
      <c r="AD490" s="4">
        <f>AC490*Assumptions!$E$43</f>
        <v>3081.2957088227067</v>
      </c>
      <c r="AE490" s="2">
        <f>AD490*Assumptions!$D$44*-1</f>
        <v>-462.194356323406</v>
      </c>
      <c r="AF490" s="2">
        <f>AC490*Assumptions!$E$46*-1</f>
        <v>-114.66485147665854</v>
      </c>
      <c r="AG490" s="5">
        <f t="shared" si="135"/>
        <v>3439999.2962285597</v>
      </c>
      <c r="AH490" s="20">
        <f>Model_30y[[#This Row],[Mortgage Payment]]+Model_30y[[#This Row],[Total Upkeep]]+Model_30y[[#This Row],[Monthly Investment]]</f>
        <v>-8376.5878970964022</v>
      </c>
      <c r="AI490" s="5">
        <f>Model_Renter!D490*-1</f>
        <v>11970.959445776649</v>
      </c>
      <c r="AJ490" s="5">
        <f t="shared" si="128"/>
        <v>3594.3715486802466</v>
      </c>
    </row>
    <row r="491" spans="1:36" x14ac:dyDescent="0.25">
      <c r="A491" s="17">
        <f t="shared" si="129"/>
        <v>489</v>
      </c>
      <c r="B491" s="17">
        <f t="shared" si="124"/>
        <v>41</v>
      </c>
      <c r="C491" s="23">
        <f>IFERROR(PPMT(Assumptions!$E$17, A491, 180, Assumptions!$D$8), 0)</f>
        <v>0</v>
      </c>
      <c r="D491" s="38">
        <f>IFERROR(IPMT(Assumptions!$E$17,A491,180,Assumptions!$D$8), 0)</f>
        <v>0</v>
      </c>
      <c r="E491" s="2">
        <f t="shared" si="130"/>
        <v>0</v>
      </c>
      <c r="F491" s="2">
        <f>IF(I490&gt;1, Assumptions!$E$19, 0)*-1</f>
        <v>0</v>
      </c>
      <c r="G491" s="24">
        <f t="shared" si="125"/>
        <v>1</v>
      </c>
      <c r="H491" s="20">
        <f t="shared" si="131"/>
        <v>339999.99999999988</v>
      </c>
      <c r="I491" s="2">
        <f>MAX(Assumptions!$D$8-SUM(Model_15y!H491), 0)</f>
        <v>1.1641532182693481E-10</v>
      </c>
      <c r="J491" s="2">
        <f>J490*(1+(Assumptions!$E$51))</f>
        <v>3103507.985238459</v>
      </c>
      <c r="K491" s="22">
        <f t="shared" si="120"/>
        <v>3103507.985238459</v>
      </c>
      <c r="L491" s="5">
        <f t="shared" si="132"/>
        <v>425000</v>
      </c>
      <c r="M491" s="63">
        <f>L491/Assumptions!$D$6</f>
        <v>1</v>
      </c>
      <c r="N491" s="24">
        <f t="shared" si="136"/>
        <v>0</v>
      </c>
      <c r="O491" s="22">
        <f>N491*Assumptions!$E$25*-1</f>
        <v>0</v>
      </c>
      <c r="P491" s="5">
        <f>Assumptions!$E$35*J491*-1</f>
        <v>-6392.7183117407476</v>
      </c>
      <c r="Q491" s="5">
        <f>J491*Assumptions!$E$36*-1</f>
        <v>-2574.4781619329683</v>
      </c>
      <c r="R491" s="5">
        <f>R479+R479*Assumptions!$D$51</f>
        <v>-2287.4096657144996</v>
      </c>
      <c r="S491" s="5">
        <f>S479+(S479*Assumptions!$D$51)</f>
        <v>0</v>
      </c>
      <c r="T491" s="5">
        <f t="shared" si="126"/>
        <v>0</v>
      </c>
      <c r="U491" s="22">
        <f t="shared" si="121"/>
        <v>-11254.606139388216</v>
      </c>
      <c r="V491" s="5">
        <f>MAX(Assumptions!$E$18:$E$19)-U491</f>
        <v>14096.239151186912</v>
      </c>
      <c r="W491" s="5">
        <f t="shared" si="122"/>
        <v>0</v>
      </c>
      <c r="X491" s="5">
        <f t="shared" si="127"/>
        <v>-11254.606139388216</v>
      </c>
      <c r="Y491" s="5">
        <f>D491*Assumptions!$D$44*-1</f>
        <v>0</v>
      </c>
      <c r="Z491" s="5">
        <f t="shared" si="123"/>
        <v>2841.6330117986963</v>
      </c>
      <c r="AA491" s="5">
        <f t="shared" si="133"/>
        <v>3439999.2962285597</v>
      </c>
      <c r="AB491" s="3">
        <f>Assumptions!$E$45</f>
        <v>6.9899151946608562E-3</v>
      </c>
      <c r="AC491" s="5">
        <f t="shared" si="134"/>
        <v>3466886.2325906893</v>
      </c>
      <c r="AD491" s="4">
        <f>AC491*Assumptions!$E$43</f>
        <v>3104.8583693109322</v>
      </c>
      <c r="AE491" s="2">
        <f>AD491*Assumptions!$D$44*-1</f>
        <v>-465.72875539663983</v>
      </c>
      <c r="AF491" s="2">
        <f>AC491*Assumptions!$E$46*-1</f>
        <v>-115.54169330574399</v>
      </c>
      <c r="AG491" s="5">
        <f t="shared" si="135"/>
        <v>3466304.9621419869</v>
      </c>
      <c r="AH491" s="20">
        <f>Model_30y[[#This Row],[Mortgage Payment]]+Model_30y[[#This Row],[Total Upkeep]]+Model_30y[[#This Row],[Monthly Investment]]</f>
        <v>-8412.9731275895192</v>
      </c>
      <c r="AI491" s="5">
        <f>Model_Renter!D491*-1</f>
        <v>11970.959445776649</v>
      </c>
      <c r="AJ491" s="5">
        <f t="shared" si="128"/>
        <v>3557.9863181871297</v>
      </c>
    </row>
    <row r="492" spans="1:36" x14ac:dyDescent="0.25">
      <c r="A492" s="17">
        <f t="shared" si="129"/>
        <v>490</v>
      </c>
      <c r="B492" s="17">
        <f t="shared" si="124"/>
        <v>41</v>
      </c>
      <c r="C492" s="23">
        <f>IFERROR(PPMT(Assumptions!$E$17, A492, 180, Assumptions!$D$8), 0)</f>
        <v>0</v>
      </c>
      <c r="D492" s="38">
        <f>IFERROR(IPMT(Assumptions!$E$17,A492,180,Assumptions!$D$8), 0)</f>
        <v>0</v>
      </c>
      <c r="E492" s="2">
        <f t="shared" si="130"/>
        <v>0</v>
      </c>
      <c r="F492" s="2">
        <f>IF(I491&gt;1, Assumptions!$E$19, 0)*-1</f>
        <v>0</v>
      </c>
      <c r="G492" s="24">
        <f t="shared" si="125"/>
        <v>1</v>
      </c>
      <c r="H492" s="20">
        <f t="shared" si="131"/>
        <v>339999.99999999988</v>
      </c>
      <c r="I492" s="2">
        <f>MAX(Assumptions!$D$8-SUM(Model_15y!H492), 0)</f>
        <v>1.1641532182693481E-10</v>
      </c>
      <c r="J492" s="2">
        <f>J491*(1+(Assumptions!$E$51))</f>
        <v>3116152.0609338614</v>
      </c>
      <c r="K492" s="22">
        <f t="shared" si="120"/>
        <v>3116152.0609338614</v>
      </c>
      <c r="L492" s="5">
        <f t="shared" si="132"/>
        <v>425000</v>
      </c>
      <c r="M492" s="63">
        <f>L492/Assumptions!$D$6</f>
        <v>1</v>
      </c>
      <c r="N492" s="24">
        <f t="shared" si="136"/>
        <v>0</v>
      </c>
      <c r="O492" s="22">
        <f>N492*Assumptions!$E$25*-1</f>
        <v>0</v>
      </c>
      <c r="P492" s="5">
        <f>Assumptions!$E$35*J492*-1</f>
        <v>-6418.7630374567743</v>
      </c>
      <c r="Q492" s="5">
        <f>J492*Assumptions!$E$36*-1</f>
        <v>-2584.9669046429826</v>
      </c>
      <c r="R492" s="5">
        <f>R480+R480*Assumptions!$D$51</f>
        <v>-2287.4096657144996</v>
      </c>
      <c r="S492" s="5">
        <f>S480+(S480*Assumptions!$D$51)</f>
        <v>0</v>
      </c>
      <c r="T492" s="5">
        <f t="shared" si="126"/>
        <v>0</v>
      </c>
      <c r="U492" s="22">
        <f t="shared" si="121"/>
        <v>-11291.139607814257</v>
      </c>
      <c r="V492" s="5">
        <f>MAX(Assumptions!$E$18:$E$19)-U492</f>
        <v>14132.772619612953</v>
      </c>
      <c r="W492" s="5">
        <f t="shared" si="122"/>
        <v>0</v>
      </c>
      <c r="X492" s="5">
        <f t="shared" si="127"/>
        <v>-11291.139607814257</v>
      </c>
      <c r="Y492" s="5">
        <f>D492*Assumptions!$D$44*-1</f>
        <v>0</v>
      </c>
      <c r="Z492" s="5">
        <f t="shared" si="123"/>
        <v>2841.6330117986963</v>
      </c>
      <c r="AA492" s="5">
        <f t="shared" si="133"/>
        <v>3466304.9621419869</v>
      </c>
      <c r="AB492" s="3">
        <f>Assumptions!$E$45</f>
        <v>6.9899151946608562E-3</v>
      </c>
      <c r="AC492" s="5">
        <f t="shared" si="134"/>
        <v>3493375.7728779903</v>
      </c>
      <c r="AD492" s="4">
        <f>AC492*Assumptions!$E$43</f>
        <v>3128.5817525841021</v>
      </c>
      <c r="AE492" s="2">
        <f>AD492*Assumptions!$D$44*-1</f>
        <v>-469.28726288761527</v>
      </c>
      <c r="AF492" s="2">
        <f>AC492*Assumptions!$E$46*-1</f>
        <v>-116.4245161428229</v>
      </c>
      <c r="AG492" s="5">
        <f t="shared" si="135"/>
        <v>3492790.0610989598</v>
      </c>
      <c r="AH492" s="20">
        <f>Model_30y[[#This Row],[Mortgage Payment]]+Model_30y[[#This Row],[Total Upkeep]]+Model_30y[[#This Row],[Monthly Investment]]</f>
        <v>-8449.5065960155607</v>
      </c>
      <c r="AI492" s="5">
        <f>Model_Renter!D492*-1</f>
        <v>11970.959445776649</v>
      </c>
      <c r="AJ492" s="5">
        <f t="shared" si="128"/>
        <v>3521.4528497610881</v>
      </c>
    </row>
    <row r="493" spans="1:36" x14ac:dyDescent="0.25">
      <c r="A493" s="17">
        <f t="shared" si="129"/>
        <v>491</v>
      </c>
      <c r="B493" s="17">
        <f t="shared" si="124"/>
        <v>41</v>
      </c>
      <c r="C493" s="23">
        <f>IFERROR(PPMT(Assumptions!$E$17, A493, 180, Assumptions!$D$8), 0)</f>
        <v>0</v>
      </c>
      <c r="D493" s="38">
        <f>IFERROR(IPMT(Assumptions!$E$17,A493,180,Assumptions!$D$8), 0)</f>
        <v>0</v>
      </c>
      <c r="E493" s="2">
        <f t="shared" si="130"/>
        <v>0</v>
      </c>
      <c r="F493" s="2">
        <f>IF(I492&gt;1, Assumptions!$E$19, 0)*-1</f>
        <v>0</v>
      </c>
      <c r="G493" s="24">
        <f t="shared" si="125"/>
        <v>1</v>
      </c>
      <c r="H493" s="20">
        <f t="shared" si="131"/>
        <v>339999.99999999988</v>
      </c>
      <c r="I493" s="2">
        <f>MAX(Assumptions!$D$8-SUM(Model_15y!H493), 0)</f>
        <v>1.1641532182693481E-10</v>
      </c>
      <c r="J493" s="2">
        <f>J492*(1+(Assumptions!$E$51))</f>
        <v>3128847.6501587769</v>
      </c>
      <c r="K493" s="22">
        <f t="shared" si="120"/>
        <v>3128847.6501587769</v>
      </c>
      <c r="L493" s="5">
        <f t="shared" si="132"/>
        <v>425000</v>
      </c>
      <c r="M493" s="63">
        <f>L493/Assumptions!$D$6</f>
        <v>1</v>
      </c>
      <c r="N493" s="24">
        <f t="shared" si="136"/>
        <v>0</v>
      </c>
      <c r="O493" s="22">
        <f>N493*Assumptions!$E$25*-1</f>
        <v>0</v>
      </c>
      <c r="P493" s="5">
        <f>Assumptions!$E$35*J493*-1</f>
        <v>-6444.9138726092797</v>
      </c>
      <c r="Q493" s="5">
        <f>J493*Assumptions!$E$36*-1</f>
        <v>-2595.4983797891323</v>
      </c>
      <c r="R493" s="5">
        <f>R481+R481*Assumptions!$D$51</f>
        <v>-2287.4096657144996</v>
      </c>
      <c r="S493" s="5">
        <f>S481+(S481*Assumptions!$D$51)</f>
        <v>0</v>
      </c>
      <c r="T493" s="5">
        <f t="shared" si="126"/>
        <v>0</v>
      </c>
      <c r="U493" s="22">
        <f t="shared" si="121"/>
        <v>-11327.821918112912</v>
      </c>
      <c r="V493" s="5">
        <f>MAX(Assumptions!$E$18:$E$19)-U493</f>
        <v>14169.454929911608</v>
      </c>
      <c r="W493" s="5">
        <f t="shared" si="122"/>
        <v>0</v>
      </c>
      <c r="X493" s="5">
        <f t="shared" si="127"/>
        <v>-11327.821918112912</v>
      </c>
      <c r="Y493" s="5">
        <f>D493*Assumptions!$D$44*-1</f>
        <v>0</v>
      </c>
      <c r="Z493" s="5">
        <f t="shared" si="123"/>
        <v>2841.6330117986963</v>
      </c>
      <c r="AA493" s="5">
        <f t="shared" si="133"/>
        <v>3492790.0610989598</v>
      </c>
      <c r="AB493" s="3">
        <f>Assumptions!$E$45</f>
        <v>6.9899151946608562E-3</v>
      </c>
      <c r="AC493" s="5">
        <f t="shared" si="134"/>
        <v>3520046.0004305947</v>
      </c>
      <c r="AD493" s="4">
        <f>AC493*Assumptions!$E$43</f>
        <v>3152.4669549451419</v>
      </c>
      <c r="AE493" s="2">
        <f>AD493*Assumptions!$D$44*-1</f>
        <v>-472.87004324177127</v>
      </c>
      <c r="AF493" s="2">
        <f>AC493*Assumptions!$E$46*-1</f>
        <v>-117.3133607848274</v>
      </c>
      <c r="AG493" s="5">
        <f t="shared" si="135"/>
        <v>3519455.8170265681</v>
      </c>
      <c r="AH493" s="20">
        <f>Model_30y[[#This Row],[Mortgage Payment]]+Model_30y[[#This Row],[Total Upkeep]]+Model_30y[[#This Row],[Monthly Investment]]</f>
        <v>-8486.1889063142153</v>
      </c>
      <c r="AI493" s="5">
        <f>Model_Renter!D493*-1</f>
        <v>11970.959445776649</v>
      </c>
      <c r="AJ493" s="5">
        <f t="shared" si="128"/>
        <v>3484.7705394624336</v>
      </c>
    </row>
    <row r="494" spans="1:36" x14ac:dyDescent="0.25">
      <c r="A494" s="17">
        <f t="shared" si="129"/>
        <v>492</v>
      </c>
      <c r="B494" s="17">
        <f t="shared" si="124"/>
        <v>41</v>
      </c>
      <c r="C494" s="23">
        <f>IFERROR(PPMT(Assumptions!$E$17, A494, 180, Assumptions!$D$8), 0)</f>
        <v>0</v>
      </c>
      <c r="D494" s="38">
        <f>IFERROR(IPMT(Assumptions!$E$17,A494,180,Assumptions!$D$8), 0)</f>
        <v>0</v>
      </c>
      <c r="E494" s="2">
        <f t="shared" si="130"/>
        <v>0</v>
      </c>
      <c r="F494" s="2">
        <f>IF(I493&gt;1, Assumptions!$E$19, 0)*-1</f>
        <v>0</v>
      </c>
      <c r="G494" s="24">
        <f t="shared" si="125"/>
        <v>1</v>
      </c>
      <c r="H494" s="20">
        <f t="shared" si="131"/>
        <v>339999.99999999988</v>
      </c>
      <c r="I494" s="2">
        <f>MAX(Assumptions!$D$8-SUM(Model_15y!H494), 0)</f>
        <v>1.1641532182693481E-10</v>
      </c>
      <c r="J494" s="2">
        <f>J493*(1+(Assumptions!$E$51))</f>
        <v>3141594.9627857013</v>
      </c>
      <c r="K494" s="22">
        <f t="shared" si="120"/>
        <v>3141594.9627857013</v>
      </c>
      <c r="L494" s="5">
        <f t="shared" si="132"/>
        <v>425000</v>
      </c>
      <c r="M494" s="63">
        <f>L494/Assumptions!$D$6</f>
        <v>1</v>
      </c>
      <c r="N494" s="24">
        <f t="shared" si="136"/>
        <v>0</v>
      </c>
      <c r="O494" s="22">
        <f>N494*Assumptions!$E$25*-1</f>
        <v>0</v>
      </c>
      <c r="P494" s="5">
        <f>Assumptions!$E$35*J494*-1</f>
        <v>-6471.1712495012434</v>
      </c>
      <c r="Q494" s="5">
        <f>J494*Assumptions!$E$36*-1</f>
        <v>-2606.0727614686521</v>
      </c>
      <c r="R494" s="5">
        <f>R482+R482*Assumptions!$D$51</f>
        <v>-2287.4096657144996</v>
      </c>
      <c r="S494" s="5">
        <f>S482+(S482*Assumptions!$D$51)</f>
        <v>0</v>
      </c>
      <c r="T494" s="5">
        <f t="shared" si="126"/>
        <v>0</v>
      </c>
      <c r="U494" s="22">
        <f t="shared" si="121"/>
        <v>-11364.653676684395</v>
      </c>
      <c r="V494" s="5">
        <f>MAX(Assumptions!$E$18:$E$19)-U494</f>
        <v>14206.286688483091</v>
      </c>
      <c r="W494" s="5">
        <f t="shared" si="122"/>
        <v>0</v>
      </c>
      <c r="X494" s="5">
        <f t="shared" si="127"/>
        <v>-11364.653676684395</v>
      </c>
      <c r="Y494" s="5">
        <f>D494*Assumptions!$D$44*-1</f>
        <v>0</v>
      </c>
      <c r="Z494" s="5">
        <f t="shared" si="123"/>
        <v>2841.6330117986963</v>
      </c>
      <c r="AA494" s="5">
        <f t="shared" si="133"/>
        <v>3519455.8170265681</v>
      </c>
      <c r="AB494" s="3">
        <f>Assumptions!$E$45</f>
        <v>6.9899151946608562E-3</v>
      </c>
      <c r="AC494" s="5">
        <f t="shared" si="134"/>
        <v>3546898.1477307384</v>
      </c>
      <c r="AD494" s="4">
        <f>AC494*Assumptions!$E$43</f>
        <v>3176.5150801749446</v>
      </c>
      <c r="AE494" s="2">
        <f>AD494*Assumptions!$D$44*-1</f>
        <v>-476.47726202624165</v>
      </c>
      <c r="AF494" s="2">
        <f>AC494*Assumptions!$E$46*-1</f>
        <v>-118.20826830696879</v>
      </c>
      <c r="AG494" s="5">
        <f t="shared" si="135"/>
        <v>3546303.4622004051</v>
      </c>
      <c r="AH494" s="20">
        <f>Model_30y[[#This Row],[Mortgage Payment]]+Model_30y[[#This Row],[Total Upkeep]]+Model_30y[[#This Row],[Monthly Investment]]</f>
        <v>-8523.0206648856984</v>
      </c>
      <c r="AI494" s="5">
        <f>Model_Renter!D494*-1</f>
        <v>11970.959445776649</v>
      </c>
      <c r="AJ494" s="5">
        <f t="shared" si="128"/>
        <v>3447.9387808909505</v>
      </c>
    </row>
    <row r="495" spans="1:36" x14ac:dyDescent="0.25">
      <c r="A495" s="17">
        <f t="shared" si="129"/>
        <v>493</v>
      </c>
      <c r="B495" s="17">
        <f t="shared" si="124"/>
        <v>42</v>
      </c>
      <c r="C495" s="23">
        <f>IFERROR(PPMT(Assumptions!$E$17, A495, 180, Assumptions!$D$8), 0)</f>
        <v>0</v>
      </c>
      <c r="D495" s="38">
        <f>IFERROR(IPMT(Assumptions!$E$17,A495,180,Assumptions!$D$8), 0)</f>
        <v>0</v>
      </c>
      <c r="E495" s="2">
        <f t="shared" si="130"/>
        <v>0</v>
      </c>
      <c r="F495" s="2">
        <f>IF(I494&gt;1, Assumptions!$E$19, 0)*-1</f>
        <v>0</v>
      </c>
      <c r="G495" s="24">
        <f t="shared" si="125"/>
        <v>1</v>
      </c>
      <c r="H495" s="20">
        <f t="shared" si="131"/>
        <v>339999.99999999988</v>
      </c>
      <c r="I495" s="2">
        <f>MAX(Assumptions!$D$8-SUM(Model_15y!H495), 0)</f>
        <v>1.1641532182693481E-10</v>
      </c>
      <c r="J495" s="2">
        <f>J494*(1+(Assumptions!$E$51))</f>
        <v>3154394.2095421762</v>
      </c>
      <c r="K495" s="22">
        <f t="shared" si="120"/>
        <v>3154394.2095421762</v>
      </c>
      <c r="L495" s="5">
        <f t="shared" si="132"/>
        <v>425000</v>
      </c>
      <c r="M495" s="63">
        <f>L495/Assumptions!$D$6</f>
        <v>1</v>
      </c>
      <c r="N495" s="24">
        <f t="shared" si="136"/>
        <v>0</v>
      </c>
      <c r="O495" s="22">
        <f>N495*Assumptions!$E$25*-1</f>
        <v>0</v>
      </c>
      <c r="P495" s="5">
        <f>Assumptions!$E$35*J495*-1</f>
        <v>-6497.5356021968973</v>
      </c>
      <c r="Q495" s="5">
        <f>J495*Assumptions!$E$36*-1</f>
        <v>-2616.6902244880698</v>
      </c>
      <c r="R495" s="5">
        <f>R483+R483*Assumptions!$D$51</f>
        <v>-2401.7801490002248</v>
      </c>
      <c r="S495" s="5">
        <f>S483+(S483*Assumptions!$D$51)</f>
        <v>0</v>
      </c>
      <c r="T495" s="5">
        <f t="shared" si="126"/>
        <v>0</v>
      </c>
      <c r="U495" s="22">
        <f t="shared" si="121"/>
        <v>-11516.005975685192</v>
      </c>
      <c r="V495" s="5">
        <f>MAX(Assumptions!$E$18:$E$19)-U495</f>
        <v>14357.638987483888</v>
      </c>
      <c r="W495" s="5">
        <f t="shared" si="122"/>
        <v>0</v>
      </c>
      <c r="X495" s="5">
        <f t="shared" si="127"/>
        <v>-11516.005975685192</v>
      </c>
      <c r="Y495" s="5">
        <f>D495*Assumptions!$D$44*-1</f>
        <v>0</v>
      </c>
      <c r="Z495" s="5">
        <f t="shared" si="123"/>
        <v>2841.6330117986963</v>
      </c>
      <c r="AA495" s="5">
        <f t="shared" si="133"/>
        <v>3546303.4622004051</v>
      </c>
      <c r="AB495" s="3">
        <f>Assumptions!$E$45</f>
        <v>6.9899151946608562E-3</v>
      </c>
      <c r="AC495" s="5">
        <f t="shared" si="134"/>
        <v>3573933.4556675171</v>
      </c>
      <c r="AD495" s="4">
        <f>AC495*Assumptions!$E$43</f>
        <v>3200.7272395833829</v>
      </c>
      <c r="AE495" s="2">
        <f>AD495*Assumptions!$D$44*-1</f>
        <v>-480.10908593750742</v>
      </c>
      <c r="AF495" s="2">
        <f>AC495*Assumptions!$E$46*-1</f>
        <v>-119.10928006463567</v>
      </c>
      <c r="AG495" s="5">
        <f t="shared" si="135"/>
        <v>3573334.2373015149</v>
      </c>
      <c r="AH495" s="20">
        <f>Model_30y[[#This Row],[Mortgage Payment]]+Model_30y[[#This Row],[Total Upkeep]]+Model_30y[[#This Row],[Monthly Investment]]</f>
        <v>-8674.3729638864952</v>
      </c>
      <c r="AI495" s="5">
        <f>Model_Renter!D495*-1</f>
        <v>12418.673329048697</v>
      </c>
      <c r="AJ495" s="5">
        <f t="shared" si="128"/>
        <v>3744.3003651622021</v>
      </c>
    </row>
    <row r="496" spans="1:36" x14ac:dyDescent="0.25">
      <c r="A496" s="17">
        <f t="shared" si="129"/>
        <v>494</v>
      </c>
      <c r="B496" s="17">
        <f t="shared" si="124"/>
        <v>42</v>
      </c>
      <c r="C496" s="23">
        <f>IFERROR(PPMT(Assumptions!$E$17, A496, 180, Assumptions!$D$8), 0)</f>
        <v>0</v>
      </c>
      <c r="D496" s="38">
        <f>IFERROR(IPMT(Assumptions!$E$17,A496,180,Assumptions!$D$8), 0)</f>
        <v>0</v>
      </c>
      <c r="E496" s="2">
        <f t="shared" si="130"/>
        <v>0</v>
      </c>
      <c r="F496" s="2">
        <f>IF(I495&gt;1, Assumptions!$E$19, 0)*-1</f>
        <v>0</v>
      </c>
      <c r="G496" s="24">
        <f t="shared" si="125"/>
        <v>1</v>
      </c>
      <c r="H496" s="20">
        <f t="shared" si="131"/>
        <v>339999.99999999988</v>
      </c>
      <c r="I496" s="2">
        <f>MAX(Assumptions!$D$8-SUM(Model_15y!H496), 0)</f>
        <v>1.1641532182693481E-10</v>
      </c>
      <c r="J496" s="2">
        <f>J495*(1+(Assumptions!$E$51))</f>
        <v>3167245.6020142748</v>
      </c>
      <c r="K496" s="22">
        <f t="shared" si="120"/>
        <v>3167245.6020142748</v>
      </c>
      <c r="L496" s="5">
        <f t="shared" si="132"/>
        <v>425000</v>
      </c>
      <c r="M496" s="63">
        <f>L496/Assumptions!$D$6</f>
        <v>1</v>
      </c>
      <c r="N496" s="24">
        <f t="shared" si="136"/>
        <v>0</v>
      </c>
      <c r="O496" s="22">
        <f>N496*Assumptions!$E$25*-1</f>
        <v>0</v>
      </c>
      <c r="P496" s="5">
        <f>Assumptions!$E$35*J496*-1</f>
        <v>-6524.0073665289101</v>
      </c>
      <c r="Q496" s="5">
        <f>J496*Assumptions!$E$36*-1</f>
        <v>-2627.3509443660969</v>
      </c>
      <c r="R496" s="5">
        <f>R484+R484*Assumptions!$D$51</f>
        <v>-2401.7801490002248</v>
      </c>
      <c r="S496" s="5">
        <f>S484+(S484*Assumptions!$D$51)</f>
        <v>0</v>
      </c>
      <c r="T496" s="5">
        <f t="shared" si="126"/>
        <v>0</v>
      </c>
      <c r="U496" s="22">
        <f t="shared" si="121"/>
        <v>-11553.138459895232</v>
      </c>
      <c r="V496" s="5">
        <f>MAX(Assumptions!$E$18:$E$19)-U496</f>
        <v>14394.771471693928</v>
      </c>
      <c r="W496" s="5">
        <f t="shared" si="122"/>
        <v>0</v>
      </c>
      <c r="X496" s="5">
        <f t="shared" si="127"/>
        <v>-11553.138459895232</v>
      </c>
      <c r="Y496" s="5">
        <f>D496*Assumptions!$D$44*-1</f>
        <v>0</v>
      </c>
      <c r="Z496" s="5">
        <f t="shared" si="123"/>
        <v>2841.6330117986963</v>
      </c>
      <c r="AA496" s="5">
        <f t="shared" si="133"/>
        <v>3573334.2373015149</v>
      </c>
      <c r="AB496" s="3">
        <f>Assumptions!$E$45</f>
        <v>6.9899151946608562E-3</v>
      </c>
      <c r="AC496" s="5">
        <f t="shared" si="134"/>
        <v>3601153.1735942294</v>
      </c>
      <c r="AD496" s="4">
        <f>AC496*Assumptions!$E$43</f>
        <v>3225.1045520606608</v>
      </c>
      <c r="AE496" s="2">
        <f>AD496*Assumptions!$D$44*-1</f>
        <v>-483.76568280909908</v>
      </c>
      <c r="AF496" s="2">
        <f>AC496*Assumptions!$E$46*-1</f>
        <v>-120.01643769530499</v>
      </c>
      <c r="AG496" s="5">
        <f t="shared" si="135"/>
        <v>3600549.391473725</v>
      </c>
      <c r="AH496" s="20">
        <f>Model_30y[[#This Row],[Mortgage Payment]]+Model_30y[[#This Row],[Total Upkeep]]+Model_30y[[#This Row],[Monthly Investment]]</f>
        <v>-8711.5054480965355</v>
      </c>
      <c r="AI496" s="5">
        <f>Model_Renter!D496*-1</f>
        <v>12418.673329048697</v>
      </c>
      <c r="AJ496" s="5">
        <f t="shared" si="128"/>
        <v>3707.1678809521618</v>
      </c>
    </row>
    <row r="497" spans="1:36" x14ac:dyDescent="0.25">
      <c r="A497" s="17">
        <f t="shared" si="129"/>
        <v>495</v>
      </c>
      <c r="B497" s="17">
        <f t="shared" si="124"/>
        <v>42</v>
      </c>
      <c r="C497" s="23">
        <f>IFERROR(PPMT(Assumptions!$E$17, A497, 180, Assumptions!$D$8), 0)</f>
        <v>0</v>
      </c>
      <c r="D497" s="38">
        <f>IFERROR(IPMT(Assumptions!$E$17,A497,180,Assumptions!$D$8), 0)</f>
        <v>0</v>
      </c>
      <c r="E497" s="2">
        <f t="shared" si="130"/>
        <v>0</v>
      </c>
      <c r="F497" s="2">
        <f>IF(I496&gt;1, Assumptions!$E$19, 0)*-1</f>
        <v>0</v>
      </c>
      <c r="G497" s="24">
        <f t="shared" si="125"/>
        <v>1</v>
      </c>
      <c r="H497" s="20">
        <f t="shared" si="131"/>
        <v>339999.99999999988</v>
      </c>
      <c r="I497" s="2">
        <f>MAX(Assumptions!$D$8-SUM(Model_15y!H497), 0)</f>
        <v>1.1641532182693481E-10</v>
      </c>
      <c r="J497" s="2">
        <f>J496*(1+(Assumptions!$E$51))</f>
        <v>3180149.3526500966</v>
      </c>
      <c r="K497" s="22">
        <f t="shared" si="120"/>
        <v>3180149.3526500966</v>
      </c>
      <c r="L497" s="5">
        <f t="shared" si="132"/>
        <v>425000</v>
      </c>
      <c r="M497" s="63">
        <f>L497/Assumptions!$D$6</f>
        <v>1</v>
      </c>
      <c r="N497" s="24">
        <f t="shared" si="136"/>
        <v>0</v>
      </c>
      <c r="O497" s="22">
        <f>N497*Assumptions!$E$25*-1</f>
        <v>0</v>
      </c>
      <c r="P497" s="5">
        <f>Assumptions!$E$35*J497*-1</f>
        <v>-6550.5869801055824</v>
      </c>
      <c r="Q497" s="5">
        <f>J497*Assumptions!$E$36*-1</f>
        <v>-2638.0550973365298</v>
      </c>
      <c r="R497" s="5">
        <f>R485+R485*Assumptions!$D$51</f>
        <v>-2401.7801490002248</v>
      </c>
      <c r="S497" s="5">
        <f>S485+(S485*Assumptions!$D$51)</f>
        <v>0</v>
      </c>
      <c r="T497" s="5">
        <f t="shared" si="126"/>
        <v>0</v>
      </c>
      <c r="U497" s="22">
        <f t="shared" si="121"/>
        <v>-11590.422226442337</v>
      </c>
      <c r="V497" s="5">
        <f>MAX(Assumptions!$E$18:$E$19)-U497</f>
        <v>14432.055238241033</v>
      </c>
      <c r="W497" s="5">
        <f t="shared" si="122"/>
        <v>0</v>
      </c>
      <c r="X497" s="5">
        <f t="shared" si="127"/>
        <v>-11590.422226442337</v>
      </c>
      <c r="Y497" s="5">
        <f>D497*Assumptions!$D$44*-1</f>
        <v>0</v>
      </c>
      <c r="Z497" s="5">
        <f t="shared" si="123"/>
        <v>2841.6330117986963</v>
      </c>
      <c r="AA497" s="5">
        <f t="shared" si="133"/>
        <v>3600549.391473725</v>
      </c>
      <c r="AB497" s="3">
        <f>Assumptions!$E$45</f>
        <v>6.9899151946608562E-3</v>
      </c>
      <c r="AC497" s="5">
        <f t="shared" si="134"/>
        <v>3628558.5593861127</v>
      </c>
      <c r="AD497" s="4">
        <f>AC497*Assumptions!$E$43</f>
        <v>3249.6481441290221</v>
      </c>
      <c r="AE497" s="2">
        <f>AD497*Assumptions!$D$44*-1</f>
        <v>-487.44722161935329</v>
      </c>
      <c r="AF497" s="2">
        <f>AC497*Assumptions!$E$46*-1</f>
        <v>-120.92978312046628</v>
      </c>
      <c r="AG497" s="5">
        <f t="shared" si="135"/>
        <v>3627950.1823813729</v>
      </c>
      <c r="AH497" s="20">
        <f>Model_30y[[#This Row],[Mortgage Payment]]+Model_30y[[#This Row],[Total Upkeep]]+Model_30y[[#This Row],[Monthly Investment]]</f>
        <v>-8748.7892146436407</v>
      </c>
      <c r="AI497" s="5">
        <f>Model_Renter!D497*-1</f>
        <v>12418.673329048697</v>
      </c>
      <c r="AJ497" s="5">
        <f t="shared" si="128"/>
        <v>3669.8841144050566</v>
      </c>
    </row>
    <row r="498" spans="1:36" x14ac:dyDescent="0.25">
      <c r="A498" s="17">
        <f t="shared" si="129"/>
        <v>496</v>
      </c>
      <c r="B498" s="17">
        <f t="shared" si="124"/>
        <v>42</v>
      </c>
      <c r="C498" s="23">
        <f>IFERROR(PPMT(Assumptions!$E$17, A498, 180, Assumptions!$D$8), 0)</f>
        <v>0</v>
      </c>
      <c r="D498" s="38">
        <f>IFERROR(IPMT(Assumptions!$E$17,A498,180,Assumptions!$D$8), 0)</f>
        <v>0</v>
      </c>
      <c r="E498" s="2">
        <f t="shared" si="130"/>
        <v>0</v>
      </c>
      <c r="F498" s="2">
        <f>IF(I497&gt;1, Assumptions!$E$19, 0)*-1</f>
        <v>0</v>
      </c>
      <c r="G498" s="24">
        <f t="shared" si="125"/>
        <v>1</v>
      </c>
      <c r="H498" s="20">
        <f t="shared" si="131"/>
        <v>339999.99999999988</v>
      </c>
      <c r="I498" s="2">
        <f>MAX(Assumptions!$D$8-SUM(Model_15y!H498), 0)</f>
        <v>1.1641532182693481E-10</v>
      </c>
      <c r="J498" s="2">
        <f>J497*(1+(Assumptions!$E$51))</f>
        <v>3193105.6747632823</v>
      </c>
      <c r="K498" s="22">
        <f t="shared" si="120"/>
        <v>3193105.6747632823</v>
      </c>
      <c r="L498" s="5">
        <f t="shared" si="132"/>
        <v>425000</v>
      </c>
      <c r="M498" s="63">
        <f>L498/Assumptions!$D$6</f>
        <v>1</v>
      </c>
      <c r="N498" s="24">
        <f t="shared" si="136"/>
        <v>0</v>
      </c>
      <c r="O498" s="22">
        <f>N498*Assumptions!$E$25*-1</f>
        <v>0</v>
      </c>
      <c r="P498" s="5">
        <f>Assumptions!$E$35*J498*-1</f>
        <v>-6577.2748823180873</v>
      </c>
      <c r="Q498" s="5">
        <f>J498*Assumptions!$E$36*-1</f>
        <v>-2648.802860351163</v>
      </c>
      <c r="R498" s="5">
        <f>R486+R486*Assumptions!$D$51</f>
        <v>-2401.7801490002248</v>
      </c>
      <c r="S498" s="5">
        <f>S486+(S486*Assumptions!$D$51)</f>
        <v>0</v>
      </c>
      <c r="T498" s="5">
        <f t="shared" si="126"/>
        <v>0</v>
      </c>
      <c r="U498" s="22">
        <f t="shared" si="121"/>
        <v>-11627.857891669475</v>
      </c>
      <c r="V498" s="5">
        <f>MAX(Assumptions!$E$18:$E$19)-U498</f>
        <v>14469.490903468171</v>
      </c>
      <c r="W498" s="5">
        <f t="shared" si="122"/>
        <v>0</v>
      </c>
      <c r="X498" s="5">
        <f t="shared" si="127"/>
        <v>-11627.857891669475</v>
      </c>
      <c r="Y498" s="5">
        <f>D498*Assumptions!$D$44*-1</f>
        <v>0</v>
      </c>
      <c r="Z498" s="5">
        <f t="shared" si="123"/>
        <v>2841.6330117986963</v>
      </c>
      <c r="AA498" s="5">
        <f t="shared" si="133"/>
        <v>3627950.1823813729</v>
      </c>
      <c r="AB498" s="3">
        <f>Assumptions!$E$45</f>
        <v>6.9899151946608562E-3</v>
      </c>
      <c r="AC498" s="5">
        <f t="shared" si="134"/>
        <v>3656150.879498472</v>
      </c>
      <c r="AD498" s="4">
        <f>AC498*Assumptions!$E$43</f>
        <v>3274.3591499948093</v>
      </c>
      <c r="AE498" s="2">
        <f>AD498*Assumptions!$D$44*-1</f>
        <v>-491.15387249922139</v>
      </c>
      <c r="AF498" s="2">
        <f>AC498*Assumptions!$E$46*-1</f>
        <v>-121.84935854755891</v>
      </c>
      <c r="AG498" s="5">
        <f t="shared" si="135"/>
        <v>3655537.8762674253</v>
      </c>
      <c r="AH498" s="20">
        <f>Model_30y[[#This Row],[Mortgage Payment]]+Model_30y[[#This Row],[Total Upkeep]]+Model_30y[[#This Row],[Monthly Investment]]</f>
        <v>-8786.2248798707788</v>
      </c>
      <c r="AI498" s="5">
        <f>Model_Renter!D498*-1</f>
        <v>12418.673329048697</v>
      </c>
      <c r="AJ498" s="5">
        <f t="shared" si="128"/>
        <v>3632.4484491779185</v>
      </c>
    </row>
    <row r="499" spans="1:36" x14ac:dyDescent="0.25">
      <c r="A499" s="17">
        <f t="shared" si="129"/>
        <v>497</v>
      </c>
      <c r="B499" s="17">
        <f t="shared" si="124"/>
        <v>42</v>
      </c>
      <c r="C499" s="23">
        <f>IFERROR(PPMT(Assumptions!$E$17, A499, 180, Assumptions!$D$8), 0)</f>
        <v>0</v>
      </c>
      <c r="D499" s="38">
        <f>IFERROR(IPMT(Assumptions!$E$17,A499,180,Assumptions!$D$8), 0)</f>
        <v>0</v>
      </c>
      <c r="E499" s="2">
        <f t="shared" si="130"/>
        <v>0</v>
      </c>
      <c r="F499" s="2">
        <f>IF(I498&gt;1, Assumptions!$E$19, 0)*-1</f>
        <v>0</v>
      </c>
      <c r="G499" s="24">
        <f t="shared" si="125"/>
        <v>1</v>
      </c>
      <c r="H499" s="20">
        <f t="shared" si="131"/>
        <v>339999.99999999988</v>
      </c>
      <c r="I499" s="2">
        <f>MAX(Assumptions!$D$8-SUM(Model_15y!H499), 0)</f>
        <v>1.1641532182693481E-10</v>
      </c>
      <c r="J499" s="2">
        <f>J498*(1+(Assumptions!$E$51))</f>
        <v>3206114.7825365379</v>
      </c>
      <c r="K499" s="22">
        <f t="shared" si="120"/>
        <v>3206114.7825365379</v>
      </c>
      <c r="L499" s="5">
        <f t="shared" si="132"/>
        <v>425000</v>
      </c>
      <c r="M499" s="63">
        <f>L499/Assumptions!$D$6</f>
        <v>1</v>
      </c>
      <c r="N499" s="24">
        <f t="shared" si="136"/>
        <v>0</v>
      </c>
      <c r="O499" s="22">
        <f>N499*Assumptions!$E$25*-1</f>
        <v>0</v>
      </c>
      <c r="P499" s="5">
        <f>Assumptions!$E$35*J499*-1</f>
        <v>-6604.0715143477319</v>
      </c>
      <c r="Q499" s="5">
        <f>J499*Assumptions!$E$36*-1</f>
        <v>-2659.5944110827154</v>
      </c>
      <c r="R499" s="5">
        <f>R487+R487*Assumptions!$D$51</f>
        <v>-2401.7801490002248</v>
      </c>
      <c r="S499" s="5">
        <f>S487+(S487*Assumptions!$D$51)</f>
        <v>0</v>
      </c>
      <c r="T499" s="5">
        <f t="shared" si="126"/>
        <v>0</v>
      </c>
      <c r="U499" s="22">
        <f t="shared" si="121"/>
        <v>-11665.446074430671</v>
      </c>
      <c r="V499" s="5">
        <f>MAX(Assumptions!$E$18:$E$19)-U499</f>
        <v>14507.079086229367</v>
      </c>
      <c r="W499" s="5">
        <f t="shared" si="122"/>
        <v>0</v>
      </c>
      <c r="X499" s="5">
        <f t="shared" si="127"/>
        <v>-11665.446074430671</v>
      </c>
      <c r="Y499" s="5">
        <f>D499*Assumptions!$D$44*-1</f>
        <v>0</v>
      </c>
      <c r="Z499" s="5">
        <f t="shared" si="123"/>
        <v>2841.6330117986963</v>
      </c>
      <c r="AA499" s="5">
        <f t="shared" si="133"/>
        <v>3655537.8762674253</v>
      </c>
      <c r="AB499" s="3">
        <f>Assumptions!$E$45</f>
        <v>6.9899151946608562E-3</v>
      </c>
      <c r="AC499" s="5">
        <f t="shared" si="134"/>
        <v>3683931.4090252039</v>
      </c>
      <c r="AD499" s="4">
        <f>AC499*Assumptions!$E$43</f>
        <v>3299.2387116008754</v>
      </c>
      <c r="AE499" s="2">
        <f>AD499*Assumptions!$D$44*-1</f>
        <v>-494.88580674013127</v>
      </c>
      <c r="AF499" s="2">
        <f>AC499*Assumptions!$E$46*-1</f>
        <v>-122.7752064719225</v>
      </c>
      <c r="AG499" s="5">
        <f t="shared" si="135"/>
        <v>3683313.7480119918</v>
      </c>
      <c r="AH499" s="20">
        <f>Model_30y[[#This Row],[Mortgage Payment]]+Model_30y[[#This Row],[Total Upkeep]]+Model_30y[[#This Row],[Monthly Investment]]</f>
        <v>-8823.8130626319744</v>
      </c>
      <c r="AI499" s="5">
        <f>Model_Renter!D499*-1</f>
        <v>12418.673329048697</v>
      </c>
      <c r="AJ499" s="5">
        <f t="shared" si="128"/>
        <v>3594.8602664167229</v>
      </c>
    </row>
    <row r="500" spans="1:36" x14ac:dyDescent="0.25">
      <c r="A500" s="17">
        <f t="shared" si="129"/>
        <v>498</v>
      </c>
      <c r="B500" s="17">
        <f t="shared" si="124"/>
        <v>42</v>
      </c>
      <c r="C500" s="23">
        <f>IFERROR(PPMT(Assumptions!$E$17, A500, 180, Assumptions!$D$8), 0)</f>
        <v>0</v>
      </c>
      <c r="D500" s="38">
        <f>IFERROR(IPMT(Assumptions!$E$17,A500,180,Assumptions!$D$8), 0)</f>
        <v>0</v>
      </c>
      <c r="E500" s="2">
        <f t="shared" si="130"/>
        <v>0</v>
      </c>
      <c r="F500" s="2">
        <f>IF(I499&gt;1, Assumptions!$E$19, 0)*-1</f>
        <v>0</v>
      </c>
      <c r="G500" s="24">
        <f t="shared" si="125"/>
        <v>1</v>
      </c>
      <c r="H500" s="20">
        <f t="shared" si="131"/>
        <v>339999.99999999988</v>
      </c>
      <c r="I500" s="2">
        <f>MAX(Assumptions!$D$8-SUM(Model_15y!H500), 0)</f>
        <v>1.1641532182693481E-10</v>
      </c>
      <c r="J500" s="2">
        <f>J499*(1+(Assumptions!$E$51))</f>
        <v>3219176.8910251767</v>
      </c>
      <c r="K500" s="22">
        <f t="shared" si="120"/>
        <v>3219176.8910251767</v>
      </c>
      <c r="L500" s="5">
        <f t="shared" si="132"/>
        <v>425000</v>
      </c>
      <c r="M500" s="63">
        <f>L500/Assumptions!$D$6</f>
        <v>1</v>
      </c>
      <c r="N500" s="24">
        <f t="shared" si="136"/>
        <v>0</v>
      </c>
      <c r="O500" s="22">
        <f>N500*Assumptions!$E$25*-1</f>
        <v>0</v>
      </c>
      <c r="P500" s="5">
        <f>Assumptions!$E$35*J500*-1</f>
        <v>-6630.9773191732511</v>
      </c>
      <c r="Q500" s="5">
        <f>J500*Assumptions!$E$36*-1</f>
        <v>-2670.4299279277661</v>
      </c>
      <c r="R500" s="5">
        <f>R488+R488*Assumptions!$D$51</f>
        <v>-2401.7801490002248</v>
      </c>
      <c r="S500" s="5">
        <f>S488+(S488*Assumptions!$D$51)</f>
        <v>0</v>
      </c>
      <c r="T500" s="5">
        <f t="shared" si="126"/>
        <v>0</v>
      </c>
      <c r="U500" s="22">
        <f t="shared" si="121"/>
        <v>-11703.187396101242</v>
      </c>
      <c r="V500" s="5">
        <f>MAX(Assumptions!$E$18:$E$19)-U500</f>
        <v>14544.820407899939</v>
      </c>
      <c r="W500" s="5">
        <f t="shared" si="122"/>
        <v>0</v>
      </c>
      <c r="X500" s="5">
        <f t="shared" si="127"/>
        <v>-11703.187396101242</v>
      </c>
      <c r="Y500" s="5">
        <f>D500*Assumptions!$D$44*-1</f>
        <v>0</v>
      </c>
      <c r="Z500" s="5">
        <f t="shared" si="123"/>
        <v>2841.6330117986963</v>
      </c>
      <c r="AA500" s="5">
        <f t="shared" si="133"/>
        <v>3683313.7480119918</v>
      </c>
      <c r="AB500" s="3">
        <f>Assumptions!$E$45</f>
        <v>6.9899151946608562E-3</v>
      </c>
      <c r="AC500" s="5">
        <f t="shared" si="134"/>
        <v>3711901.431757723</v>
      </c>
      <c r="AD500" s="4">
        <f>AC500*Assumptions!$E$43</f>
        <v>3324.2879786793583</v>
      </c>
      <c r="AE500" s="2">
        <f>AD500*Assumptions!$D$44*-1</f>
        <v>-498.64319680190374</v>
      </c>
      <c r="AF500" s="2">
        <f>AC500*Assumptions!$E$46*-1</f>
        <v>-123.70736967876084</v>
      </c>
      <c r="AG500" s="5">
        <f t="shared" si="135"/>
        <v>3711279.0811912422</v>
      </c>
      <c r="AH500" s="20">
        <f>Model_30y[[#This Row],[Mortgage Payment]]+Model_30y[[#This Row],[Total Upkeep]]+Model_30y[[#This Row],[Monthly Investment]]</f>
        <v>-8861.5543843025462</v>
      </c>
      <c r="AI500" s="5">
        <f>Model_Renter!D500*-1</f>
        <v>12418.673329048697</v>
      </c>
      <c r="AJ500" s="5">
        <f t="shared" si="128"/>
        <v>3557.1189447461511</v>
      </c>
    </row>
    <row r="501" spans="1:36" x14ac:dyDescent="0.25">
      <c r="A501" s="17">
        <f t="shared" si="129"/>
        <v>499</v>
      </c>
      <c r="B501" s="17">
        <f t="shared" si="124"/>
        <v>42</v>
      </c>
      <c r="C501" s="23">
        <f>IFERROR(PPMT(Assumptions!$E$17, A501, 180, Assumptions!$D$8), 0)</f>
        <v>0</v>
      </c>
      <c r="D501" s="38">
        <f>IFERROR(IPMT(Assumptions!$E$17,A501,180,Assumptions!$D$8), 0)</f>
        <v>0</v>
      </c>
      <c r="E501" s="2">
        <f t="shared" si="130"/>
        <v>0</v>
      </c>
      <c r="F501" s="2">
        <f>IF(I500&gt;1, Assumptions!$E$19, 0)*-1</f>
        <v>0</v>
      </c>
      <c r="G501" s="24">
        <f t="shared" si="125"/>
        <v>1</v>
      </c>
      <c r="H501" s="20">
        <f t="shared" si="131"/>
        <v>339999.99999999988</v>
      </c>
      <c r="I501" s="2">
        <f>MAX(Assumptions!$D$8-SUM(Model_15y!H501), 0)</f>
        <v>1.1641532182693481E-10</v>
      </c>
      <c r="J501" s="2">
        <f>J500*(1+(Assumptions!$E$51))</f>
        <v>3232292.2161606736</v>
      </c>
      <c r="K501" s="22">
        <f t="shared" si="120"/>
        <v>3232292.2161606736</v>
      </c>
      <c r="L501" s="5">
        <f t="shared" si="132"/>
        <v>425000</v>
      </c>
      <c r="M501" s="63">
        <f>L501/Assumptions!$D$6</f>
        <v>1</v>
      </c>
      <c r="N501" s="24">
        <f t="shared" si="136"/>
        <v>0</v>
      </c>
      <c r="O501" s="22">
        <f>N501*Assumptions!$E$25*-1</f>
        <v>0</v>
      </c>
      <c r="P501" s="5">
        <f>Assumptions!$E$35*J501*-1</f>
        <v>-6657.9927415781285</v>
      </c>
      <c r="Q501" s="5">
        <f>J501*Assumptions!$E$36*-1</f>
        <v>-2681.3095900097028</v>
      </c>
      <c r="R501" s="5">
        <f>R489+R489*Assumptions!$D$51</f>
        <v>-2401.7801490002248</v>
      </c>
      <c r="S501" s="5">
        <f>S489+(S489*Assumptions!$D$51)</f>
        <v>0</v>
      </c>
      <c r="T501" s="5">
        <f t="shared" si="126"/>
        <v>0</v>
      </c>
      <c r="U501" s="22">
        <f t="shared" si="121"/>
        <v>-11741.082480588055</v>
      </c>
      <c r="V501" s="5">
        <f>MAX(Assumptions!$E$18:$E$19)-U501</f>
        <v>14582.715492386751</v>
      </c>
      <c r="W501" s="5">
        <f t="shared" si="122"/>
        <v>0</v>
      </c>
      <c r="X501" s="5">
        <f t="shared" si="127"/>
        <v>-11741.082480588055</v>
      </c>
      <c r="Y501" s="5">
        <f>D501*Assumptions!$D$44*-1</f>
        <v>0</v>
      </c>
      <c r="Z501" s="5">
        <f t="shared" si="123"/>
        <v>2841.6330117986963</v>
      </c>
      <c r="AA501" s="5">
        <f t="shared" si="133"/>
        <v>3711279.0811912422</v>
      </c>
      <c r="AB501" s="3">
        <f>Assumptions!$E$45</f>
        <v>6.9899151946608562E-3</v>
      </c>
      <c r="AC501" s="5">
        <f t="shared" si="134"/>
        <v>3740062.2402442866</v>
      </c>
      <c r="AD501" s="4">
        <f>AC501*Assumptions!$E$43</f>
        <v>3349.5081088048087</v>
      </c>
      <c r="AE501" s="2">
        <f>AD501*Assumptions!$D$44*-1</f>
        <v>-502.42621632072127</v>
      </c>
      <c r="AF501" s="2">
        <f>AC501*Assumptions!$E$46*-1</f>
        <v>-124.64589124511893</v>
      </c>
      <c r="AG501" s="5">
        <f t="shared" si="135"/>
        <v>3739435.1681367205</v>
      </c>
      <c r="AH501" s="20">
        <f>Model_30y[[#This Row],[Mortgage Payment]]+Model_30y[[#This Row],[Total Upkeep]]+Model_30y[[#This Row],[Monthly Investment]]</f>
        <v>-8899.4494687893584</v>
      </c>
      <c r="AI501" s="5">
        <f>Model_Renter!D501*-1</f>
        <v>12418.673329048697</v>
      </c>
      <c r="AJ501" s="5">
        <f t="shared" si="128"/>
        <v>3519.2238602593388</v>
      </c>
    </row>
    <row r="502" spans="1:36" x14ac:dyDescent="0.25">
      <c r="A502" s="17">
        <f t="shared" si="129"/>
        <v>500</v>
      </c>
      <c r="B502" s="17">
        <f t="shared" si="124"/>
        <v>42</v>
      </c>
      <c r="C502" s="23">
        <f>IFERROR(PPMT(Assumptions!$E$17, A502, 180, Assumptions!$D$8), 0)</f>
        <v>0</v>
      </c>
      <c r="D502" s="38">
        <f>IFERROR(IPMT(Assumptions!$E$17,A502,180,Assumptions!$D$8), 0)</f>
        <v>0</v>
      </c>
      <c r="E502" s="2">
        <f t="shared" si="130"/>
        <v>0</v>
      </c>
      <c r="F502" s="2">
        <f>IF(I501&gt;1, Assumptions!$E$19, 0)*-1</f>
        <v>0</v>
      </c>
      <c r="G502" s="24">
        <f t="shared" si="125"/>
        <v>1</v>
      </c>
      <c r="H502" s="20">
        <f t="shared" si="131"/>
        <v>339999.99999999988</v>
      </c>
      <c r="I502" s="2">
        <f>MAX(Assumptions!$D$8-SUM(Model_15y!H502), 0)</f>
        <v>1.1641532182693481E-10</v>
      </c>
      <c r="J502" s="2">
        <f>J501*(1+(Assumptions!$E$51))</f>
        <v>3245460.9747542352</v>
      </c>
      <c r="K502" s="22">
        <f t="shared" si="120"/>
        <v>3245460.9747542352</v>
      </c>
      <c r="L502" s="5">
        <f t="shared" si="132"/>
        <v>425000</v>
      </c>
      <c r="M502" s="63">
        <f>L502/Assumptions!$D$6</f>
        <v>1</v>
      </c>
      <c r="N502" s="24">
        <f t="shared" si="136"/>
        <v>0</v>
      </c>
      <c r="O502" s="22">
        <f>N502*Assumptions!$E$25*-1</f>
        <v>0</v>
      </c>
      <c r="P502" s="5">
        <f>Assumptions!$E$35*J502*-1</f>
        <v>-6685.1182281579495</v>
      </c>
      <c r="Q502" s="5">
        <f>J502*Assumptions!$E$36*-1</f>
        <v>-2692.2335771816856</v>
      </c>
      <c r="R502" s="5">
        <f>R490+R490*Assumptions!$D$51</f>
        <v>-2401.7801490002248</v>
      </c>
      <c r="S502" s="5">
        <f>S490+(S490*Assumptions!$D$51)</f>
        <v>0</v>
      </c>
      <c r="T502" s="5">
        <f t="shared" si="126"/>
        <v>0</v>
      </c>
      <c r="U502" s="22">
        <f t="shared" si="121"/>
        <v>-11779.13195433986</v>
      </c>
      <c r="V502" s="5">
        <f>MAX(Assumptions!$E$18:$E$19)-U502</f>
        <v>14620.764966138557</v>
      </c>
      <c r="W502" s="5">
        <f t="shared" si="122"/>
        <v>0</v>
      </c>
      <c r="X502" s="5">
        <f t="shared" si="127"/>
        <v>-11779.13195433986</v>
      </c>
      <c r="Y502" s="5">
        <f>D502*Assumptions!$D$44*-1</f>
        <v>0</v>
      </c>
      <c r="Z502" s="5">
        <f t="shared" si="123"/>
        <v>2841.6330117986963</v>
      </c>
      <c r="AA502" s="5">
        <f t="shared" si="133"/>
        <v>3739435.1681367205</v>
      </c>
      <c r="AB502" s="3">
        <f>Assumptions!$E$45</f>
        <v>6.9899151946608562E-3</v>
      </c>
      <c r="AC502" s="5">
        <f t="shared" si="134"/>
        <v>3768415.1358497273</v>
      </c>
      <c r="AD502" s="4">
        <f>AC502*Assumptions!$E$43</f>
        <v>3374.9002674476865</v>
      </c>
      <c r="AE502" s="2">
        <f>AD502*Assumptions!$D$44*-1</f>
        <v>-506.23504011715295</v>
      </c>
      <c r="AF502" s="2">
        <f>AC502*Assumptions!$E$46*-1</f>
        <v>-125.59081454187378</v>
      </c>
      <c r="AG502" s="5">
        <f t="shared" si="135"/>
        <v>3767783.3099950682</v>
      </c>
      <c r="AH502" s="20">
        <f>Model_30y[[#This Row],[Mortgage Payment]]+Model_30y[[#This Row],[Total Upkeep]]+Model_30y[[#This Row],[Monthly Investment]]</f>
        <v>-8937.4989425411641</v>
      </c>
      <c r="AI502" s="5">
        <f>Model_Renter!D502*-1</f>
        <v>12418.673329048697</v>
      </c>
      <c r="AJ502" s="5">
        <f t="shared" si="128"/>
        <v>3481.1743865075332</v>
      </c>
    </row>
    <row r="503" spans="1:36" x14ac:dyDescent="0.25">
      <c r="A503" s="17">
        <f t="shared" si="129"/>
        <v>501</v>
      </c>
      <c r="B503" s="17">
        <f t="shared" si="124"/>
        <v>42</v>
      </c>
      <c r="C503" s="23">
        <f>IFERROR(PPMT(Assumptions!$E$17, A503, 180, Assumptions!$D$8), 0)</f>
        <v>0</v>
      </c>
      <c r="D503" s="38">
        <f>IFERROR(IPMT(Assumptions!$E$17,A503,180,Assumptions!$D$8), 0)</f>
        <v>0</v>
      </c>
      <c r="E503" s="2">
        <f t="shared" si="130"/>
        <v>0</v>
      </c>
      <c r="F503" s="2">
        <f>IF(I502&gt;1, Assumptions!$E$19, 0)*-1</f>
        <v>0</v>
      </c>
      <c r="G503" s="24">
        <f t="shared" si="125"/>
        <v>1</v>
      </c>
      <c r="H503" s="20">
        <f t="shared" si="131"/>
        <v>339999.99999999988</v>
      </c>
      <c r="I503" s="2">
        <f>MAX(Assumptions!$D$8-SUM(Model_15y!H503), 0)</f>
        <v>1.1641532182693481E-10</v>
      </c>
      <c r="J503" s="2">
        <f>J502*(1+(Assumptions!$E$51))</f>
        <v>3258683.3845003839</v>
      </c>
      <c r="K503" s="22">
        <f t="shared" si="120"/>
        <v>3258683.3845003839</v>
      </c>
      <c r="L503" s="5">
        <f t="shared" si="132"/>
        <v>425000</v>
      </c>
      <c r="M503" s="63">
        <f>L503/Assumptions!$D$6</f>
        <v>1</v>
      </c>
      <c r="N503" s="24">
        <f t="shared" si="136"/>
        <v>0</v>
      </c>
      <c r="O503" s="22">
        <f>N503*Assumptions!$E$25*-1</f>
        <v>0</v>
      </c>
      <c r="P503" s="5">
        <f>Assumptions!$E$35*J503*-1</f>
        <v>-6712.354227327789</v>
      </c>
      <c r="Q503" s="5">
        <f>J503*Assumptions!$E$36*-1</f>
        <v>-2703.2020700296184</v>
      </c>
      <c r="R503" s="5">
        <f>R491+R491*Assumptions!$D$51</f>
        <v>-2401.7801490002248</v>
      </c>
      <c r="S503" s="5">
        <f>S491+(S491*Assumptions!$D$51)</f>
        <v>0</v>
      </c>
      <c r="T503" s="5">
        <f t="shared" si="126"/>
        <v>0</v>
      </c>
      <c r="U503" s="22">
        <f t="shared" si="121"/>
        <v>-11817.336446357633</v>
      </c>
      <c r="V503" s="5">
        <f>MAX(Assumptions!$E$18:$E$19)-U503</f>
        <v>14658.969458156329</v>
      </c>
      <c r="W503" s="5">
        <f t="shared" si="122"/>
        <v>0</v>
      </c>
      <c r="X503" s="5">
        <f t="shared" si="127"/>
        <v>-11817.336446357633</v>
      </c>
      <c r="Y503" s="5">
        <f>D503*Assumptions!$D$44*-1</f>
        <v>0</v>
      </c>
      <c r="Z503" s="5">
        <f t="shared" si="123"/>
        <v>2841.6330117986963</v>
      </c>
      <c r="AA503" s="5">
        <f t="shared" si="133"/>
        <v>3767783.3099950682</v>
      </c>
      <c r="AB503" s="3">
        <f>Assumptions!$E$45</f>
        <v>6.9899151946608562E-3</v>
      </c>
      <c r="AC503" s="5">
        <f t="shared" si="134"/>
        <v>3796961.4288155911</v>
      </c>
      <c r="AD503" s="4">
        <f>AC503*Assumptions!$E$43</f>
        <v>3400.4656280282188</v>
      </c>
      <c r="AE503" s="2">
        <f>AD503*Assumptions!$D$44*-1</f>
        <v>-510.06984420423282</v>
      </c>
      <c r="AF503" s="2">
        <f>AC503*Assumptions!$E$46*-1</f>
        <v>-126.54218323573862</v>
      </c>
      <c r="AG503" s="5">
        <f t="shared" si="135"/>
        <v>3796324.8167881514</v>
      </c>
      <c r="AH503" s="20">
        <f>Model_30y[[#This Row],[Mortgage Payment]]+Model_30y[[#This Row],[Total Upkeep]]+Model_30y[[#This Row],[Monthly Investment]]</f>
        <v>-8975.7034345589364</v>
      </c>
      <c r="AI503" s="5">
        <f>Model_Renter!D503*-1</f>
        <v>12418.673329048697</v>
      </c>
      <c r="AJ503" s="5">
        <f t="shared" si="128"/>
        <v>3442.9698944897609</v>
      </c>
    </row>
    <row r="504" spans="1:36" x14ac:dyDescent="0.25">
      <c r="A504" s="17">
        <f t="shared" si="129"/>
        <v>502</v>
      </c>
      <c r="B504" s="17">
        <f t="shared" si="124"/>
        <v>42</v>
      </c>
      <c r="C504" s="23">
        <f>IFERROR(PPMT(Assumptions!$E$17, A504, 180, Assumptions!$D$8), 0)</f>
        <v>0</v>
      </c>
      <c r="D504" s="38">
        <f>IFERROR(IPMT(Assumptions!$E$17,A504,180,Assumptions!$D$8), 0)</f>
        <v>0</v>
      </c>
      <c r="E504" s="2">
        <f t="shared" si="130"/>
        <v>0</v>
      </c>
      <c r="F504" s="2">
        <f>IF(I503&gt;1, Assumptions!$E$19, 0)*-1</f>
        <v>0</v>
      </c>
      <c r="G504" s="24">
        <f t="shared" si="125"/>
        <v>1</v>
      </c>
      <c r="H504" s="20">
        <f t="shared" si="131"/>
        <v>339999.99999999988</v>
      </c>
      <c r="I504" s="2">
        <f>MAX(Assumptions!$D$8-SUM(Model_15y!H504), 0)</f>
        <v>1.1641532182693481E-10</v>
      </c>
      <c r="J504" s="2">
        <f>J503*(1+(Assumptions!$E$51))</f>
        <v>3271959.6639805567</v>
      </c>
      <c r="K504" s="22">
        <f t="shared" si="120"/>
        <v>3271959.6639805567</v>
      </c>
      <c r="L504" s="5">
        <f t="shared" si="132"/>
        <v>425000</v>
      </c>
      <c r="M504" s="63">
        <f>L504/Assumptions!$D$6</f>
        <v>1</v>
      </c>
      <c r="N504" s="24">
        <f t="shared" si="136"/>
        <v>0</v>
      </c>
      <c r="O504" s="22">
        <f>N504*Assumptions!$E$25*-1</f>
        <v>0</v>
      </c>
      <c r="P504" s="5">
        <f>Assumptions!$E$35*J504*-1</f>
        <v>-6739.7011893296176</v>
      </c>
      <c r="Q504" s="5">
        <f>J504*Assumptions!$E$36*-1</f>
        <v>-2714.2152498751334</v>
      </c>
      <c r="R504" s="5">
        <f>R492+R492*Assumptions!$D$51</f>
        <v>-2401.7801490002248</v>
      </c>
      <c r="S504" s="5">
        <f>S492+(S492*Assumptions!$D$51)</f>
        <v>0</v>
      </c>
      <c r="T504" s="5">
        <f t="shared" si="126"/>
        <v>0</v>
      </c>
      <c r="U504" s="22">
        <f t="shared" si="121"/>
        <v>-11855.696588204977</v>
      </c>
      <c r="V504" s="5">
        <f>MAX(Assumptions!$E$18:$E$19)-U504</f>
        <v>14697.329600003673</v>
      </c>
      <c r="W504" s="5">
        <f t="shared" si="122"/>
        <v>0</v>
      </c>
      <c r="X504" s="5">
        <f t="shared" si="127"/>
        <v>-11855.696588204977</v>
      </c>
      <c r="Y504" s="5">
        <f>D504*Assumptions!$D$44*-1</f>
        <v>0</v>
      </c>
      <c r="Z504" s="5">
        <f t="shared" si="123"/>
        <v>2841.6330117986963</v>
      </c>
      <c r="AA504" s="5">
        <f t="shared" si="133"/>
        <v>3796324.8167881514</v>
      </c>
      <c r="AB504" s="3">
        <f>Assumptions!$E$45</f>
        <v>6.9899151946608562E-3</v>
      </c>
      <c r="AC504" s="5">
        <f t="shared" si="134"/>
        <v>3825702.4383206856</v>
      </c>
      <c r="AD504" s="4">
        <f>AC504*Assumptions!$E$43</f>
        <v>3426.2053719706246</v>
      </c>
      <c r="AE504" s="2">
        <f>AD504*Assumptions!$D$44*-1</f>
        <v>-513.93080579559364</v>
      </c>
      <c r="AF504" s="2">
        <f>AC504*Assumptions!$E$46*-1</f>
        <v>-127.50004129128075</v>
      </c>
      <c r="AG504" s="5">
        <f t="shared" si="135"/>
        <v>3825061.0074735987</v>
      </c>
      <c r="AH504" s="20">
        <f>Model_30y[[#This Row],[Mortgage Payment]]+Model_30y[[#This Row],[Total Upkeep]]+Model_30y[[#This Row],[Monthly Investment]]</f>
        <v>-9014.0635764062808</v>
      </c>
      <c r="AI504" s="5">
        <f>Model_Renter!D504*-1</f>
        <v>12418.673329048697</v>
      </c>
      <c r="AJ504" s="5">
        <f t="shared" si="128"/>
        <v>3404.6097526424164</v>
      </c>
    </row>
    <row r="505" spans="1:36" x14ac:dyDescent="0.25">
      <c r="A505" s="17">
        <f t="shared" si="129"/>
        <v>503</v>
      </c>
      <c r="B505" s="17">
        <f t="shared" si="124"/>
        <v>42</v>
      </c>
      <c r="C505" s="23">
        <f>IFERROR(PPMT(Assumptions!$E$17, A505, 180, Assumptions!$D$8), 0)</f>
        <v>0</v>
      </c>
      <c r="D505" s="38">
        <f>IFERROR(IPMT(Assumptions!$E$17,A505,180,Assumptions!$D$8), 0)</f>
        <v>0</v>
      </c>
      <c r="E505" s="2">
        <f t="shared" si="130"/>
        <v>0</v>
      </c>
      <c r="F505" s="2">
        <f>IF(I504&gt;1, Assumptions!$E$19, 0)*-1</f>
        <v>0</v>
      </c>
      <c r="G505" s="24">
        <f t="shared" si="125"/>
        <v>1</v>
      </c>
      <c r="H505" s="20">
        <f t="shared" si="131"/>
        <v>339999.99999999988</v>
      </c>
      <c r="I505" s="2">
        <f>MAX(Assumptions!$D$8-SUM(Model_15y!H505), 0)</f>
        <v>1.1641532182693481E-10</v>
      </c>
      <c r="J505" s="2">
        <f>J504*(1+(Assumptions!$E$51))</f>
        <v>3285290.0326667181</v>
      </c>
      <c r="K505" s="22">
        <f t="shared" si="120"/>
        <v>3285290.0326667181</v>
      </c>
      <c r="L505" s="5">
        <f t="shared" si="132"/>
        <v>425000</v>
      </c>
      <c r="M505" s="63">
        <f>L505/Assumptions!$D$6</f>
        <v>1</v>
      </c>
      <c r="N505" s="24">
        <f t="shared" si="136"/>
        <v>0</v>
      </c>
      <c r="O505" s="22">
        <f>N505*Assumptions!$E$25*-1</f>
        <v>0</v>
      </c>
      <c r="P505" s="5">
        <f>Assumptions!$E$35*J505*-1</f>
        <v>-6767.1595662397485</v>
      </c>
      <c r="Q505" s="5">
        <f>J505*Assumptions!$E$36*-1</f>
        <v>-2725.2732987785912</v>
      </c>
      <c r="R505" s="5">
        <f>R493+R493*Assumptions!$D$51</f>
        <v>-2401.7801490002248</v>
      </c>
      <c r="S505" s="5">
        <f>S493+(S493*Assumptions!$D$51)</f>
        <v>0</v>
      </c>
      <c r="T505" s="5">
        <f t="shared" si="126"/>
        <v>0</v>
      </c>
      <c r="U505" s="22">
        <f t="shared" si="121"/>
        <v>-11894.213014018565</v>
      </c>
      <c r="V505" s="5">
        <f>MAX(Assumptions!$E$18:$E$19)-U505</f>
        <v>14735.846025817262</v>
      </c>
      <c r="W505" s="5">
        <f t="shared" si="122"/>
        <v>0</v>
      </c>
      <c r="X505" s="5">
        <f t="shared" si="127"/>
        <v>-11894.213014018565</v>
      </c>
      <c r="Y505" s="5">
        <f>D505*Assumptions!$D$44*-1</f>
        <v>0</v>
      </c>
      <c r="Z505" s="5">
        <f t="shared" si="123"/>
        <v>2841.6330117986963</v>
      </c>
      <c r="AA505" s="5">
        <f t="shared" si="133"/>
        <v>3825061.0074735987</v>
      </c>
      <c r="AB505" s="3">
        <f>Assumptions!$E$45</f>
        <v>6.9899151946608562E-3</v>
      </c>
      <c r="AC505" s="5">
        <f t="shared" si="134"/>
        <v>3854639.4925420419</v>
      </c>
      <c r="AD505" s="4">
        <f>AC505*Assumptions!$E$43</f>
        <v>3452.1206887577127</v>
      </c>
      <c r="AE505" s="2">
        <f>AD505*Assumptions!$D$44*-1</f>
        <v>-517.81810331365693</v>
      </c>
      <c r="AF505" s="2">
        <f>AC505*Assumptions!$E$46*-1</f>
        <v>-128.46443297295332</v>
      </c>
      <c r="AG505" s="5">
        <f t="shared" si="135"/>
        <v>3853993.2100057555</v>
      </c>
      <c r="AH505" s="20">
        <f>Model_30y[[#This Row],[Mortgage Payment]]+Model_30y[[#This Row],[Total Upkeep]]+Model_30y[[#This Row],[Monthly Investment]]</f>
        <v>-9052.5800022198691</v>
      </c>
      <c r="AI505" s="5">
        <f>Model_Renter!D505*-1</f>
        <v>12418.673329048697</v>
      </c>
      <c r="AJ505" s="5">
        <f t="shared" si="128"/>
        <v>3366.0933268288281</v>
      </c>
    </row>
    <row r="506" spans="1:36" x14ac:dyDescent="0.25">
      <c r="A506" s="17">
        <f t="shared" si="129"/>
        <v>504</v>
      </c>
      <c r="B506" s="17">
        <f t="shared" si="124"/>
        <v>42</v>
      </c>
      <c r="C506" s="23">
        <f>IFERROR(PPMT(Assumptions!$E$17, A506, 180, Assumptions!$D$8), 0)</f>
        <v>0</v>
      </c>
      <c r="D506" s="38">
        <f>IFERROR(IPMT(Assumptions!$E$17,A506,180,Assumptions!$D$8), 0)</f>
        <v>0</v>
      </c>
      <c r="E506" s="2">
        <f t="shared" si="130"/>
        <v>0</v>
      </c>
      <c r="F506" s="2">
        <f>IF(I505&gt;1, Assumptions!$E$19, 0)*-1</f>
        <v>0</v>
      </c>
      <c r="G506" s="24">
        <f t="shared" si="125"/>
        <v>1</v>
      </c>
      <c r="H506" s="20">
        <f t="shared" si="131"/>
        <v>339999.99999999988</v>
      </c>
      <c r="I506" s="2">
        <f>MAX(Assumptions!$D$8-SUM(Model_15y!H506), 0)</f>
        <v>1.1641532182693481E-10</v>
      </c>
      <c r="J506" s="2">
        <f>J505*(1+(Assumptions!$E$51))</f>
        <v>3298674.7109249886</v>
      </c>
      <c r="K506" s="22">
        <f t="shared" si="120"/>
        <v>3298674.7109249886</v>
      </c>
      <c r="L506" s="5">
        <f t="shared" si="132"/>
        <v>425000</v>
      </c>
      <c r="M506" s="63">
        <f>L506/Assumptions!$D$6</f>
        <v>1</v>
      </c>
      <c r="N506" s="24">
        <f t="shared" si="136"/>
        <v>0</v>
      </c>
      <c r="O506" s="22">
        <f>N506*Assumptions!$E$25*-1</f>
        <v>0</v>
      </c>
      <c r="P506" s="5">
        <f>Assumptions!$E$35*J506*-1</f>
        <v>-6794.72981197631</v>
      </c>
      <c r="Q506" s="5">
        <f>J506*Assumptions!$E$36*-1</f>
        <v>-2736.3763995420868</v>
      </c>
      <c r="R506" s="5">
        <f>R494+R494*Assumptions!$D$51</f>
        <v>-2401.7801490002248</v>
      </c>
      <c r="S506" s="5">
        <f>S494+(S494*Assumptions!$D$51)</f>
        <v>0</v>
      </c>
      <c r="T506" s="5">
        <f t="shared" si="126"/>
        <v>0</v>
      </c>
      <c r="U506" s="22">
        <f t="shared" si="121"/>
        <v>-11932.88636051862</v>
      </c>
      <c r="V506" s="5">
        <f>MAX(Assumptions!$E$18:$E$19)-U506</f>
        <v>14774.519372317316</v>
      </c>
      <c r="W506" s="5">
        <f t="shared" si="122"/>
        <v>0</v>
      </c>
      <c r="X506" s="5">
        <f t="shared" si="127"/>
        <v>-11932.88636051862</v>
      </c>
      <c r="Y506" s="5">
        <f>D506*Assumptions!$D$44*-1</f>
        <v>0</v>
      </c>
      <c r="Z506" s="5">
        <f t="shared" si="123"/>
        <v>2841.6330117986963</v>
      </c>
      <c r="AA506" s="5">
        <f t="shared" si="133"/>
        <v>3853993.2100057555</v>
      </c>
      <c r="AB506" s="3">
        <f>Assumptions!$E$45</f>
        <v>6.9899151946608562E-3</v>
      </c>
      <c r="AC506" s="5">
        <f t="shared" si="134"/>
        <v>3883773.9287162935</v>
      </c>
      <c r="AD506" s="4">
        <f>AC506*Assumptions!$E$43</f>
        <v>3478.212775985849</v>
      </c>
      <c r="AE506" s="2">
        <f>AD506*Assumptions!$D$44*-1</f>
        <v>-521.73191639787728</v>
      </c>
      <c r="AF506" s="2">
        <f>AC506*Assumptions!$E$46*-1</f>
        <v>-129.43540284714089</v>
      </c>
      <c r="AG506" s="5">
        <f t="shared" si="135"/>
        <v>3883122.7613970484</v>
      </c>
      <c r="AH506" s="20">
        <f>Model_30y[[#This Row],[Mortgage Payment]]+Model_30y[[#This Row],[Total Upkeep]]+Model_30y[[#This Row],[Monthly Investment]]</f>
        <v>-9091.2533487199235</v>
      </c>
      <c r="AI506" s="5">
        <f>Model_Renter!D506*-1</f>
        <v>12418.673329048697</v>
      </c>
      <c r="AJ506" s="5">
        <f t="shared" si="128"/>
        <v>3327.4199803287738</v>
      </c>
    </row>
    <row r="507" spans="1:36" x14ac:dyDescent="0.25">
      <c r="A507" s="17">
        <f t="shared" si="129"/>
        <v>505</v>
      </c>
      <c r="B507" s="17">
        <f t="shared" si="124"/>
        <v>43</v>
      </c>
      <c r="C507" s="23">
        <f>IFERROR(PPMT(Assumptions!$E$17, A507, 180, Assumptions!$D$8), 0)</f>
        <v>0</v>
      </c>
      <c r="D507" s="38">
        <f>IFERROR(IPMT(Assumptions!$E$17,A507,180,Assumptions!$D$8), 0)</f>
        <v>0</v>
      </c>
      <c r="E507" s="2">
        <f t="shared" si="130"/>
        <v>0</v>
      </c>
      <c r="F507" s="2">
        <f>IF(I506&gt;1, Assumptions!$E$19, 0)*-1</f>
        <v>0</v>
      </c>
      <c r="G507" s="24">
        <f t="shared" si="125"/>
        <v>1</v>
      </c>
      <c r="H507" s="20">
        <f t="shared" si="131"/>
        <v>339999.99999999988</v>
      </c>
      <c r="I507" s="2">
        <f>MAX(Assumptions!$D$8-SUM(Model_15y!H507), 0)</f>
        <v>1.1641532182693481E-10</v>
      </c>
      <c r="J507" s="2">
        <f>J506*(1+(Assumptions!$E$51))</f>
        <v>3312113.9200192876</v>
      </c>
      <c r="K507" s="22">
        <f t="shared" si="120"/>
        <v>3312113.9200192876</v>
      </c>
      <c r="L507" s="5">
        <f t="shared" si="132"/>
        <v>425000</v>
      </c>
      <c r="M507" s="63">
        <f>L507/Assumptions!$D$6</f>
        <v>1</v>
      </c>
      <c r="N507" s="24">
        <f t="shared" si="136"/>
        <v>0</v>
      </c>
      <c r="O507" s="22">
        <f>N507*Assumptions!$E$25*-1</f>
        <v>0</v>
      </c>
      <c r="P507" s="5">
        <f>Assumptions!$E$35*J507*-1</f>
        <v>-6822.4123823067475</v>
      </c>
      <c r="Q507" s="5">
        <f>J507*Assumptions!$E$36*-1</f>
        <v>-2747.5247357124754</v>
      </c>
      <c r="R507" s="5">
        <f>R495+R495*Assumptions!$D$51</f>
        <v>-2521.869156450236</v>
      </c>
      <c r="S507" s="5">
        <f>S495+(S495*Assumptions!$D$51)</f>
        <v>0</v>
      </c>
      <c r="T507" s="5">
        <f t="shared" si="126"/>
        <v>0</v>
      </c>
      <c r="U507" s="22">
        <f t="shared" si="121"/>
        <v>-12091.806274469458</v>
      </c>
      <c r="V507" s="5">
        <f>MAX(Assumptions!$E$18:$E$19)-U507</f>
        <v>14933.439286268154</v>
      </c>
      <c r="W507" s="5">
        <f t="shared" si="122"/>
        <v>0</v>
      </c>
      <c r="X507" s="5">
        <f t="shared" si="127"/>
        <v>-12091.806274469458</v>
      </c>
      <c r="Y507" s="5">
        <f>D507*Assumptions!$D$44*-1</f>
        <v>0</v>
      </c>
      <c r="Z507" s="5">
        <f t="shared" si="123"/>
        <v>2841.6330117986963</v>
      </c>
      <c r="AA507" s="5">
        <f t="shared" si="133"/>
        <v>3883122.7613970484</v>
      </c>
      <c r="AB507" s="3">
        <f>Assumptions!$E$45</f>
        <v>6.9899151946608562E-3</v>
      </c>
      <c r="AC507" s="5">
        <f t="shared" si="134"/>
        <v>3913107.0932014696</v>
      </c>
      <c r="AD507" s="4">
        <f>AC507*Assumptions!$E$43</f>
        <v>3504.4828394202973</v>
      </c>
      <c r="AE507" s="2">
        <f>AD507*Assumptions!$D$44*-1</f>
        <v>-525.67242591304455</v>
      </c>
      <c r="AF507" s="2">
        <f>AC507*Assumptions!$E$46*-1</f>
        <v>-130.41299578421874</v>
      </c>
      <c r="AG507" s="5">
        <f t="shared" si="135"/>
        <v>3912451.0077797724</v>
      </c>
      <c r="AH507" s="20">
        <f>Model_30y[[#This Row],[Mortgage Payment]]+Model_30y[[#This Row],[Total Upkeep]]+Model_30y[[#This Row],[Monthly Investment]]</f>
        <v>-9250.1732626707617</v>
      </c>
      <c r="AI507" s="5">
        <f>Model_Renter!D507*-1</f>
        <v>12883.131711555119</v>
      </c>
      <c r="AJ507" s="5">
        <f t="shared" si="128"/>
        <v>3632.9584488843575</v>
      </c>
    </row>
    <row r="508" spans="1:36" x14ac:dyDescent="0.25">
      <c r="A508" s="17">
        <f t="shared" si="129"/>
        <v>506</v>
      </c>
      <c r="B508" s="17">
        <f t="shared" si="124"/>
        <v>43</v>
      </c>
      <c r="C508" s="23">
        <f>IFERROR(PPMT(Assumptions!$E$17, A508, 180, Assumptions!$D$8), 0)</f>
        <v>0</v>
      </c>
      <c r="D508" s="38">
        <f>IFERROR(IPMT(Assumptions!$E$17,A508,180,Assumptions!$D$8), 0)</f>
        <v>0</v>
      </c>
      <c r="E508" s="2">
        <f t="shared" si="130"/>
        <v>0</v>
      </c>
      <c r="F508" s="2">
        <f>IF(I507&gt;1, Assumptions!$E$19, 0)*-1</f>
        <v>0</v>
      </c>
      <c r="G508" s="24">
        <f t="shared" si="125"/>
        <v>1</v>
      </c>
      <c r="H508" s="20">
        <f t="shared" si="131"/>
        <v>339999.99999999988</v>
      </c>
      <c r="I508" s="2">
        <f>MAX(Assumptions!$D$8-SUM(Model_15y!H508), 0)</f>
        <v>1.1641532182693481E-10</v>
      </c>
      <c r="J508" s="2">
        <f>J507*(1+(Assumptions!$E$51))</f>
        <v>3325607.8821149911</v>
      </c>
      <c r="K508" s="22">
        <f t="shared" si="120"/>
        <v>3325607.8821149911</v>
      </c>
      <c r="L508" s="5">
        <f t="shared" si="132"/>
        <v>425000</v>
      </c>
      <c r="M508" s="63">
        <f>L508/Assumptions!$D$6</f>
        <v>1</v>
      </c>
      <c r="N508" s="24">
        <f t="shared" si="136"/>
        <v>0</v>
      </c>
      <c r="O508" s="22">
        <f>N508*Assumptions!$E$25*-1</f>
        <v>0</v>
      </c>
      <c r="P508" s="5">
        <f>Assumptions!$E$35*J508*-1</f>
        <v>-6850.2077348553603</v>
      </c>
      <c r="Q508" s="5">
        <f>J508*Assumptions!$E$36*-1</f>
        <v>-2758.7184915844036</v>
      </c>
      <c r="R508" s="5">
        <f>R496+R496*Assumptions!$D$51</f>
        <v>-2521.869156450236</v>
      </c>
      <c r="S508" s="5">
        <f>S496+(S496*Assumptions!$D$51)</f>
        <v>0</v>
      </c>
      <c r="T508" s="5">
        <f t="shared" si="126"/>
        <v>0</v>
      </c>
      <c r="U508" s="22">
        <f t="shared" si="121"/>
        <v>-12130.795382889999</v>
      </c>
      <c r="V508" s="5">
        <f>MAX(Assumptions!$E$18:$E$19)-U508</f>
        <v>14972.428394688695</v>
      </c>
      <c r="W508" s="5">
        <f t="shared" si="122"/>
        <v>0</v>
      </c>
      <c r="X508" s="5">
        <f t="shared" si="127"/>
        <v>-12130.795382889999</v>
      </c>
      <c r="Y508" s="5">
        <f>D508*Assumptions!$D$44*-1</f>
        <v>0</v>
      </c>
      <c r="Z508" s="5">
        <f t="shared" si="123"/>
        <v>2841.6330117986963</v>
      </c>
      <c r="AA508" s="5">
        <f t="shared" si="133"/>
        <v>3912451.0077797724</v>
      </c>
      <c r="AB508" s="3">
        <f>Assumptions!$E$45</f>
        <v>6.9899151946608562E-3</v>
      </c>
      <c r="AC508" s="5">
        <f t="shared" si="134"/>
        <v>3942640.3415392172</v>
      </c>
      <c r="AD508" s="4">
        <f>AC508*Assumptions!$E$43</f>
        <v>3530.9320930509457</v>
      </c>
      <c r="AE508" s="2">
        <f>AD508*Assumptions!$D$44*-1</f>
        <v>-529.63981395764188</v>
      </c>
      <c r="AF508" s="2">
        <f>AC508*Assumptions!$E$46*-1</f>
        <v>-131.39725696062675</v>
      </c>
      <c r="AG508" s="5">
        <f t="shared" si="135"/>
        <v>3941979.3044682988</v>
      </c>
      <c r="AH508" s="20">
        <f>Model_30y[[#This Row],[Mortgage Payment]]+Model_30y[[#This Row],[Total Upkeep]]+Model_30y[[#This Row],[Monthly Investment]]</f>
        <v>-9289.1623710913027</v>
      </c>
      <c r="AI508" s="5">
        <f>Model_Renter!D508*-1</f>
        <v>12883.131711555119</v>
      </c>
      <c r="AJ508" s="5">
        <f t="shared" si="128"/>
        <v>3593.9693404638165</v>
      </c>
    </row>
    <row r="509" spans="1:36" x14ac:dyDescent="0.25">
      <c r="A509" s="17">
        <f t="shared" si="129"/>
        <v>507</v>
      </c>
      <c r="B509" s="17">
        <f t="shared" si="124"/>
        <v>43</v>
      </c>
      <c r="C509" s="23">
        <f>IFERROR(PPMT(Assumptions!$E$17, A509, 180, Assumptions!$D$8), 0)</f>
        <v>0</v>
      </c>
      <c r="D509" s="38">
        <f>IFERROR(IPMT(Assumptions!$E$17,A509,180,Assumptions!$D$8), 0)</f>
        <v>0</v>
      </c>
      <c r="E509" s="2">
        <f t="shared" si="130"/>
        <v>0</v>
      </c>
      <c r="F509" s="2">
        <f>IF(I508&gt;1, Assumptions!$E$19, 0)*-1</f>
        <v>0</v>
      </c>
      <c r="G509" s="24">
        <f t="shared" si="125"/>
        <v>1</v>
      </c>
      <c r="H509" s="20">
        <f t="shared" si="131"/>
        <v>339999.99999999988</v>
      </c>
      <c r="I509" s="2">
        <f>MAX(Assumptions!$D$8-SUM(Model_15y!H509), 0)</f>
        <v>1.1641532182693481E-10</v>
      </c>
      <c r="J509" s="2">
        <f>J508*(1+(Assumptions!$E$51))</f>
        <v>3339156.8202826041</v>
      </c>
      <c r="K509" s="22">
        <f t="shared" si="120"/>
        <v>3339156.8202826041</v>
      </c>
      <c r="L509" s="5">
        <f t="shared" si="132"/>
        <v>425000</v>
      </c>
      <c r="M509" s="63">
        <f>L509/Assumptions!$D$6</f>
        <v>1</v>
      </c>
      <c r="N509" s="24">
        <f t="shared" si="136"/>
        <v>0</v>
      </c>
      <c r="O509" s="22">
        <f>N509*Assumptions!$E$25*-1</f>
        <v>0</v>
      </c>
      <c r="P509" s="5">
        <f>Assumptions!$E$35*J509*-1</f>
        <v>-6878.1163291108669</v>
      </c>
      <c r="Q509" s="5">
        <f>J509*Assumptions!$E$36*-1</f>
        <v>-2769.957852203358</v>
      </c>
      <c r="R509" s="5">
        <f>R497+R497*Assumptions!$D$51</f>
        <v>-2521.869156450236</v>
      </c>
      <c r="S509" s="5">
        <f>S497+(S497*Assumptions!$D$51)</f>
        <v>0</v>
      </c>
      <c r="T509" s="5">
        <f t="shared" si="126"/>
        <v>0</v>
      </c>
      <c r="U509" s="22">
        <f t="shared" si="121"/>
        <v>-12169.94333776446</v>
      </c>
      <c r="V509" s="5">
        <f>MAX(Assumptions!$E$18:$E$19)-U509</f>
        <v>15011.576349563156</v>
      </c>
      <c r="W509" s="5">
        <f t="shared" si="122"/>
        <v>0</v>
      </c>
      <c r="X509" s="5">
        <f t="shared" si="127"/>
        <v>-12169.94333776446</v>
      </c>
      <c r="Y509" s="5">
        <f>D509*Assumptions!$D$44*-1</f>
        <v>0</v>
      </c>
      <c r="Z509" s="5">
        <f t="shared" si="123"/>
        <v>2841.6330117986963</v>
      </c>
      <c r="AA509" s="5">
        <f t="shared" si="133"/>
        <v>3941979.3044682988</v>
      </c>
      <c r="AB509" s="3">
        <f>Assumptions!$E$45</f>
        <v>6.9899151946608562E-3</v>
      </c>
      <c r="AC509" s="5">
        <f t="shared" si="134"/>
        <v>3972375.0385174393</v>
      </c>
      <c r="AD509" s="4">
        <f>AC509*Assumptions!$E$43</f>
        <v>3557.5617591484015</v>
      </c>
      <c r="AE509" s="2">
        <f>AD509*Assumptions!$D$44*-1</f>
        <v>-533.63426387226025</v>
      </c>
      <c r="AF509" s="2">
        <f>AC509*Assumptions!$E$46*-1</f>
        <v>-132.38823186095672</v>
      </c>
      <c r="AG509" s="5">
        <f t="shared" si="135"/>
        <v>3971709.0160217062</v>
      </c>
      <c r="AH509" s="20">
        <f>Model_30y[[#This Row],[Mortgage Payment]]+Model_30y[[#This Row],[Total Upkeep]]+Model_30y[[#This Row],[Monthly Investment]]</f>
        <v>-9328.3103259657637</v>
      </c>
      <c r="AI509" s="5">
        <f>Model_Renter!D509*-1</f>
        <v>12883.131711555119</v>
      </c>
      <c r="AJ509" s="5">
        <f t="shared" si="128"/>
        <v>3554.8213855893555</v>
      </c>
    </row>
    <row r="510" spans="1:36" x14ac:dyDescent="0.25">
      <c r="A510" s="17">
        <f t="shared" si="129"/>
        <v>508</v>
      </c>
      <c r="B510" s="17">
        <f t="shared" si="124"/>
        <v>43</v>
      </c>
      <c r="C510" s="23">
        <f>IFERROR(PPMT(Assumptions!$E$17, A510, 180, Assumptions!$D$8), 0)</f>
        <v>0</v>
      </c>
      <c r="D510" s="38">
        <f>IFERROR(IPMT(Assumptions!$E$17,A510,180,Assumptions!$D$8), 0)</f>
        <v>0</v>
      </c>
      <c r="E510" s="2">
        <f t="shared" si="130"/>
        <v>0</v>
      </c>
      <c r="F510" s="2">
        <f>IF(I509&gt;1, Assumptions!$E$19, 0)*-1</f>
        <v>0</v>
      </c>
      <c r="G510" s="24">
        <f t="shared" si="125"/>
        <v>1</v>
      </c>
      <c r="H510" s="20">
        <f t="shared" si="131"/>
        <v>339999.99999999988</v>
      </c>
      <c r="I510" s="2">
        <f>MAX(Assumptions!$D$8-SUM(Model_15y!H510), 0)</f>
        <v>1.1641532182693481E-10</v>
      </c>
      <c r="J510" s="2">
        <f>J509*(1+(Assumptions!$E$51))</f>
        <v>3352760.9585014489</v>
      </c>
      <c r="K510" s="22">
        <f t="shared" si="120"/>
        <v>3352760.9585014489</v>
      </c>
      <c r="L510" s="5">
        <f t="shared" si="132"/>
        <v>425000</v>
      </c>
      <c r="M510" s="63">
        <f>L510/Assumptions!$D$6</f>
        <v>1</v>
      </c>
      <c r="N510" s="24">
        <f t="shared" si="136"/>
        <v>0</v>
      </c>
      <c r="O510" s="22">
        <f>N510*Assumptions!$E$25*-1</f>
        <v>0</v>
      </c>
      <c r="P510" s="5">
        <f>Assumptions!$E$35*J510*-1</f>
        <v>-6906.1386264339972</v>
      </c>
      <c r="Q510" s="5">
        <f>J510*Assumptions!$E$36*-1</f>
        <v>-2781.2430033687233</v>
      </c>
      <c r="R510" s="5">
        <f>R498+R498*Assumptions!$D$51</f>
        <v>-2521.869156450236</v>
      </c>
      <c r="S510" s="5">
        <f>S498+(S498*Assumptions!$D$51)</f>
        <v>0</v>
      </c>
      <c r="T510" s="5">
        <f t="shared" si="126"/>
        <v>0</v>
      </c>
      <c r="U510" s="22">
        <f t="shared" si="121"/>
        <v>-12209.250786252956</v>
      </c>
      <c r="V510" s="5">
        <f>MAX(Assumptions!$E$18:$E$19)-U510</f>
        <v>15050.883798051653</v>
      </c>
      <c r="W510" s="5">
        <f t="shared" si="122"/>
        <v>0</v>
      </c>
      <c r="X510" s="5">
        <f t="shared" si="127"/>
        <v>-12209.250786252956</v>
      </c>
      <c r="Y510" s="5">
        <f>D510*Assumptions!$D$44*-1</f>
        <v>0</v>
      </c>
      <c r="Z510" s="5">
        <f t="shared" si="123"/>
        <v>2841.6330117986963</v>
      </c>
      <c r="AA510" s="5">
        <f t="shared" si="133"/>
        <v>3971709.0160217062</v>
      </c>
      <c r="AB510" s="3">
        <f>Assumptions!$E$45</f>
        <v>6.9899151946608562E-3</v>
      </c>
      <c r="AC510" s="5">
        <f t="shared" si="134"/>
        <v>4002312.5582333668</v>
      </c>
      <c r="AD510" s="4">
        <f>AC510*Assumptions!$E$43</f>
        <v>3584.3730683204794</v>
      </c>
      <c r="AE510" s="2">
        <f>AD510*Assumptions!$D$44*-1</f>
        <v>-537.65596024807189</v>
      </c>
      <c r="AF510" s="2">
        <f>AC510*Assumptions!$E$46*-1</f>
        <v>-133.38596628005462</v>
      </c>
      <c r="AG510" s="5">
        <f t="shared" si="135"/>
        <v>4001641.5163068385</v>
      </c>
      <c r="AH510" s="20">
        <f>Model_30y[[#This Row],[Mortgage Payment]]+Model_30y[[#This Row],[Total Upkeep]]+Model_30y[[#This Row],[Monthly Investment]]</f>
        <v>-9367.6177744542601</v>
      </c>
      <c r="AI510" s="5">
        <f>Model_Renter!D510*-1</f>
        <v>12883.131711555119</v>
      </c>
      <c r="AJ510" s="5">
        <f t="shared" si="128"/>
        <v>3515.513937100859</v>
      </c>
    </row>
    <row r="511" spans="1:36" x14ac:dyDescent="0.25">
      <c r="A511" s="17">
        <f t="shared" si="129"/>
        <v>509</v>
      </c>
      <c r="B511" s="17">
        <f t="shared" si="124"/>
        <v>43</v>
      </c>
      <c r="C511" s="23">
        <f>IFERROR(PPMT(Assumptions!$E$17, A511, 180, Assumptions!$D$8), 0)</f>
        <v>0</v>
      </c>
      <c r="D511" s="38">
        <f>IFERROR(IPMT(Assumptions!$E$17,A511,180,Assumptions!$D$8), 0)</f>
        <v>0</v>
      </c>
      <c r="E511" s="2">
        <f t="shared" si="130"/>
        <v>0</v>
      </c>
      <c r="F511" s="2">
        <f>IF(I510&gt;1, Assumptions!$E$19, 0)*-1</f>
        <v>0</v>
      </c>
      <c r="G511" s="24">
        <f t="shared" si="125"/>
        <v>1</v>
      </c>
      <c r="H511" s="20">
        <f t="shared" si="131"/>
        <v>339999.99999999988</v>
      </c>
      <c r="I511" s="2">
        <f>MAX(Assumptions!$D$8-SUM(Model_15y!H511), 0)</f>
        <v>1.1641532182693481E-10</v>
      </c>
      <c r="J511" s="2">
        <f>J510*(1+(Assumptions!$E$51))</f>
        <v>3366420.5216633673</v>
      </c>
      <c r="K511" s="22">
        <f t="shared" si="120"/>
        <v>3366420.5216633673</v>
      </c>
      <c r="L511" s="5">
        <f t="shared" si="132"/>
        <v>425000</v>
      </c>
      <c r="M511" s="63">
        <f>L511/Assumptions!$D$6</f>
        <v>1</v>
      </c>
      <c r="N511" s="24">
        <f t="shared" si="136"/>
        <v>0</v>
      </c>
      <c r="O511" s="22">
        <f>N511*Assumptions!$E$25*-1</f>
        <v>0</v>
      </c>
      <c r="P511" s="5">
        <f>Assumptions!$E$35*J511*-1</f>
        <v>-6934.2750900651245</v>
      </c>
      <c r="Q511" s="5">
        <f>J511*Assumptions!$E$36*-1</f>
        <v>-2792.5741316368535</v>
      </c>
      <c r="R511" s="5">
        <f>R499+R499*Assumptions!$D$51</f>
        <v>-2521.869156450236</v>
      </c>
      <c r="S511" s="5">
        <f>S499+(S499*Assumptions!$D$51)</f>
        <v>0</v>
      </c>
      <c r="T511" s="5">
        <f t="shared" si="126"/>
        <v>0</v>
      </c>
      <c r="U511" s="22">
        <f t="shared" si="121"/>
        <v>-12248.718378152214</v>
      </c>
      <c r="V511" s="5">
        <f>MAX(Assumptions!$E$18:$E$19)-U511</f>
        <v>15090.351389950911</v>
      </c>
      <c r="W511" s="5">
        <f t="shared" si="122"/>
        <v>0</v>
      </c>
      <c r="X511" s="5">
        <f t="shared" si="127"/>
        <v>-12248.718378152214</v>
      </c>
      <c r="Y511" s="5">
        <f>D511*Assumptions!$D$44*-1</f>
        <v>0</v>
      </c>
      <c r="Z511" s="5">
        <f t="shared" si="123"/>
        <v>2841.6330117986963</v>
      </c>
      <c r="AA511" s="5">
        <f t="shared" si="133"/>
        <v>4001641.5163068385</v>
      </c>
      <c r="AB511" s="3">
        <f>Assumptions!$E$45</f>
        <v>6.9899151946608562E-3</v>
      </c>
      <c r="AC511" s="5">
        <f t="shared" si="134"/>
        <v>4032454.2841570564</v>
      </c>
      <c r="AD511" s="4">
        <f>AC511*Assumptions!$E$43</f>
        <v>3611.3672595690655</v>
      </c>
      <c r="AE511" s="2">
        <f>AD511*Assumptions!$D$44*-1</f>
        <v>-541.70508893535975</v>
      </c>
      <c r="AF511" s="2">
        <f>AC511*Assumptions!$E$46*-1</f>
        <v>-134.39050632513661</v>
      </c>
      <c r="AG511" s="5">
        <f t="shared" si="135"/>
        <v>4031778.1885617957</v>
      </c>
      <c r="AH511" s="20">
        <f>Model_30y[[#This Row],[Mortgage Payment]]+Model_30y[[#This Row],[Total Upkeep]]+Model_30y[[#This Row],[Monthly Investment]]</f>
        <v>-9407.0853663535181</v>
      </c>
      <c r="AI511" s="5">
        <f>Model_Renter!D511*-1</f>
        <v>12883.131711555119</v>
      </c>
      <c r="AJ511" s="5">
        <f t="shared" si="128"/>
        <v>3476.0463452016011</v>
      </c>
    </row>
    <row r="512" spans="1:36" x14ac:dyDescent="0.25">
      <c r="A512" s="17">
        <f t="shared" si="129"/>
        <v>510</v>
      </c>
      <c r="B512" s="17">
        <f t="shared" si="124"/>
        <v>43</v>
      </c>
      <c r="C512" s="23">
        <f>IFERROR(PPMT(Assumptions!$E$17, A512, 180, Assumptions!$D$8), 0)</f>
        <v>0</v>
      </c>
      <c r="D512" s="38">
        <f>IFERROR(IPMT(Assumptions!$E$17,A512,180,Assumptions!$D$8), 0)</f>
        <v>0</v>
      </c>
      <c r="E512" s="2">
        <f t="shared" si="130"/>
        <v>0</v>
      </c>
      <c r="F512" s="2">
        <f>IF(I511&gt;1, Assumptions!$E$19, 0)*-1</f>
        <v>0</v>
      </c>
      <c r="G512" s="24">
        <f t="shared" si="125"/>
        <v>1</v>
      </c>
      <c r="H512" s="20">
        <f t="shared" si="131"/>
        <v>339999.99999999988</v>
      </c>
      <c r="I512" s="2">
        <f>MAX(Assumptions!$D$8-SUM(Model_15y!H512), 0)</f>
        <v>1.1641532182693481E-10</v>
      </c>
      <c r="J512" s="2">
        <f>J511*(1+(Assumptions!$E$51))</f>
        <v>3380135.7355764378</v>
      </c>
      <c r="K512" s="22">
        <f t="shared" si="120"/>
        <v>3380135.7355764378</v>
      </c>
      <c r="L512" s="5">
        <f t="shared" si="132"/>
        <v>425000</v>
      </c>
      <c r="M512" s="63">
        <f>L512/Assumptions!$D$6</f>
        <v>1</v>
      </c>
      <c r="N512" s="24">
        <f t="shared" si="136"/>
        <v>0</v>
      </c>
      <c r="O512" s="22">
        <f>N512*Assumptions!$E$25*-1</f>
        <v>0</v>
      </c>
      <c r="P512" s="5">
        <f>Assumptions!$E$35*J512*-1</f>
        <v>-6962.5261851319183</v>
      </c>
      <c r="Q512" s="5">
        <f>J512*Assumptions!$E$36*-1</f>
        <v>-2803.9514243241561</v>
      </c>
      <c r="R512" s="5">
        <f>R500+R500*Assumptions!$D$51</f>
        <v>-2521.869156450236</v>
      </c>
      <c r="S512" s="5">
        <f>S500+(S500*Assumptions!$D$51)</f>
        <v>0</v>
      </c>
      <c r="T512" s="5">
        <f t="shared" si="126"/>
        <v>0</v>
      </c>
      <c r="U512" s="22">
        <f t="shared" si="121"/>
        <v>-12288.34676590631</v>
      </c>
      <c r="V512" s="5">
        <f>MAX(Assumptions!$E$18:$E$19)-U512</f>
        <v>15129.979777705006</v>
      </c>
      <c r="W512" s="5">
        <f t="shared" si="122"/>
        <v>0</v>
      </c>
      <c r="X512" s="5">
        <f t="shared" si="127"/>
        <v>-12288.34676590631</v>
      </c>
      <c r="Y512" s="5">
        <f>D512*Assumptions!$D$44*-1</f>
        <v>0</v>
      </c>
      <c r="Z512" s="5">
        <f t="shared" si="123"/>
        <v>2841.6330117986963</v>
      </c>
      <c r="AA512" s="5">
        <f t="shared" si="133"/>
        <v>4031778.1885617957</v>
      </c>
      <c r="AB512" s="3">
        <f>Assumptions!$E$45</f>
        <v>6.9899151946608562E-3</v>
      </c>
      <c r="AC512" s="5">
        <f t="shared" si="134"/>
        <v>4062801.6091953251</v>
      </c>
      <c r="AD512" s="4">
        <f>AC512*Assumptions!$E$43</f>
        <v>3638.5455803473787</v>
      </c>
      <c r="AE512" s="2">
        <f>AD512*Assumptions!$D$44*-1</f>
        <v>-545.78183705210677</v>
      </c>
      <c r="AF512" s="2">
        <f>AC512*Assumptions!$E$46*-1</f>
        <v>-135.40189841791985</v>
      </c>
      <c r="AG512" s="5">
        <f t="shared" si="135"/>
        <v>4062120.4254598552</v>
      </c>
      <c r="AH512" s="20">
        <f>Model_30y[[#This Row],[Mortgage Payment]]+Model_30y[[#This Row],[Total Upkeep]]+Model_30y[[#This Row],[Monthly Investment]]</f>
        <v>-9446.7137541076136</v>
      </c>
      <c r="AI512" s="5">
        <f>Model_Renter!D512*-1</f>
        <v>12883.131711555119</v>
      </c>
      <c r="AJ512" s="5">
        <f t="shared" si="128"/>
        <v>3436.4179574475056</v>
      </c>
    </row>
    <row r="513" spans="1:36" x14ac:dyDescent="0.25">
      <c r="A513" s="17">
        <f t="shared" si="129"/>
        <v>511</v>
      </c>
      <c r="B513" s="17">
        <f t="shared" si="124"/>
        <v>43</v>
      </c>
      <c r="C513" s="23">
        <f>IFERROR(PPMT(Assumptions!$E$17, A513, 180, Assumptions!$D$8), 0)</f>
        <v>0</v>
      </c>
      <c r="D513" s="38">
        <f>IFERROR(IPMT(Assumptions!$E$17,A513,180,Assumptions!$D$8), 0)</f>
        <v>0</v>
      </c>
      <c r="E513" s="2">
        <f t="shared" si="130"/>
        <v>0</v>
      </c>
      <c r="F513" s="2">
        <f>IF(I512&gt;1, Assumptions!$E$19, 0)*-1</f>
        <v>0</v>
      </c>
      <c r="G513" s="24">
        <f t="shared" si="125"/>
        <v>1</v>
      </c>
      <c r="H513" s="20">
        <f t="shared" si="131"/>
        <v>339999.99999999988</v>
      </c>
      <c r="I513" s="2">
        <f>MAX(Assumptions!$D$8-SUM(Model_15y!H513), 0)</f>
        <v>1.1641532182693481E-10</v>
      </c>
      <c r="J513" s="2">
        <f>J512*(1+(Assumptions!$E$51))</f>
        <v>3393906.8269687095</v>
      </c>
      <c r="K513" s="22">
        <f t="shared" si="120"/>
        <v>3393906.8269687095</v>
      </c>
      <c r="L513" s="5">
        <f t="shared" si="132"/>
        <v>425000</v>
      </c>
      <c r="M513" s="63">
        <f>L513/Assumptions!$D$6</f>
        <v>1</v>
      </c>
      <c r="N513" s="24">
        <f t="shared" si="136"/>
        <v>0</v>
      </c>
      <c r="O513" s="22">
        <f>N513*Assumptions!$E$25*-1</f>
        <v>0</v>
      </c>
      <c r="P513" s="5">
        <f>Assumptions!$E$35*J513*-1</f>
        <v>-6990.8923786570385</v>
      </c>
      <c r="Q513" s="5">
        <f>J513*Assumptions!$E$36*-1</f>
        <v>-2815.3750695101899</v>
      </c>
      <c r="R513" s="5">
        <f>R501+R501*Assumptions!$D$51</f>
        <v>-2521.869156450236</v>
      </c>
      <c r="S513" s="5">
        <f>S501+(S501*Assumptions!$D$51)</f>
        <v>0</v>
      </c>
      <c r="T513" s="5">
        <f t="shared" si="126"/>
        <v>0</v>
      </c>
      <c r="U513" s="22">
        <f t="shared" si="121"/>
        <v>-12328.136604617466</v>
      </c>
      <c r="V513" s="5">
        <f>MAX(Assumptions!$E$18:$E$19)-U513</f>
        <v>15169.769616416163</v>
      </c>
      <c r="W513" s="5">
        <f t="shared" si="122"/>
        <v>0</v>
      </c>
      <c r="X513" s="5">
        <f t="shared" si="127"/>
        <v>-12328.136604617466</v>
      </c>
      <c r="Y513" s="5">
        <f>D513*Assumptions!$D$44*-1</f>
        <v>0</v>
      </c>
      <c r="Z513" s="5">
        <f t="shared" si="123"/>
        <v>2841.6330117986963</v>
      </c>
      <c r="AA513" s="5">
        <f t="shared" si="133"/>
        <v>4062120.4254598552</v>
      </c>
      <c r="AB513" s="3">
        <f>Assumptions!$E$45</f>
        <v>6.9899151946608562E-3</v>
      </c>
      <c r="AC513" s="5">
        <f t="shared" si="134"/>
        <v>4093355.935756118</v>
      </c>
      <c r="AD513" s="4">
        <f>AC513*Assumptions!$E$43</f>
        <v>3665.9092866176152</v>
      </c>
      <c r="AE513" s="2">
        <f>AD513*Assumptions!$D$44*-1</f>
        <v>-549.8863929926423</v>
      </c>
      <c r="AF513" s="2">
        <f>AC513*Assumptions!$E$46*-1</f>
        <v>-136.42018929676783</v>
      </c>
      <c r="AG513" s="5">
        <f t="shared" si="135"/>
        <v>4092669.6291738288</v>
      </c>
      <c r="AH513" s="20">
        <f>Model_30y[[#This Row],[Mortgage Payment]]+Model_30y[[#This Row],[Total Upkeep]]+Model_30y[[#This Row],[Monthly Investment]]</f>
        <v>-9486.5035928187699</v>
      </c>
      <c r="AI513" s="5">
        <f>Model_Renter!D513*-1</f>
        <v>12883.131711555119</v>
      </c>
      <c r="AJ513" s="5">
        <f t="shared" si="128"/>
        <v>3396.6281187363493</v>
      </c>
    </row>
    <row r="514" spans="1:36" x14ac:dyDescent="0.25">
      <c r="A514" s="17">
        <f t="shared" si="129"/>
        <v>512</v>
      </c>
      <c r="B514" s="17">
        <f t="shared" si="124"/>
        <v>43</v>
      </c>
      <c r="C514" s="23">
        <f>IFERROR(PPMT(Assumptions!$E$17, A514, 180, Assumptions!$D$8), 0)</f>
        <v>0</v>
      </c>
      <c r="D514" s="38">
        <f>IFERROR(IPMT(Assumptions!$E$17,A514,180,Assumptions!$D$8), 0)</f>
        <v>0</v>
      </c>
      <c r="E514" s="2">
        <f t="shared" si="130"/>
        <v>0</v>
      </c>
      <c r="F514" s="2">
        <f>IF(I513&gt;1, Assumptions!$E$19, 0)*-1</f>
        <v>0</v>
      </c>
      <c r="G514" s="24">
        <f t="shared" si="125"/>
        <v>1</v>
      </c>
      <c r="H514" s="20">
        <f t="shared" si="131"/>
        <v>339999.99999999988</v>
      </c>
      <c r="I514" s="2">
        <f>MAX(Assumptions!$D$8-SUM(Model_15y!H514), 0)</f>
        <v>1.1641532182693481E-10</v>
      </c>
      <c r="J514" s="2">
        <f>J513*(1+(Assumptions!$E$51))</f>
        <v>3407734.0234919493</v>
      </c>
      <c r="K514" s="22">
        <f t="shared" ref="K514:K542" si="137">J514-I514</f>
        <v>3407734.0234919493</v>
      </c>
      <c r="L514" s="5">
        <f t="shared" si="132"/>
        <v>425000</v>
      </c>
      <c r="M514" s="63">
        <f>L514/Assumptions!$D$6</f>
        <v>1</v>
      </c>
      <c r="N514" s="24">
        <f t="shared" si="136"/>
        <v>0</v>
      </c>
      <c r="O514" s="22">
        <f>N514*Assumptions!$E$25*-1</f>
        <v>0</v>
      </c>
      <c r="P514" s="5">
        <f>Assumptions!$E$35*J514*-1</f>
        <v>-7019.3741395658517</v>
      </c>
      <c r="Q514" s="5">
        <f>J514*Assumptions!$E$36*-1</f>
        <v>-2826.8452560407723</v>
      </c>
      <c r="R514" s="5">
        <f>R502+R502*Assumptions!$D$51</f>
        <v>-2521.869156450236</v>
      </c>
      <c r="S514" s="5">
        <f>S502+(S502*Assumptions!$D$51)</f>
        <v>0</v>
      </c>
      <c r="T514" s="5">
        <f t="shared" si="126"/>
        <v>0</v>
      </c>
      <c r="U514" s="22">
        <f t="shared" ref="U514:U542" si="138">SUM(P514:T514)</f>
        <v>-12368.088552056859</v>
      </c>
      <c r="V514" s="5">
        <f>MAX(Assumptions!$E$18:$E$19)-U514</f>
        <v>15209.721563855555</v>
      </c>
      <c r="W514" s="5">
        <f t="shared" ref="W514:W542" si="139">F514</f>
        <v>0</v>
      </c>
      <c r="X514" s="5">
        <f t="shared" si="127"/>
        <v>-12368.088552056859</v>
      </c>
      <c r="Y514" s="5">
        <f>D514*Assumptions!$D$44*-1</f>
        <v>0</v>
      </c>
      <c r="Z514" s="5">
        <f t="shared" ref="Z514:Z542" si="140">SUM(V514:Y514)</f>
        <v>2841.6330117986963</v>
      </c>
      <c r="AA514" s="5">
        <f t="shared" si="133"/>
        <v>4092669.6291738288</v>
      </c>
      <c r="AB514" s="3">
        <f>Assumptions!$E$45</f>
        <v>6.9899151946608562E-3</v>
      </c>
      <c r="AC514" s="5">
        <f t="shared" si="134"/>
        <v>4124118.6758133168</v>
      </c>
      <c r="AD514" s="4">
        <f>AC514*Assumptions!$E$43</f>
        <v>3693.4596429089884</v>
      </c>
      <c r="AE514" s="2">
        <f>AD514*Assumptions!$D$44*-1</f>
        <v>-554.01894643634819</v>
      </c>
      <c r="AF514" s="2">
        <f>AC514*Assumptions!$E$46*-1</f>
        <v>-137.44542601885004</v>
      </c>
      <c r="AG514" s="5">
        <f t="shared" si="135"/>
        <v>4123427.2114408617</v>
      </c>
      <c r="AH514" s="20">
        <f>Model_30y[[#This Row],[Mortgage Payment]]+Model_30y[[#This Row],[Total Upkeep]]+Model_30y[[#This Row],[Monthly Investment]]</f>
        <v>-9526.4555402581627</v>
      </c>
      <c r="AI514" s="5">
        <f>Model_Renter!D514*-1</f>
        <v>12883.131711555119</v>
      </c>
      <c r="AJ514" s="5">
        <f t="shared" si="128"/>
        <v>3356.6761712969565</v>
      </c>
    </row>
    <row r="515" spans="1:36" x14ac:dyDescent="0.25">
      <c r="A515" s="17">
        <f t="shared" si="129"/>
        <v>513</v>
      </c>
      <c r="B515" s="17">
        <f t="shared" ref="B515:B542" si="141">ROUNDUP(A515/12,0)</f>
        <v>43</v>
      </c>
      <c r="C515" s="23">
        <f>IFERROR(PPMT(Assumptions!$E$17, A515, 180, Assumptions!$D$8), 0)</f>
        <v>0</v>
      </c>
      <c r="D515" s="38">
        <f>IFERROR(IPMT(Assumptions!$E$17,A515,180,Assumptions!$D$8), 0)</f>
        <v>0</v>
      </c>
      <c r="E515" s="2">
        <f t="shared" si="130"/>
        <v>0</v>
      </c>
      <c r="F515" s="2">
        <f>IF(I514&gt;1, Assumptions!$E$19, 0)*-1</f>
        <v>0</v>
      </c>
      <c r="G515" s="24">
        <f t="shared" ref="G515:G542" si="142">IF(E515-F515&lt;1, 1, 0)</f>
        <v>1</v>
      </c>
      <c r="H515" s="20">
        <f t="shared" si="131"/>
        <v>339999.99999999988</v>
      </c>
      <c r="I515" s="2">
        <f>MAX(Assumptions!$D$8-SUM(Model_15y!H515), 0)</f>
        <v>1.1641532182693481E-10</v>
      </c>
      <c r="J515" s="2">
        <f>J514*(1+(Assumptions!$E$51))</f>
        <v>3421617.5537254056</v>
      </c>
      <c r="K515" s="22">
        <f t="shared" si="137"/>
        <v>3421617.5537254056</v>
      </c>
      <c r="L515" s="5">
        <f t="shared" si="132"/>
        <v>425000</v>
      </c>
      <c r="M515" s="63">
        <f>L515/Assumptions!$D$6</f>
        <v>1</v>
      </c>
      <c r="N515" s="24">
        <f t="shared" si="136"/>
        <v>0</v>
      </c>
      <c r="O515" s="22">
        <f>N515*Assumptions!$E$25*-1</f>
        <v>0</v>
      </c>
      <c r="P515" s="5">
        <f>Assumptions!$E$35*J515*-1</f>
        <v>-7047.9719386941833</v>
      </c>
      <c r="Q515" s="5">
        <f>J515*Assumptions!$E$36*-1</f>
        <v>-2838.3621735311012</v>
      </c>
      <c r="R515" s="5">
        <f>R503+R503*Assumptions!$D$51</f>
        <v>-2521.869156450236</v>
      </c>
      <c r="S515" s="5">
        <f>S503+(S503*Assumptions!$D$51)</f>
        <v>0</v>
      </c>
      <c r="T515" s="5">
        <f t="shared" ref="T515:T542" si="143">O515</f>
        <v>0</v>
      </c>
      <c r="U515" s="22">
        <f t="shared" si="138"/>
        <v>-12408.203268675519</v>
      </c>
      <c r="V515" s="5">
        <f>MAX(Assumptions!$E$18:$E$19)-U515</f>
        <v>15249.836280474216</v>
      </c>
      <c r="W515" s="5">
        <f t="shared" si="139"/>
        <v>0</v>
      </c>
      <c r="X515" s="5">
        <f t="shared" ref="X515:X542" si="144">U515</f>
        <v>-12408.203268675519</v>
      </c>
      <c r="Y515" s="5">
        <f>D515*Assumptions!$D$44*-1</f>
        <v>0</v>
      </c>
      <c r="Z515" s="5">
        <f t="shared" si="140"/>
        <v>2841.6330117986963</v>
      </c>
      <c r="AA515" s="5">
        <f t="shared" si="133"/>
        <v>4123427.2114408617</v>
      </c>
      <c r="AB515" s="3">
        <f>Assumptions!$E$45</f>
        <v>6.9899151946608562E-3</v>
      </c>
      <c r="AC515" s="5">
        <f t="shared" si="134"/>
        <v>4155091.2509719892</v>
      </c>
      <c r="AD515" s="4">
        <f>AC515*Assumptions!$E$43</f>
        <v>3721.1979223761673</v>
      </c>
      <c r="AE515" s="2">
        <f>AD515*Assumptions!$D$44*-1</f>
        <v>-558.17968835642512</v>
      </c>
      <c r="AF515" s="2">
        <f>AC515*Assumptions!$E$46*-1</f>
        <v>-138.4776559623167</v>
      </c>
      <c r="AG515" s="5">
        <f t="shared" si="135"/>
        <v>4154394.5936276703</v>
      </c>
      <c r="AH515" s="20">
        <f>Model_30y[[#This Row],[Mortgage Payment]]+Model_30y[[#This Row],[Total Upkeep]]+Model_30y[[#This Row],[Monthly Investment]]</f>
        <v>-9566.5702568768229</v>
      </c>
      <c r="AI515" s="5">
        <f>Model_Renter!D515*-1</f>
        <v>12883.131711555119</v>
      </c>
      <c r="AJ515" s="5">
        <f t="shared" ref="AJ515:AJ542" si="145">SUM(AH515:AI515)</f>
        <v>3316.5614546782963</v>
      </c>
    </row>
    <row r="516" spans="1:36" x14ac:dyDescent="0.25">
      <c r="A516" s="17">
        <f t="shared" ref="A516:A542" si="146">A515+1</f>
        <v>514</v>
      </c>
      <c r="B516" s="17">
        <f t="shared" si="141"/>
        <v>43</v>
      </c>
      <c r="C516" s="23">
        <f>IFERROR(PPMT(Assumptions!$E$17, A516, 180, Assumptions!$D$8), 0)</f>
        <v>0</v>
      </c>
      <c r="D516" s="38">
        <f>IFERROR(IPMT(Assumptions!$E$17,A516,180,Assumptions!$D$8), 0)</f>
        <v>0</v>
      </c>
      <c r="E516" s="2">
        <f t="shared" ref="E516:E542" si="147">SUM(C516:D516)</f>
        <v>0</v>
      </c>
      <c r="F516" s="2">
        <f>IF(I515&gt;1, Assumptions!$E$19, 0)*-1</f>
        <v>0</v>
      </c>
      <c r="G516" s="24">
        <f t="shared" si="142"/>
        <v>1</v>
      </c>
      <c r="H516" s="20">
        <f t="shared" ref="H516:H542" si="148">H515+C516*-1</f>
        <v>339999.99999999988</v>
      </c>
      <c r="I516" s="2">
        <f>MAX(Assumptions!$D$8-SUM(Model_15y!H516), 0)</f>
        <v>1.1641532182693481E-10</v>
      </c>
      <c r="J516" s="2">
        <f>J515*(1+(Assumptions!$E$51))</f>
        <v>3435557.6471795868</v>
      </c>
      <c r="K516" s="22">
        <f t="shared" si="137"/>
        <v>3435557.6471795868</v>
      </c>
      <c r="L516" s="5">
        <f t="shared" ref="L516:L542" si="149">L515+C516*-1</f>
        <v>425000</v>
      </c>
      <c r="M516" s="63">
        <f>L516/Assumptions!$D$6</f>
        <v>1</v>
      </c>
      <c r="N516" s="24">
        <f t="shared" si="136"/>
        <v>0</v>
      </c>
      <c r="O516" s="22">
        <f>N516*Assumptions!$E$25*-1</f>
        <v>0</v>
      </c>
      <c r="P516" s="5">
        <f>Assumptions!$E$35*J516*-1</f>
        <v>-7076.6862487961034</v>
      </c>
      <c r="Q516" s="5">
        <f>J516*Assumptions!$E$36*-1</f>
        <v>-2849.9260123688919</v>
      </c>
      <c r="R516" s="5">
        <f>R504+R504*Assumptions!$D$51</f>
        <v>-2521.869156450236</v>
      </c>
      <c r="S516" s="5">
        <f>S504+(S504*Assumptions!$D$51)</f>
        <v>0</v>
      </c>
      <c r="T516" s="5">
        <f t="shared" si="143"/>
        <v>0</v>
      </c>
      <c r="U516" s="22">
        <f t="shared" si="138"/>
        <v>-12448.481417615232</v>
      </c>
      <c r="V516" s="5">
        <f>MAX(Assumptions!$E$18:$E$19)-U516</f>
        <v>15290.114429413929</v>
      </c>
      <c r="W516" s="5">
        <f t="shared" si="139"/>
        <v>0</v>
      </c>
      <c r="X516" s="5">
        <f t="shared" si="144"/>
        <v>-12448.481417615232</v>
      </c>
      <c r="Y516" s="5">
        <f>D516*Assumptions!$D$44*-1</f>
        <v>0</v>
      </c>
      <c r="Z516" s="5">
        <f t="shared" si="140"/>
        <v>2841.6330117986963</v>
      </c>
      <c r="AA516" s="5">
        <f t="shared" ref="AA516:AA542" si="150">AG515</f>
        <v>4154394.5936276703</v>
      </c>
      <c r="AB516" s="3">
        <f>Assumptions!$E$45</f>
        <v>6.9899151946608562E-3</v>
      </c>
      <c r="AC516" s="5">
        <f t="shared" ref="AC516:AC542" si="151">(AA516+Z516)+(AA516*AB516)</f>
        <v>4186275.0925340843</v>
      </c>
      <c r="AD516" s="4">
        <f>AC516*Assumptions!$E$43</f>
        <v>3749.1254068581102</v>
      </c>
      <c r="AE516" s="2">
        <f>AD516*Assumptions!$D$44*-1</f>
        <v>-562.36881102871655</v>
      </c>
      <c r="AF516" s="2">
        <f>AC516*Assumptions!$E$46*-1</f>
        <v>-139.51692682848818</v>
      </c>
      <c r="AG516" s="5">
        <f t="shared" ref="AG516:AG542" si="152">AC516+SUM(AE516:AF516)</f>
        <v>4185573.206796227</v>
      </c>
      <c r="AH516" s="20">
        <f>Model_30y[[#This Row],[Mortgage Payment]]+Model_30y[[#This Row],[Total Upkeep]]+Model_30y[[#This Row],[Monthly Investment]]</f>
        <v>-9606.8484058165359</v>
      </c>
      <c r="AI516" s="5">
        <f>Model_Renter!D516*-1</f>
        <v>12883.131711555119</v>
      </c>
      <c r="AJ516" s="5">
        <f t="shared" si="145"/>
        <v>3276.2833057385833</v>
      </c>
    </row>
    <row r="517" spans="1:36" x14ac:dyDescent="0.25">
      <c r="A517" s="17">
        <f t="shared" si="146"/>
        <v>515</v>
      </c>
      <c r="B517" s="17">
        <f t="shared" si="141"/>
        <v>43</v>
      </c>
      <c r="C517" s="23">
        <f>IFERROR(PPMT(Assumptions!$E$17, A517, 180, Assumptions!$D$8), 0)</f>
        <v>0</v>
      </c>
      <c r="D517" s="38">
        <f>IFERROR(IPMT(Assumptions!$E$17,A517,180,Assumptions!$D$8), 0)</f>
        <v>0</v>
      </c>
      <c r="E517" s="2">
        <f t="shared" si="147"/>
        <v>0</v>
      </c>
      <c r="F517" s="2">
        <f>IF(I516&gt;1, Assumptions!$E$19, 0)*-1</f>
        <v>0</v>
      </c>
      <c r="G517" s="24">
        <f t="shared" si="142"/>
        <v>1</v>
      </c>
      <c r="H517" s="20">
        <f t="shared" si="148"/>
        <v>339999.99999999988</v>
      </c>
      <c r="I517" s="2">
        <f>MAX(Assumptions!$D$8-SUM(Model_15y!H517), 0)</f>
        <v>1.1641532182693481E-10</v>
      </c>
      <c r="J517" s="2">
        <f>J516*(1+(Assumptions!$E$51))</f>
        <v>3449554.5343000563</v>
      </c>
      <c r="K517" s="22">
        <f t="shared" si="137"/>
        <v>3449554.5343000563</v>
      </c>
      <c r="L517" s="5">
        <f t="shared" si="149"/>
        <v>425000</v>
      </c>
      <c r="M517" s="63">
        <f>L517/Assumptions!$D$6</f>
        <v>1</v>
      </c>
      <c r="N517" s="24">
        <f t="shared" si="136"/>
        <v>0</v>
      </c>
      <c r="O517" s="22">
        <f>N517*Assumptions!$E$25*-1</f>
        <v>0</v>
      </c>
      <c r="P517" s="5">
        <f>Assumptions!$E$35*J517*-1</f>
        <v>-7105.5175445517407</v>
      </c>
      <c r="Q517" s="5">
        <f>J517*Assumptions!$E$36*-1</f>
        <v>-2861.5369637175222</v>
      </c>
      <c r="R517" s="5">
        <f>R505+R505*Assumptions!$D$51</f>
        <v>-2521.869156450236</v>
      </c>
      <c r="S517" s="5">
        <f>S505+(S505*Assumptions!$D$51)</f>
        <v>0</v>
      </c>
      <c r="T517" s="5">
        <f t="shared" si="143"/>
        <v>0</v>
      </c>
      <c r="U517" s="22">
        <f t="shared" si="138"/>
        <v>-12488.923664719499</v>
      </c>
      <c r="V517" s="5">
        <f>MAX(Assumptions!$E$18:$E$19)-U517</f>
        <v>15330.556676518196</v>
      </c>
      <c r="W517" s="5">
        <f t="shared" si="139"/>
        <v>0</v>
      </c>
      <c r="X517" s="5">
        <f t="shared" si="144"/>
        <v>-12488.923664719499</v>
      </c>
      <c r="Y517" s="5">
        <f>D517*Assumptions!$D$44*-1</f>
        <v>0</v>
      </c>
      <c r="Z517" s="5">
        <f t="shared" si="140"/>
        <v>2841.6330117986963</v>
      </c>
      <c r="AA517" s="5">
        <f t="shared" si="150"/>
        <v>4185573.206796227</v>
      </c>
      <c r="AB517" s="3">
        <f>Assumptions!$E$45</f>
        <v>6.9899151946608562E-3</v>
      </c>
      <c r="AC517" s="5">
        <f t="shared" si="151"/>
        <v>4217671.641564576</v>
      </c>
      <c r="AD517" s="4">
        <f>AC517*Assumptions!$E$43</f>
        <v>3777.2433869372999</v>
      </c>
      <c r="AE517" s="2">
        <f>AD517*Assumptions!$D$44*-1</f>
        <v>-566.58650804059494</v>
      </c>
      <c r="AF517" s="2">
        <f>AC517*Assumptions!$E$46*-1</f>
        <v>-140.56328664405933</v>
      </c>
      <c r="AG517" s="5">
        <f t="shared" si="152"/>
        <v>4216964.4917698912</v>
      </c>
      <c r="AH517" s="20">
        <f>Model_30y[[#This Row],[Mortgage Payment]]+Model_30y[[#This Row],[Total Upkeep]]+Model_30y[[#This Row],[Monthly Investment]]</f>
        <v>-9647.290652920803</v>
      </c>
      <c r="AI517" s="5">
        <f>Model_Renter!D517*-1</f>
        <v>12883.131711555119</v>
      </c>
      <c r="AJ517" s="5">
        <f t="shared" si="145"/>
        <v>3235.8410586343161</v>
      </c>
    </row>
    <row r="518" spans="1:36" x14ac:dyDescent="0.25">
      <c r="A518" s="17">
        <f t="shared" si="146"/>
        <v>516</v>
      </c>
      <c r="B518" s="17">
        <f t="shared" si="141"/>
        <v>43</v>
      </c>
      <c r="C518" s="23">
        <f>IFERROR(PPMT(Assumptions!$E$17, A518, 180, Assumptions!$D$8), 0)</f>
        <v>0</v>
      </c>
      <c r="D518" s="38">
        <f>IFERROR(IPMT(Assumptions!$E$17,A518,180,Assumptions!$D$8), 0)</f>
        <v>0</v>
      </c>
      <c r="E518" s="2">
        <f t="shared" si="147"/>
        <v>0</v>
      </c>
      <c r="F518" s="2">
        <f>IF(I517&gt;1, Assumptions!$E$19, 0)*-1</f>
        <v>0</v>
      </c>
      <c r="G518" s="24">
        <f t="shared" si="142"/>
        <v>1</v>
      </c>
      <c r="H518" s="20">
        <f t="shared" si="148"/>
        <v>339999.99999999988</v>
      </c>
      <c r="I518" s="2">
        <f>MAX(Assumptions!$D$8-SUM(Model_15y!H518), 0)</f>
        <v>1.1641532182693481E-10</v>
      </c>
      <c r="J518" s="2">
        <f>J517*(1+(Assumptions!$E$51))</f>
        <v>3463608.4464712404</v>
      </c>
      <c r="K518" s="22">
        <f t="shared" si="137"/>
        <v>3463608.4464712404</v>
      </c>
      <c r="L518" s="5">
        <f t="shared" si="149"/>
        <v>425000</v>
      </c>
      <c r="M518" s="63">
        <f>L518/Assumptions!$D$6</f>
        <v>1</v>
      </c>
      <c r="N518" s="24">
        <f t="shared" si="136"/>
        <v>0</v>
      </c>
      <c r="O518" s="22">
        <f>N518*Assumptions!$E$25*-1</f>
        <v>0</v>
      </c>
      <c r="P518" s="5">
        <f>Assumptions!$E$35*J518*-1</f>
        <v>-7134.4663025751306</v>
      </c>
      <c r="Q518" s="5">
        <f>J518*Assumptions!$E$36*-1</f>
        <v>-2873.195219519193</v>
      </c>
      <c r="R518" s="5">
        <f>R506+R506*Assumptions!$D$51</f>
        <v>-2521.869156450236</v>
      </c>
      <c r="S518" s="5">
        <f>S506+(S506*Assumptions!$D$51)</f>
        <v>0</v>
      </c>
      <c r="T518" s="5">
        <f t="shared" si="143"/>
        <v>0</v>
      </c>
      <c r="U518" s="22">
        <f t="shared" si="138"/>
        <v>-12529.530678544561</v>
      </c>
      <c r="V518" s="5">
        <f>MAX(Assumptions!$E$18:$E$19)-U518</f>
        <v>15371.163690343257</v>
      </c>
      <c r="W518" s="5">
        <f t="shared" si="139"/>
        <v>0</v>
      </c>
      <c r="X518" s="5">
        <f t="shared" si="144"/>
        <v>-12529.530678544561</v>
      </c>
      <c r="Y518" s="5">
        <f>D518*Assumptions!$D$44*-1</f>
        <v>0</v>
      </c>
      <c r="Z518" s="5">
        <f t="shared" si="140"/>
        <v>2841.6330117986963</v>
      </c>
      <c r="AA518" s="5">
        <f t="shared" si="150"/>
        <v>4216964.4917698912</v>
      </c>
      <c r="AB518" s="3">
        <f>Assumptions!$E$45</f>
        <v>6.9899151946608562E-3</v>
      </c>
      <c r="AC518" s="5">
        <f t="shared" si="151"/>
        <v>4249282.3489580574</v>
      </c>
      <c r="AD518" s="4">
        <f>AC518*Assumptions!$E$43</f>
        <v>3805.5531619993872</v>
      </c>
      <c r="AE518" s="2">
        <f>AD518*Assumptions!$D$44*-1</f>
        <v>-570.83297429990807</v>
      </c>
      <c r="AF518" s="2">
        <f>AC518*Assumptions!$E$46*-1</f>
        <v>-141.61678376331901</v>
      </c>
      <c r="AG518" s="5">
        <f t="shared" si="152"/>
        <v>4248569.8991999943</v>
      </c>
      <c r="AH518" s="20">
        <f>Model_30y[[#This Row],[Mortgage Payment]]+Model_30y[[#This Row],[Total Upkeep]]+Model_30y[[#This Row],[Monthly Investment]]</f>
        <v>-9687.8976667458646</v>
      </c>
      <c r="AI518" s="5">
        <f>Model_Renter!D518*-1</f>
        <v>12883.131711555119</v>
      </c>
      <c r="AJ518" s="5">
        <f t="shared" si="145"/>
        <v>3195.2340448092546</v>
      </c>
    </row>
    <row r="519" spans="1:36" x14ac:dyDescent="0.25">
      <c r="A519" s="17">
        <f t="shared" si="146"/>
        <v>517</v>
      </c>
      <c r="B519" s="17">
        <f t="shared" si="141"/>
        <v>44</v>
      </c>
      <c r="C519" s="23">
        <f>IFERROR(PPMT(Assumptions!$E$17, A519, 180, Assumptions!$D$8), 0)</f>
        <v>0</v>
      </c>
      <c r="D519" s="38">
        <f>IFERROR(IPMT(Assumptions!$E$17,A519,180,Assumptions!$D$8), 0)</f>
        <v>0</v>
      </c>
      <c r="E519" s="2">
        <f t="shared" si="147"/>
        <v>0</v>
      </c>
      <c r="F519" s="2">
        <f>IF(I518&gt;1, Assumptions!$E$19, 0)*-1</f>
        <v>0</v>
      </c>
      <c r="G519" s="24">
        <f t="shared" si="142"/>
        <v>1</v>
      </c>
      <c r="H519" s="20">
        <f t="shared" si="148"/>
        <v>339999.99999999988</v>
      </c>
      <c r="I519" s="2">
        <f>MAX(Assumptions!$D$8-SUM(Model_15y!H519), 0)</f>
        <v>1.1641532182693481E-10</v>
      </c>
      <c r="J519" s="2">
        <f>J518*(1+(Assumptions!$E$51))</f>
        <v>3477719.6160202543</v>
      </c>
      <c r="K519" s="22">
        <f t="shared" si="137"/>
        <v>3477719.6160202543</v>
      </c>
      <c r="L519" s="5">
        <f t="shared" si="149"/>
        <v>425000</v>
      </c>
      <c r="M519" s="63">
        <f>L519/Assumptions!$D$6</f>
        <v>1</v>
      </c>
      <c r="N519" s="24">
        <f t="shared" si="136"/>
        <v>0</v>
      </c>
      <c r="O519" s="22">
        <f>N519*Assumptions!$E$25*-1</f>
        <v>0</v>
      </c>
      <c r="P519" s="5">
        <f>Assumptions!$E$35*J519*-1</f>
        <v>-7163.5330014220899</v>
      </c>
      <c r="Q519" s="5">
        <f>J519*Assumptions!$E$36*-1</f>
        <v>-2884.9009724981011</v>
      </c>
      <c r="R519" s="5">
        <f>R507+R507*Assumptions!$D$51</f>
        <v>-2647.9626142727479</v>
      </c>
      <c r="S519" s="5">
        <f>S507+(S507*Assumptions!$D$51)</f>
        <v>0</v>
      </c>
      <c r="T519" s="5">
        <f t="shared" si="143"/>
        <v>0</v>
      </c>
      <c r="U519" s="22">
        <f t="shared" si="138"/>
        <v>-12696.39658819294</v>
      </c>
      <c r="V519" s="5">
        <f>MAX(Assumptions!$E$18:$E$19)-U519</f>
        <v>15538.029599991636</v>
      </c>
      <c r="W519" s="5">
        <f t="shared" si="139"/>
        <v>0</v>
      </c>
      <c r="X519" s="5">
        <f t="shared" si="144"/>
        <v>-12696.39658819294</v>
      </c>
      <c r="Y519" s="5">
        <f>D519*Assumptions!$D$44*-1</f>
        <v>0</v>
      </c>
      <c r="Z519" s="5">
        <f t="shared" si="140"/>
        <v>2841.6330117986963</v>
      </c>
      <c r="AA519" s="5">
        <f t="shared" si="150"/>
        <v>4248569.8991999943</v>
      </c>
      <c r="AB519" s="3">
        <f>Assumptions!$E$45</f>
        <v>6.9899151946608562E-3</v>
      </c>
      <c r="AC519" s="5">
        <f t="shared" si="151"/>
        <v>4281108.675505789</v>
      </c>
      <c r="AD519" s="4">
        <f>AC519*Assumptions!$E$43</f>
        <v>3834.0560402932347</v>
      </c>
      <c r="AE519" s="2">
        <f>AD519*Assumptions!$D$44*-1</f>
        <v>-575.10840604398516</v>
      </c>
      <c r="AF519" s="2">
        <f>AC519*Assumptions!$E$46*-1</f>
        <v>-142.67746687038436</v>
      </c>
      <c r="AG519" s="5">
        <f t="shared" si="152"/>
        <v>4280390.8896328742</v>
      </c>
      <c r="AH519" s="20">
        <f>Model_30y[[#This Row],[Mortgage Payment]]+Model_30y[[#This Row],[Total Upkeep]]+Model_30y[[#This Row],[Monthly Investment]]</f>
        <v>-9854.7635763942435</v>
      </c>
      <c r="AI519" s="5">
        <f>Model_Renter!D519*-1</f>
        <v>13364.960837567281</v>
      </c>
      <c r="AJ519" s="5">
        <f t="shared" si="145"/>
        <v>3510.197261173038</v>
      </c>
    </row>
    <row r="520" spans="1:36" x14ac:dyDescent="0.25">
      <c r="A520" s="17">
        <f t="shared" si="146"/>
        <v>518</v>
      </c>
      <c r="B520" s="17">
        <f t="shared" si="141"/>
        <v>44</v>
      </c>
      <c r="C520" s="23">
        <f>IFERROR(PPMT(Assumptions!$E$17, A520, 180, Assumptions!$D$8), 0)</f>
        <v>0</v>
      </c>
      <c r="D520" s="38">
        <f>IFERROR(IPMT(Assumptions!$E$17,A520,180,Assumptions!$D$8), 0)</f>
        <v>0</v>
      </c>
      <c r="E520" s="2">
        <f t="shared" si="147"/>
        <v>0</v>
      </c>
      <c r="F520" s="2">
        <f>IF(I519&gt;1, Assumptions!$E$19, 0)*-1</f>
        <v>0</v>
      </c>
      <c r="G520" s="24">
        <f t="shared" si="142"/>
        <v>1</v>
      </c>
      <c r="H520" s="20">
        <f t="shared" si="148"/>
        <v>339999.99999999988</v>
      </c>
      <c r="I520" s="2">
        <f>MAX(Assumptions!$D$8-SUM(Model_15y!H520), 0)</f>
        <v>1.1641532182693481E-10</v>
      </c>
      <c r="J520" s="2">
        <f>J519*(1+(Assumptions!$E$51))</f>
        <v>3491888.2762207431</v>
      </c>
      <c r="K520" s="22">
        <f t="shared" si="137"/>
        <v>3491888.2762207431</v>
      </c>
      <c r="L520" s="5">
        <f t="shared" si="149"/>
        <v>425000</v>
      </c>
      <c r="M520" s="63">
        <f>L520/Assumptions!$D$6</f>
        <v>1</v>
      </c>
      <c r="N520" s="24">
        <f t="shared" si="136"/>
        <v>0</v>
      </c>
      <c r="O520" s="22">
        <f>N520*Assumptions!$E$25*-1</f>
        <v>0</v>
      </c>
      <c r="P520" s="5">
        <f>Assumptions!$E$35*J520*-1</f>
        <v>-7192.7181215981336</v>
      </c>
      <c r="Q520" s="5">
        <f>J520*Assumptions!$E$36*-1</f>
        <v>-2896.6544161636261</v>
      </c>
      <c r="R520" s="5">
        <f>R508+R508*Assumptions!$D$51</f>
        <v>-2647.9626142727479</v>
      </c>
      <c r="S520" s="5">
        <f>S508+(S508*Assumptions!$D$51)</f>
        <v>0</v>
      </c>
      <c r="T520" s="5">
        <f t="shared" si="143"/>
        <v>0</v>
      </c>
      <c r="U520" s="22">
        <f t="shared" si="138"/>
        <v>-12737.335152034508</v>
      </c>
      <c r="V520" s="5">
        <f>MAX(Assumptions!$E$18:$E$19)-U520</f>
        <v>15578.968163833204</v>
      </c>
      <c r="W520" s="5">
        <f t="shared" si="139"/>
        <v>0</v>
      </c>
      <c r="X520" s="5">
        <f t="shared" si="144"/>
        <v>-12737.335152034508</v>
      </c>
      <c r="Y520" s="5">
        <f>D520*Assumptions!$D$44*-1</f>
        <v>0</v>
      </c>
      <c r="Z520" s="5">
        <f t="shared" si="140"/>
        <v>2841.6330117986963</v>
      </c>
      <c r="AA520" s="5">
        <f t="shared" si="150"/>
        <v>4280390.8896328742</v>
      </c>
      <c r="AB520" s="3">
        <f>Assumptions!$E$45</f>
        <v>6.9899151946608562E-3</v>
      </c>
      <c r="AC520" s="5">
        <f t="shared" si="151"/>
        <v>4313152.0919632055</v>
      </c>
      <c r="AD520" s="4">
        <f>AC520*Assumptions!$E$43</f>
        <v>3862.7533389913751</v>
      </c>
      <c r="AE520" s="2">
        <f>AD520*Assumptions!$D$44*-1</f>
        <v>-579.41300084870625</v>
      </c>
      <c r="AF520" s="2">
        <f>AC520*Assumptions!$E$46*-1</f>
        <v>-143.74538498145097</v>
      </c>
      <c r="AG520" s="5">
        <f t="shared" si="152"/>
        <v>4312428.9335773755</v>
      </c>
      <c r="AH520" s="20">
        <f>Model_30y[[#This Row],[Mortgage Payment]]+Model_30y[[#This Row],[Total Upkeep]]+Model_30y[[#This Row],[Monthly Investment]]</f>
        <v>-9895.7021402358114</v>
      </c>
      <c r="AI520" s="5">
        <f>Model_Renter!D520*-1</f>
        <v>13364.960837567281</v>
      </c>
      <c r="AJ520" s="5">
        <f t="shared" si="145"/>
        <v>3469.2586973314701</v>
      </c>
    </row>
    <row r="521" spans="1:36" x14ac:dyDescent="0.25">
      <c r="A521" s="17">
        <f t="shared" si="146"/>
        <v>519</v>
      </c>
      <c r="B521" s="17">
        <f t="shared" si="141"/>
        <v>44</v>
      </c>
      <c r="C521" s="23">
        <f>IFERROR(PPMT(Assumptions!$E$17, A521, 180, Assumptions!$D$8), 0)</f>
        <v>0</v>
      </c>
      <c r="D521" s="38">
        <f>IFERROR(IPMT(Assumptions!$E$17,A521,180,Assumptions!$D$8), 0)</f>
        <v>0</v>
      </c>
      <c r="E521" s="2">
        <f t="shared" si="147"/>
        <v>0</v>
      </c>
      <c r="F521" s="2">
        <f>IF(I520&gt;1, Assumptions!$E$19, 0)*-1</f>
        <v>0</v>
      </c>
      <c r="G521" s="24">
        <f t="shared" si="142"/>
        <v>1</v>
      </c>
      <c r="H521" s="20">
        <f t="shared" si="148"/>
        <v>339999.99999999988</v>
      </c>
      <c r="I521" s="2">
        <f>MAX(Assumptions!$D$8-SUM(Model_15y!H521), 0)</f>
        <v>1.1641532182693481E-10</v>
      </c>
      <c r="J521" s="2">
        <f>J520*(1+(Assumptions!$E$51))</f>
        <v>3506114.6612967369</v>
      </c>
      <c r="K521" s="22">
        <f t="shared" si="137"/>
        <v>3506114.6612967369</v>
      </c>
      <c r="L521" s="5">
        <f t="shared" si="149"/>
        <v>425000</v>
      </c>
      <c r="M521" s="63">
        <f>L521/Assumptions!$D$6</f>
        <v>1</v>
      </c>
      <c r="N521" s="24">
        <f t="shared" si="136"/>
        <v>0</v>
      </c>
      <c r="O521" s="22">
        <f>N521*Assumptions!$E$25*-1</f>
        <v>0</v>
      </c>
      <c r="P521" s="5">
        <f>Assumptions!$E$35*J521*-1</f>
        <v>-7222.022145566415</v>
      </c>
      <c r="Q521" s="5">
        <f>J521*Assumptions!$E$36*-1</f>
        <v>-2908.4557448135283</v>
      </c>
      <c r="R521" s="5">
        <f>R509+R509*Assumptions!$D$51</f>
        <v>-2647.9626142727479</v>
      </c>
      <c r="S521" s="5">
        <f>S509+(S509*Assumptions!$D$51)</f>
        <v>0</v>
      </c>
      <c r="T521" s="5">
        <f t="shared" si="143"/>
        <v>0</v>
      </c>
      <c r="U521" s="22">
        <f t="shared" si="138"/>
        <v>-12778.440504652692</v>
      </c>
      <c r="V521" s="5">
        <f>MAX(Assumptions!$E$18:$E$19)-U521</f>
        <v>15620.073516451388</v>
      </c>
      <c r="W521" s="5">
        <f t="shared" si="139"/>
        <v>0</v>
      </c>
      <c r="X521" s="5">
        <f t="shared" si="144"/>
        <v>-12778.440504652692</v>
      </c>
      <c r="Y521" s="5">
        <f>D521*Assumptions!$D$44*-1</f>
        <v>0</v>
      </c>
      <c r="Z521" s="5">
        <f t="shared" si="140"/>
        <v>2841.6330117986963</v>
      </c>
      <c r="AA521" s="5">
        <f t="shared" si="150"/>
        <v>4312428.9335773755</v>
      </c>
      <c r="AB521" s="3">
        <f>Assumptions!$E$45</f>
        <v>6.9899151946608562E-3</v>
      </c>
      <c r="AC521" s="5">
        <f t="shared" si="151"/>
        <v>4345414.0791178811</v>
      </c>
      <c r="AD521" s="4">
        <f>AC521*Assumptions!$E$43</f>
        <v>3891.6463842508797</v>
      </c>
      <c r="AE521" s="2">
        <f>AD521*Assumptions!$D$44*-1</f>
        <v>-583.74695763763191</v>
      </c>
      <c r="AF521" s="2">
        <f>AC521*Assumptions!$E$46*-1</f>
        <v>-144.82058744705765</v>
      </c>
      <c r="AG521" s="5">
        <f t="shared" si="152"/>
        <v>4344685.5115727969</v>
      </c>
      <c r="AH521" s="20">
        <f>Model_30y[[#This Row],[Mortgage Payment]]+Model_30y[[#This Row],[Total Upkeep]]+Model_30y[[#This Row],[Monthly Investment]]</f>
        <v>-9936.8074928539954</v>
      </c>
      <c r="AI521" s="5">
        <f>Model_Renter!D521*-1</f>
        <v>13364.960837567281</v>
      </c>
      <c r="AJ521" s="5">
        <f t="shared" si="145"/>
        <v>3428.1533447132861</v>
      </c>
    </row>
    <row r="522" spans="1:36" x14ac:dyDescent="0.25">
      <c r="A522" s="17">
        <f t="shared" si="146"/>
        <v>520</v>
      </c>
      <c r="B522" s="17">
        <f t="shared" si="141"/>
        <v>44</v>
      </c>
      <c r="C522" s="23">
        <f>IFERROR(PPMT(Assumptions!$E$17, A522, 180, Assumptions!$D$8), 0)</f>
        <v>0</v>
      </c>
      <c r="D522" s="38">
        <f>IFERROR(IPMT(Assumptions!$E$17,A522,180,Assumptions!$D$8), 0)</f>
        <v>0</v>
      </c>
      <c r="E522" s="2">
        <f t="shared" si="147"/>
        <v>0</v>
      </c>
      <c r="F522" s="2">
        <f>IF(I521&gt;1, Assumptions!$E$19, 0)*-1</f>
        <v>0</v>
      </c>
      <c r="G522" s="24">
        <f t="shared" si="142"/>
        <v>1</v>
      </c>
      <c r="H522" s="20">
        <f t="shared" si="148"/>
        <v>339999.99999999988</v>
      </c>
      <c r="I522" s="2">
        <f>MAX(Assumptions!$D$8-SUM(Model_15y!H522), 0)</f>
        <v>1.1641532182693481E-10</v>
      </c>
      <c r="J522" s="2">
        <f>J521*(1+(Assumptions!$E$51))</f>
        <v>3520399.0064265244</v>
      </c>
      <c r="K522" s="22">
        <f t="shared" si="137"/>
        <v>3520399.0064265244</v>
      </c>
      <c r="L522" s="5">
        <f t="shared" si="149"/>
        <v>425000</v>
      </c>
      <c r="M522" s="63">
        <f>L522/Assumptions!$D$6</f>
        <v>1</v>
      </c>
      <c r="N522" s="24">
        <f t="shared" si="136"/>
        <v>0</v>
      </c>
      <c r="O522" s="22">
        <f>N522*Assumptions!$E$25*-1</f>
        <v>0</v>
      </c>
      <c r="P522" s="5">
        <f>Assumptions!$E$35*J522*-1</f>
        <v>-7251.4455577557028</v>
      </c>
      <c r="Q522" s="5">
        <f>J522*Assumptions!$E$36*-1</f>
        <v>-2920.3051535371619</v>
      </c>
      <c r="R522" s="5">
        <f>R510+R510*Assumptions!$D$51</f>
        <v>-2647.9626142727479</v>
      </c>
      <c r="S522" s="5">
        <f>S510+(S510*Assumptions!$D$51)</f>
        <v>0</v>
      </c>
      <c r="T522" s="5">
        <f t="shared" si="143"/>
        <v>0</v>
      </c>
      <c r="U522" s="22">
        <f t="shared" si="138"/>
        <v>-12819.713325565614</v>
      </c>
      <c r="V522" s="5">
        <f>MAX(Assumptions!$E$18:$E$19)-U522</f>
        <v>15661.34633736431</v>
      </c>
      <c r="W522" s="5">
        <f t="shared" si="139"/>
        <v>0</v>
      </c>
      <c r="X522" s="5">
        <f t="shared" si="144"/>
        <v>-12819.713325565614</v>
      </c>
      <c r="Y522" s="5">
        <f>D522*Assumptions!$D$44*-1</f>
        <v>0</v>
      </c>
      <c r="Z522" s="5">
        <f t="shared" si="140"/>
        <v>2841.6330117986963</v>
      </c>
      <c r="AA522" s="5">
        <f t="shared" si="150"/>
        <v>4344685.5115727969</v>
      </c>
      <c r="AB522" s="3">
        <f>Assumptions!$E$45</f>
        <v>6.9899151946608562E-3</v>
      </c>
      <c r="AC522" s="5">
        <f t="shared" si="151"/>
        <v>4377896.1278579608</v>
      </c>
      <c r="AD522" s="4">
        <f>AC522*Assumptions!$E$43</f>
        <v>3920.7365112746438</v>
      </c>
      <c r="AE522" s="2">
        <f>AD522*Assumptions!$D$44*-1</f>
        <v>-588.1104766911966</v>
      </c>
      <c r="AF522" s="2">
        <f>AC522*Assumptions!$E$46*-1</f>
        <v>-145.90312395436726</v>
      </c>
      <c r="AG522" s="5">
        <f t="shared" si="152"/>
        <v>4377162.1142573152</v>
      </c>
      <c r="AH522" s="20">
        <f>Model_30y[[#This Row],[Mortgage Payment]]+Model_30y[[#This Row],[Total Upkeep]]+Model_30y[[#This Row],[Monthly Investment]]</f>
        <v>-9978.0803137669172</v>
      </c>
      <c r="AI522" s="5">
        <f>Model_Renter!D522*-1</f>
        <v>13364.960837567281</v>
      </c>
      <c r="AJ522" s="5">
        <f t="shared" si="145"/>
        <v>3386.8805238003642</v>
      </c>
    </row>
    <row r="523" spans="1:36" x14ac:dyDescent="0.25">
      <c r="A523" s="17">
        <f t="shared" si="146"/>
        <v>521</v>
      </c>
      <c r="B523" s="17">
        <f t="shared" si="141"/>
        <v>44</v>
      </c>
      <c r="C523" s="23">
        <f>IFERROR(PPMT(Assumptions!$E$17, A523, 180, Assumptions!$D$8), 0)</f>
        <v>0</v>
      </c>
      <c r="D523" s="38">
        <f>IFERROR(IPMT(Assumptions!$E$17,A523,180,Assumptions!$D$8), 0)</f>
        <v>0</v>
      </c>
      <c r="E523" s="2">
        <f t="shared" si="147"/>
        <v>0</v>
      </c>
      <c r="F523" s="2">
        <f>IF(I522&gt;1, Assumptions!$E$19, 0)*-1</f>
        <v>0</v>
      </c>
      <c r="G523" s="24">
        <f t="shared" si="142"/>
        <v>1</v>
      </c>
      <c r="H523" s="20">
        <f t="shared" si="148"/>
        <v>339999.99999999988</v>
      </c>
      <c r="I523" s="2">
        <f>MAX(Assumptions!$D$8-SUM(Model_15y!H523), 0)</f>
        <v>1.1641532182693481E-10</v>
      </c>
      <c r="J523" s="2">
        <f>J522*(1+(Assumptions!$E$51))</f>
        <v>3534741.5477465387</v>
      </c>
      <c r="K523" s="22">
        <f t="shared" si="137"/>
        <v>3534741.5477465387</v>
      </c>
      <c r="L523" s="5">
        <f t="shared" si="149"/>
        <v>425000</v>
      </c>
      <c r="M523" s="63">
        <f>L523/Assumptions!$D$6</f>
        <v>1</v>
      </c>
      <c r="N523" s="24">
        <f t="shared" si="136"/>
        <v>0</v>
      </c>
      <c r="O523" s="22">
        <f>N523*Assumptions!$E$25*-1</f>
        <v>0</v>
      </c>
      <c r="P523" s="5">
        <f>Assumptions!$E$35*J523*-1</f>
        <v>-7280.9888445683864</v>
      </c>
      <c r="Q523" s="5">
        <f>J523*Assumptions!$E$36*-1</f>
        <v>-2932.2028382186986</v>
      </c>
      <c r="R523" s="5">
        <f>R511+R511*Assumptions!$D$51</f>
        <v>-2647.9626142727479</v>
      </c>
      <c r="S523" s="5">
        <f>S511+(S511*Assumptions!$D$51)</f>
        <v>0</v>
      </c>
      <c r="T523" s="5">
        <f t="shared" si="143"/>
        <v>0</v>
      </c>
      <c r="U523" s="22">
        <f t="shared" si="138"/>
        <v>-12861.154297059833</v>
      </c>
      <c r="V523" s="5">
        <f>MAX(Assumptions!$E$18:$E$19)-U523</f>
        <v>15702.787308858529</v>
      </c>
      <c r="W523" s="5">
        <f t="shared" si="139"/>
        <v>0</v>
      </c>
      <c r="X523" s="5">
        <f t="shared" si="144"/>
        <v>-12861.154297059833</v>
      </c>
      <c r="Y523" s="5">
        <f>D523*Assumptions!$D$44*-1</f>
        <v>0</v>
      </c>
      <c r="Z523" s="5">
        <f t="shared" si="140"/>
        <v>2841.6330117986963</v>
      </c>
      <c r="AA523" s="5">
        <f t="shared" si="150"/>
        <v>4377162.1142573152</v>
      </c>
      <c r="AB523" s="3">
        <f>Assumptions!$E$45</f>
        <v>6.9899151946608562E-3</v>
      </c>
      <c r="AC523" s="5">
        <f t="shared" si="151"/>
        <v>4410599.7392410543</v>
      </c>
      <c r="AD523" s="4">
        <f>AC523*Assumptions!$E$43</f>
        <v>3950.0250643730856</v>
      </c>
      <c r="AE523" s="2">
        <f>AD523*Assumptions!$D$44*-1</f>
        <v>-592.50375965596277</v>
      </c>
      <c r="AF523" s="2">
        <f>AC523*Assumptions!$E$46*-1</f>
        <v>-146.99304452946268</v>
      </c>
      <c r="AG523" s="5">
        <f t="shared" si="152"/>
        <v>4409860.2424368691</v>
      </c>
      <c r="AH523" s="20">
        <f>Model_30y[[#This Row],[Mortgage Payment]]+Model_30y[[#This Row],[Total Upkeep]]+Model_30y[[#This Row],[Monthly Investment]]</f>
        <v>-10019.521285261137</v>
      </c>
      <c r="AI523" s="5">
        <f>Model_Renter!D523*-1</f>
        <v>13364.960837567281</v>
      </c>
      <c r="AJ523" s="5">
        <f t="shared" si="145"/>
        <v>3345.4395523061448</v>
      </c>
    </row>
    <row r="524" spans="1:36" x14ac:dyDescent="0.25">
      <c r="A524" s="17">
        <f t="shared" si="146"/>
        <v>522</v>
      </c>
      <c r="B524" s="17">
        <f t="shared" si="141"/>
        <v>44</v>
      </c>
      <c r="C524" s="23">
        <f>IFERROR(PPMT(Assumptions!$E$17, A524, 180, Assumptions!$D$8), 0)</f>
        <v>0</v>
      </c>
      <c r="D524" s="38">
        <f>IFERROR(IPMT(Assumptions!$E$17,A524,180,Assumptions!$D$8), 0)</f>
        <v>0</v>
      </c>
      <c r="E524" s="2">
        <f t="shared" si="147"/>
        <v>0</v>
      </c>
      <c r="F524" s="2">
        <f>IF(I523&gt;1, Assumptions!$E$19, 0)*-1</f>
        <v>0</v>
      </c>
      <c r="G524" s="24">
        <f t="shared" si="142"/>
        <v>1</v>
      </c>
      <c r="H524" s="20">
        <f t="shared" si="148"/>
        <v>339999.99999999988</v>
      </c>
      <c r="I524" s="2">
        <f>MAX(Assumptions!$D$8-SUM(Model_15y!H524), 0)</f>
        <v>1.1641532182693481E-10</v>
      </c>
      <c r="J524" s="2">
        <f>J523*(1+(Assumptions!$E$51))</f>
        <v>3549142.5223552627</v>
      </c>
      <c r="K524" s="22">
        <f t="shared" si="137"/>
        <v>3549142.5223552627</v>
      </c>
      <c r="L524" s="5">
        <f t="shared" si="149"/>
        <v>425000</v>
      </c>
      <c r="M524" s="63">
        <f>L524/Assumptions!$D$6</f>
        <v>1</v>
      </c>
      <c r="N524" s="24">
        <f t="shared" si="136"/>
        <v>0</v>
      </c>
      <c r="O524" s="22">
        <f>N524*Assumptions!$E$25*-1</f>
        <v>0</v>
      </c>
      <c r="P524" s="5">
        <f>Assumptions!$E$35*J524*-1</f>
        <v>-7310.6524943885206</v>
      </c>
      <c r="Q524" s="5">
        <f>J524*Assumptions!$E$36*-1</f>
        <v>-2944.1489955403663</v>
      </c>
      <c r="R524" s="5">
        <f>R512+R512*Assumptions!$D$51</f>
        <v>-2647.9626142727479</v>
      </c>
      <c r="S524" s="5">
        <f>S512+(S512*Assumptions!$D$51)</f>
        <v>0</v>
      </c>
      <c r="T524" s="5">
        <f t="shared" si="143"/>
        <v>0</v>
      </c>
      <c r="U524" s="22">
        <f t="shared" si="138"/>
        <v>-12902.764104201635</v>
      </c>
      <c r="V524" s="5">
        <f>MAX(Assumptions!$E$18:$E$19)-U524</f>
        <v>15744.397116000331</v>
      </c>
      <c r="W524" s="5">
        <f t="shared" si="139"/>
        <v>0</v>
      </c>
      <c r="X524" s="5">
        <f t="shared" si="144"/>
        <v>-12902.764104201635</v>
      </c>
      <c r="Y524" s="5">
        <f>D524*Assumptions!$D$44*-1</f>
        <v>0</v>
      </c>
      <c r="Z524" s="5">
        <f t="shared" si="140"/>
        <v>2841.6330117986963</v>
      </c>
      <c r="AA524" s="5">
        <f t="shared" si="150"/>
        <v>4409860.2424368691</v>
      </c>
      <c r="AB524" s="3">
        <f>Assumptions!$E$45</f>
        <v>6.9899151946608562E-3</v>
      </c>
      <c r="AC524" s="5">
        <f t="shared" si="151"/>
        <v>4443526.4245636081</v>
      </c>
      <c r="AD524" s="4">
        <f>AC524*Assumptions!$E$43</f>
        <v>3979.5133970262755</v>
      </c>
      <c r="AE524" s="2">
        <f>AD524*Assumptions!$D$44*-1</f>
        <v>-596.92700955394128</v>
      </c>
      <c r="AF524" s="2">
        <f>AC524*Assumptions!$E$46*-1</f>
        <v>-148.09039953965879</v>
      </c>
      <c r="AG524" s="5">
        <f t="shared" si="152"/>
        <v>4442781.4071545145</v>
      </c>
      <c r="AH524" s="20">
        <f>Model_30y[[#This Row],[Mortgage Payment]]+Model_30y[[#This Row],[Total Upkeep]]+Model_30y[[#This Row],[Monthly Investment]]</f>
        <v>-10061.131092402939</v>
      </c>
      <c r="AI524" s="5">
        <f>Model_Renter!D524*-1</f>
        <v>13364.960837567281</v>
      </c>
      <c r="AJ524" s="5">
        <f t="shared" si="145"/>
        <v>3303.829745164343</v>
      </c>
    </row>
    <row r="525" spans="1:36" x14ac:dyDescent="0.25">
      <c r="A525" s="17">
        <f t="shared" si="146"/>
        <v>523</v>
      </c>
      <c r="B525" s="17">
        <f t="shared" si="141"/>
        <v>44</v>
      </c>
      <c r="C525" s="23">
        <f>IFERROR(PPMT(Assumptions!$E$17, A525, 180, Assumptions!$D$8), 0)</f>
        <v>0</v>
      </c>
      <c r="D525" s="38">
        <f>IFERROR(IPMT(Assumptions!$E$17,A525,180,Assumptions!$D$8), 0)</f>
        <v>0</v>
      </c>
      <c r="E525" s="2">
        <f t="shared" si="147"/>
        <v>0</v>
      </c>
      <c r="F525" s="2">
        <f>IF(I524&gt;1, Assumptions!$E$19, 0)*-1</f>
        <v>0</v>
      </c>
      <c r="G525" s="24">
        <f t="shared" si="142"/>
        <v>1</v>
      </c>
      <c r="H525" s="20">
        <f t="shared" si="148"/>
        <v>339999.99999999988</v>
      </c>
      <c r="I525" s="2">
        <f>MAX(Assumptions!$D$8-SUM(Model_15y!H525), 0)</f>
        <v>1.1641532182693481E-10</v>
      </c>
      <c r="J525" s="2">
        <f>J524*(1+(Assumptions!$E$51))</f>
        <v>3563602.168317148</v>
      </c>
      <c r="K525" s="22">
        <f t="shared" si="137"/>
        <v>3563602.168317148</v>
      </c>
      <c r="L525" s="5">
        <f t="shared" si="149"/>
        <v>425000</v>
      </c>
      <c r="M525" s="63">
        <f>L525/Assumptions!$D$6</f>
        <v>1</v>
      </c>
      <c r="N525" s="24">
        <f t="shared" si="136"/>
        <v>0</v>
      </c>
      <c r="O525" s="22">
        <f>N525*Assumptions!$E$25*-1</f>
        <v>0</v>
      </c>
      <c r="P525" s="5">
        <f>Assumptions!$E$35*J525*-1</f>
        <v>-7340.4369975898971</v>
      </c>
      <c r="Q525" s="5">
        <f>J525*Assumptions!$E$36*-1</f>
        <v>-2956.1438229857017</v>
      </c>
      <c r="R525" s="5">
        <f>R513+R513*Assumptions!$D$51</f>
        <v>-2647.9626142727479</v>
      </c>
      <c r="S525" s="5">
        <f>S513+(S513*Assumptions!$D$51)</f>
        <v>0</v>
      </c>
      <c r="T525" s="5">
        <f t="shared" si="143"/>
        <v>0</v>
      </c>
      <c r="U525" s="22">
        <f t="shared" si="138"/>
        <v>-12944.543434848347</v>
      </c>
      <c r="V525" s="5">
        <f>MAX(Assumptions!$E$18:$E$19)-U525</f>
        <v>15786.176446647043</v>
      </c>
      <c r="W525" s="5">
        <f t="shared" si="139"/>
        <v>0</v>
      </c>
      <c r="X525" s="5">
        <f t="shared" si="144"/>
        <v>-12944.543434848347</v>
      </c>
      <c r="Y525" s="5">
        <f>D525*Assumptions!$D$44*-1</f>
        <v>0</v>
      </c>
      <c r="Z525" s="5">
        <f t="shared" si="140"/>
        <v>2841.6330117986963</v>
      </c>
      <c r="AA525" s="5">
        <f t="shared" si="150"/>
        <v>4442781.4071545145</v>
      </c>
      <c r="AB525" s="3">
        <f>Assumptions!$E$45</f>
        <v>6.9899151946608562E-3</v>
      </c>
      <c r="AC525" s="5">
        <f t="shared" si="151"/>
        <v>4476677.7054307386</v>
      </c>
      <c r="AD525" s="4">
        <f>AC525*Assumptions!$E$43</f>
        <v>4009.2028719464756</v>
      </c>
      <c r="AE525" s="2">
        <f>AD525*Assumptions!$D$44*-1</f>
        <v>-601.38043079197132</v>
      </c>
      <c r="AF525" s="2">
        <f>AC525*Assumptions!$E$46*-1</f>
        <v>-149.19523969582977</v>
      </c>
      <c r="AG525" s="5">
        <f t="shared" si="152"/>
        <v>4475927.1297602504</v>
      </c>
      <c r="AH525" s="20">
        <f>Model_30y[[#This Row],[Mortgage Payment]]+Model_30y[[#This Row],[Total Upkeep]]+Model_30y[[#This Row],[Monthly Investment]]</f>
        <v>-10102.91042304965</v>
      </c>
      <c r="AI525" s="5">
        <f>Model_Renter!D525*-1</f>
        <v>13364.960837567281</v>
      </c>
      <c r="AJ525" s="5">
        <f t="shared" si="145"/>
        <v>3262.050414517631</v>
      </c>
    </row>
    <row r="526" spans="1:36" x14ac:dyDescent="0.25">
      <c r="A526" s="17">
        <f t="shared" si="146"/>
        <v>524</v>
      </c>
      <c r="B526" s="17">
        <f t="shared" si="141"/>
        <v>44</v>
      </c>
      <c r="C526" s="23">
        <f>IFERROR(PPMT(Assumptions!$E$17, A526, 180, Assumptions!$D$8), 0)</f>
        <v>0</v>
      </c>
      <c r="D526" s="38">
        <f>IFERROR(IPMT(Assumptions!$E$17,A526,180,Assumptions!$D$8), 0)</f>
        <v>0</v>
      </c>
      <c r="E526" s="2">
        <f t="shared" si="147"/>
        <v>0</v>
      </c>
      <c r="F526" s="2">
        <f>IF(I525&gt;1, Assumptions!$E$19, 0)*-1</f>
        <v>0</v>
      </c>
      <c r="G526" s="24">
        <f t="shared" si="142"/>
        <v>1</v>
      </c>
      <c r="H526" s="20">
        <f t="shared" si="148"/>
        <v>339999.99999999988</v>
      </c>
      <c r="I526" s="2">
        <f>MAX(Assumptions!$D$8-SUM(Model_15y!H526), 0)</f>
        <v>1.1641532182693481E-10</v>
      </c>
      <c r="J526" s="2">
        <f>J525*(1+(Assumptions!$E$51))</f>
        <v>3578120.7246665498</v>
      </c>
      <c r="K526" s="22">
        <f t="shared" si="137"/>
        <v>3578120.7246665498</v>
      </c>
      <c r="L526" s="5">
        <f t="shared" si="149"/>
        <v>425000</v>
      </c>
      <c r="M526" s="63">
        <f>L526/Assumptions!$D$6</f>
        <v>1</v>
      </c>
      <c r="N526" s="24">
        <f t="shared" si="136"/>
        <v>0</v>
      </c>
      <c r="O526" s="22">
        <f>N526*Assumptions!$E$25*-1</f>
        <v>0</v>
      </c>
      <c r="P526" s="5">
        <f>Assumptions!$E$35*J526*-1</f>
        <v>-7370.3428465441502</v>
      </c>
      <c r="Q526" s="5">
        <f>J526*Assumptions!$E$36*-1</f>
        <v>-2968.187518842813</v>
      </c>
      <c r="R526" s="5">
        <f>R514+R514*Assumptions!$D$51</f>
        <v>-2647.9626142727479</v>
      </c>
      <c r="S526" s="5">
        <f>S514+(S514*Assumptions!$D$51)</f>
        <v>0</v>
      </c>
      <c r="T526" s="5">
        <f t="shared" si="143"/>
        <v>0</v>
      </c>
      <c r="U526" s="22">
        <f t="shared" si="138"/>
        <v>-12986.492979659712</v>
      </c>
      <c r="V526" s="5">
        <f>MAX(Assumptions!$E$18:$E$19)-U526</f>
        <v>15828.125991458408</v>
      </c>
      <c r="W526" s="5">
        <f t="shared" si="139"/>
        <v>0</v>
      </c>
      <c r="X526" s="5">
        <f t="shared" si="144"/>
        <v>-12986.492979659712</v>
      </c>
      <c r="Y526" s="5">
        <f>D526*Assumptions!$D$44*-1</f>
        <v>0</v>
      </c>
      <c r="Z526" s="5">
        <f t="shared" si="140"/>
        <v>2841.6330117986963</v>
      </c>
      <c r="AA526" s="5">
        <f t="shared" si="150"/>
        <v>4475927.1297602504</v>
      </c>
      <c r="AB526" s="3">
        <f>Assumptions!$E$45</f>
        <v>6.9899151946608562E-3</v>
      </c>
      <c r="AC526" s="5">
        <f t="shared" si="151"/>
        <v>4510055.1138265552</v>
      </c>
      <c r="AD526" s="4">
        <f>AC526*Assumptions!$E$43</f>
        <v>4039.0948611411191</v>
      </c>
      <c r="AE526" s="2">
        <f>AD526*Assumptions!$D$44*-1</f>
        <v>-605.86422917116784</v>
      </c>
      <c r="AF526" s="2">
        <f>AC526*Assumptions!$E$46*-1</f>
        <v>-150.30761605475291</v>
      </c>
      <c r="AG526" s="5">
        <f t="shared" si="152"/>
        <v>4509298.9419813296</v>
      </c>
      <c r="AH526" s="20">
        <f>Model_30y[[#This Row],[Mortgage Payment]]+Model_30y[[#This Row],[Total Upkeep]]+Model_30y[[#This Row],[Monthly Investment]]</f>
        <v>-10144.859967861015</v>
      </c>
      <c r="AI526" s="5">
        <f>Model_Renter!D526*-1</f>
        <v>13364.960837567281</v>
      </c>
      <c r="AJ526" s="5">
        <f t="shared" si="145"/>
        <v>3220.1008697062662</v>
      </c>
    </row>
    <row r="527" spans="1:36" x14ac:dyDescent="0.25">
      <c r="A527" s="17">
        <f t="shared" si="146"/>
        <v>525</v>
      </c>
      <c r="B527" s="17">
        <f t="shared" si="141"/>
        <v>44</v>
      </c>
      <c r="C527" s="23">
        <f>IFERROR(PPMT(Assumptions!$E$17, A527, 180, Assumptions!$D$8), 0)</f>
        <v>0</v>
      </c>
      <c r="D527" s="38">
        <f>IFERROR(IPMT(Assumptions!$E$17,A527,180,Assumptions!$D$8), 0)</f>
        <v>0</v>
      </c>
      <c r="E527" s="2">
        <f t="shared" si="147"/>
        <v>0</v>
      </c>
      <c r="F527" s="2">
        <f>IF(I526&gt;1, Assumptions!$E$19, 0)*-1</f>
        <v>0</v>
      </c>
      <c r="G527" s="24">
        <f t="shared" si="142"/>
        <v>1</v>
      </c>
      <c r="H527" s="20">
        <f t="shared" si="148"/>
        <v>339999.99999999988</v>
      </c>
      <c r="I527" s="2">
        <f>MAX(Assumptions!$D$8-SUM(Model_15y!H527), 0)</f>
        <v>1.1641532182693481E-10</v>
      </c>
      <c r="J527" s="2">
        <f>J526*(1+(Assumptions!$E$51))</f>
        <v>3592698.4314116789</v>
      </c>
      <c r="K527" s="22">
        <f t="shared" si="137"/>
        <v>3592698.4314116789</v>
      </c>
      <c r="L527" s="5">
        <f t="shared" si="149"/>
        <v>425000</v>
      </c>
      <c r="M527" s="63">
        <f>L527/Assumptions!$D$6</f>
        <v>1</v>
      </c>
      <c r="N527" s="24">
        <f t="shared" si="136"/>
        <v>0</v>
      </c>
      <c r="O527" s="22">
        <f>N527*Assumptions!$E$25*-1</f>
        <v>0</v>
      </c>
      <c r="P527" s="5">
        <f>Assumptions!$E$35*J527*-1</f>
        <v>-7400.3705356288983</v>
      </c>
      <c r="Q527" s="5">
        <f>J527*Assumptions!$E$36*-1</f>
        <v>-2980.2802822076587</v>
      </c>
      <c r="R527" s="5">
        <f>R515+R515*Assumptions!$D$51</f>
        <v>-2647.9626142727479</v>
      </c>
      <c r="S527" s="5">
        <f>S515+(S515*Assumptions!$D$51)</f>
        <v>0</v>
      </c>
      <c r="T527" s="5">
        <f t="shared" si="143"/>
        <v>0</v>
      </c>
      <c r="U527" s="22">
        <f t="shared" si="138"/>
        <v>-13028.613432109305</v>
      </c>
      <c r="V527" s="5">
        <f>MAX(Assumptions!$E$18:$E$19)-U527</f>
        <v>15870.246443908001</v>
      </c>
      <c r="W527" s="5">
        <f t="shared" si="139"/>
        <v>0</v>
      </c>
      <c r="X527" s="5">
        <f t="shared" si="144"/>
        <v>-13028.613432109305</v>
      </c>
      <c r="Y527" s="5">
        <f>D527*Assumptions!$D$44*-1</f>
        <v>0</v>
      </c>
      <c r="Z527" s="5">
        <f t="shared" si="140"/>
        <v>2841.6330117986963</v>
      </c>
      <c r="AA527" s="5">
        <f t="shared" si="150"/>
        <v>4509298.9419813296</v>
      </c>
      <c r="AB527" s="3">
        <f>Assumptions!$E$45</f>
        <v>6.9899151946608562E-3</v>
      </c>
      <c r="AC527" s="5">
        <f t="shared" si="151"/>
        <v>4543660.1921849512</v>
      </c>
      <c r="AD527" s="4">
        <f>AC527*Assumptions!$E$43</f>
        <v>4069.1907459762115</v>
      </c>
      <c r="AE527" s="2">
        <f>AD527*Assumptions!$D$44*-1</f>
        <v>-610.37861189643172</v>
      </c>
      <c r="AF527" s="2">
        <f>AC527*Assumptions!$E$46*-1</f>
        <v>-151.42758002146775</v>
      </c>
      <c r="AG527" s="5">
        <f t="shared" si="152"/>
        <v>4542898.3859930336</v>
      </c>
      <c r="AH527" s="20">
        <f>Model_30y[[#This Row],[Mortgage Payment]]+Model_30y[[#This Row],[Total Upkeep]]+Model_30y[[#This Row],[Monthly Investment]]</f>
        <v>-10186.980420310609</v>
      </c>
      <c r="AI527" s="5">
        <f>Model_Renter!D527*-1</f>
        <v>13364.960837567281</v>
      </c>
      <c r="AJ527" s="5">
        <f t="shared" si="145"/>
        <v>3177.9804172566728</v>
      </c>
    </row>
    <row r="528" spans="1:36" x14ac:dyDescent="0.25">
      <c r="A528" s="17">
        <f t="shared" si="146"/>
        <v>526</v>
      </c>
      <c r="B528" s="17">
        <f t="shared" si="141"/>
        <v>44</v>
      </c>
      <c r="C528" s="23">
        <f>IFERROR(PPMT(Assumptions!$E$17, A528, 180, Assumptions!$D$8), 0)</f>
        <v>0</v>
      </c>
      <c r="D528" s="38">
        <f>IFERROR(IPMT(Assumptions!$E$17,A528,180,Assumptions!$D$8), 0)</f>
        <v>0</v>
      </c>
      <c r="E528" s="2">
        <f t="shared" si="147"/>
        <v>0</v>
      </c>
      <c r="F528" s="2">
        <f>IF(I527&gt;1, Assumptions!$E$19, 0)*-1</f>
        <v>0</v>
      </c>
      <c r="G528" s="24">
        <f t="shared" si="142"/>
        <v>1</v>
      </c>
      <c r="H528" s="20">
        <f t="shared" si="148"/>
        <v>339999.99999999988</v>
      </c>
      <c r="I528" s="2">
        <f>MAX(Assumptions!$D$8-SUM(Model_15y!H528), 0)</f>
        <v>1.1641532182693481E-10</v>
      </c>
      <c r="J528" s="2">
        <f>J527*(1+(Assumptions!$E$51))</f>
        <v>3607335.5295385695</v>
      </c>
      <c r="K528" s="22">
        <f t="shared" si="137"/>
        <v>3607335.5295385695</v>
      </c>
      <c r="L528" s="5">
        <f t="shared" si="149"/>
        <v>425000</v>
      </c>
      <c r="M528" s="63">
        <f>L528/Assumptions!$D$6</f>
        <v>1</v>
      </c>
      <c r="N528" s="24">
        <f t="shared" si="136"/>
        <v>0</v>
      </c>
      <c r="O528" s="22">
        <f>N528*Assumptions!$E$25*-1</f>
        <v>0</v>
      </c>
      <c r="P528" s="5">
        <f>Assumptions!$E$35*J528*-1</f>
        <v>-7430.520561235915</v>
      </c>
      <c r="Q528" s="5">
        <f>J528*Assumptions!$E$36*-1</f>
        <v>-2992.4223129873394</v>
      </c>
      <c r="R528" s="5">
        <f>R516+R516*Assumptions!$D$51</f>
        <v>-2647.9626142727479</v>
      </c>
      <c r="S528" s="5">
        <f>S516+(S516*Assumptions!$D$51)</f>
        <v>0</v>
      </c>
      <c r="T528" s="5">
        <f t="shared" si="143"/>
        <v>0</v>
      </c>
      <c r="U528" s="22">
        <f t="shared" si="138"/>
        <v>-13070.905488496002</v>
      </c>
      <c r="V528" s="5">
        <f>MAX(Assumptions!$E$18:$E$19)-U528</f>
        <v>15912.538500294699</v>
      </c>
      <c r="W528" s="5">
        <f t="shared" si="139"/>
        <v>0</v>
      </c>
      <c r="X528" s="5">
        <f t="shared" si="144"/>
        <v>-13070.905488496002</v>
      </c>
      <c r="Y528" s="5">
        <f>D528*Assumptions!$D$44*-1</f>
        <v>0</v>
      </c>
      <c r="Z528" s="5">
        <f t="shared" si="140"/>
        <v>2841.6330117986963</v>
      </c>
      <c r="AA528" s="5">
        <f t="shared" si="150"/>
        <v>4542898.3859930336</v>
      </c>
      <c r="AB528" s="3">
        <f>Assumptions!$E$45</f>
        <v>6.9899151946608562E-3</v>
      </c>
      <c r="AC528" s="5">
        <f t="shared" si="151"/>
        <v>4577494.4934608852</v>
      </c>
      <c r="AD528" s="4">
        <f>AC528*Assumptions!$E$43</f>
        <v>4099.4919172401642</v>
      </c>
      <c r="AE528" s="2">
        <f>AD528*Assumptions!$D$44*-1</f>
        <v>-614.92378758602456</v>
      </c>
      <c r="AF528" s="2">
        <f>AC528*Assumptions!$E$46*-1</f>
        <v>-152.55518335165169</v>
      </c>
      <c r="AG528" s="5">
        <f t="shared" si="152"/>
        <v>4576727.0144899478</v>
      </c>
      <c r="AH528" s="20">
        <f>Model_30y[[#This Row],[Mortgage Payment]]+Model_30y[[#This Row],[Total Upkeep]]+Model_30y[[#This Row],[Monthly Investment]]</f>
        <v>-10229.272476697306</v>
      </c>
      <c r="AI528" s="5">
        <f>Model_Renter!D528*-1</f>
        <v>13364.960837567281</v>
      </c>
      <c r="AJ528" s="5">
        <f t="shared" si="145"/>
        <v>3135.6883608699754</v>
      </c>
    </row>
    <row r="529" spans="1:36" x14ac:dyDescent="0.25">
      <c r="A529" s="17">
        <f t="shared" si="146"/>
        <v>527</v>
      </c>
      <c r="B529" s="17">
        <f t="shared" si="141"/>
        <v>44</v>
      </c>
      <c r="C529" s="23">
        <f>IFERROR(PPMT(Assumptions!$E$17, A529, 180, Assumptions!$D$8), 0)</f>
        <v>0</v>
      </c>
      <c r="D529" s="38">
        <f>IFERROR(IPMT(Assumptions!$E$17,A529,180,Assumptions!$D$8), 0)</f>
        <v>0</v>
      </c>
      <c r="E529" s="2">
        <f t="shared" si="147"/>
        <v>0</v>
      </c>
      <c r="F529" s="2">
        <f>IF(I528&gt;1, Assumptions!$E$19, 0)*-1</f>
        <v>0</v>
      </c>
      <c r="G529" s="24">
        <f t="shared" si="142"/>
        <v>1</v>
      </c>
      <c r="H529" s="20">
        <f t="shared" si="148"/>
        <v>339999.99999999988</v>
      </c>
      <c r="I529" s="2">
        <f>MAX(Assumptions!$D$8-SUM(Model_15y!H529), 0)</f>
        <v>1.1641532182693481E-10</v>
      </c>
      <c r="J529" s="2">
        <f>J528*(1+(Assumptions!$E$51))</f>
        <v>3622032.2610150622</v>
      </c>
      <c r="K529" s="22">
        <f t="shared" si="137"/>
        <v>3622032.2610150622</v>
      </c>
      <c r="L529" s="5">
        <f t="shared" si="149"/>
        <v>425000</v>
      </c>
      <c r="M529" s="63">
        <f>L529/Assumptions!$D$6</f>
        <v>1</v>
      </c>
      <c r="N529" s="24">
        <f t="shared" si="136"/>
        <v>0</v>
      </c>
      <c r="O529" s="22">
        <f>N529*Assumptions!$E$25*-1</f>
        <v>0</v>
      </c>
      <c r="P529" s="5">
        <f>Assumptions!$E$35*J529*-1</f>
        <v>-7460.7934217793345</v>
      </c>
      <c r="Q529" s="5">
        <f>J529*Assumptions!$E$36*-1</f>
        <v>-3004.6138119034013</v>
      </c>
      <c r="R529" s="5">
        <f>R517+R517*Assumptions!$D$51</f>
        <v>-2647.9626142727479</v>
      </c>
      <c r="S529" s="5">
        <f>S517+(S517*Assumptions!$D$51)</f>
        <v>0</v>
      </c>
      <c r="T529" s="5">
        <f t="shared" si="143"/>
        <v>0</v>
      </c>
      <c r="U529" s="22">
        <f t="shared" si="138"/>
        <v>-13113.369847955484</v>
      </c>
      <c r="V529" s="5">
        <f>MAX(Assumptions!$E$18:$E$19)-U529</f>
        <v>15955.00285975418</v>
      </c>
      <c r="W529" s="5">
        <f t="shared" si="139"/>
        <v>0</v>
      </c>
      <c r="X529" s="5">
        <f t="shared" si="144"/>
        <v>-13113.369847955484</v>
      </c>
      <c r="Y529" s="5">
        <f>D529*Assumptions!$D$44*-1</f>
        <v>0</v>
      </c>
      <c r="Z529" s="5">
        <f t="shared" si="140"/>
        <v>2841.6330117986963</v>
      </c>
      <c r="AA529" s="5">
        <f t="shared" si="150"/>
        <v>4576727.0144899478</v>
      </c>
      <c r="AB529" s="3">
        <f>Assumptions!$E$45</f>
        <v>6.9899151946608562E-3</v>
      </c>
      <c r="AC529" s="5">
        <f t="shared" si="151"/>
        <v>4611559.5812021447</v>
      </c>
      <c r="AD529" s="4">
        <f>AC529*Assumptions!$E$43</f>
        <v>4129.999775208069</v>
      </c>
      <c r="AE529" s="2">
        <f>AD529*Assumptions!$D$44*-1</f>
        <v>-619.49996628121028</v>
      </c>
      <c r="AF529" s="2">
        <f>AC529*Assumptions!$E$46*-1</f>
        <v>-153.69047815401174</v>
      </c>
      <c r="AG529" s="5">
        <f t="shared" si="152"/>
        <v>4610786.3907577097</v>
      </c>
      <c r="AH529" s="20">
        <f>Model_30y[[#This Row],[Mortgage Payment]]+Model_30y[[#This Row],[Total Upkeep]]+Model_30y[[#This Row],[Monthly Investment]]</f>
        <v>-10271.736836156788</v>
      </c>
      <c r="AI529" s="5">
        <f>Model_Renter!D529*-1</f>
        <v>13364.960837567281</v>
      </c>
      <c r="AJ529" s="5">
        <f t="shared" si="145"/>
        <v>3093.2240014104937</v>
      </c>
    </row>
    <row r="530" spans="1:36" x14ac:dyDescent="0.25">
      <c r="A530" s="17">
        <f t="shared" si="146"/>
        <v>528</v>
      </c>
      <c r="B530" s="17">
        <f t="shared" si="141"/>
        <v>44</v>
      </c>
      <c r="C530" s="23">
        <f>IFERROR(PPMT(Assumptions!$E$17, A530, 180, Assumptions!$D$8), 0)</f>
        <v>0</v>
      </c>
      <c r="D530" s="38">
        <f>IFERROR(IPMT(Assumptions!$E$17,A530,180,Assumptions!$D$8), 0)</f>
        <v>0</v>
      </c>
      <c r="E530" s="2">
        <f t="shared" si="147"/>
        <v>0</v>
      </c>
      <c r="F530" s="2">
        <f>IF(I529&gt;1, Assumptions!$E$19, 0)*-1</f>
        <v>0</v>
      </c>
      <c r="G530" s="24">
        <f t="shared" si="142"/>
        <v>1</v>
      </c>
      <c r="H530" s="20">
        <f t="shared" si="148"/>
        <v>339999.99999999988</v>
      </c>
      <c r="I530" s="2">
        <f>MAX(Assumptions!$D$8-SUM(Model_15y!H530), 0)</f>
        <v>1.1641532182693481E-10</v>
      </c>
      <c r="J530" s="2">
        <f>J529*(1+(Assumptions!$E$51))</f>
        <v>3636788.8687948054</v>
      </c>
      <c r="K530" s="22">
        <f t="shared" si="137"/>
        <v>3636788.8687948054</v>
      </c>
      <c r="L530" s="5">
        <f t="shared" si="149"/>
        <v>425000</v>
      </c>
      <c r="M530" s="63">
        <f>L530/Assumptions!$D$6</f>
        <v>1</v>
      </c>
      <c r="N530" s="24">
        <f t="shared" ref="N530:N542" si="153">IF(M530&lt;0.2, 1, 0)</f>
        <v>0</v>
      </c>
      <c r="O530" s="22">
        <f>N530*Assumptions!$E$25*-1</f>
        <v>0</v>
      </c>
      <c r="P530" s="5">
        <f>Assumptions!$E$35*J530*-1</f>
        <v>-7491.1896177038925</v>
      </c>
      <c r="Q530" s="5">
        <f>J530*Assumptions!$E$36*-1</f>
        <v>-3016.8549804951554</v>
      </c>
      <c r="R530" s="5">
        <f>R518+R518*Assumptions!$D$51</f>
        <v>-2647.9626142727479</v>
      </c>
      <c r="S530" s="5">
        <f>S518+(S518*Assumptions!$D$51)</f>
        <v>0</v>
      </c>
      <c r="T530" s="5">
        <f t="shared" si="143"/>
        <v>0</v>
      </c>
      <c r="U530" s="22">
        <f t="shared" si="138"/>
        <v>-13156.007212471797</v>
      </c>
      <c r="V530" s="5">
        <f>MAX(Assumptions!$E$18:$E$19)-U530</f>
        <v>15997.640224270493</v>
      </c>
      <c r="W530" s="5">
        <f t="shared" si="139"/>
        <v>0</v>
      </c>
      <c r="X530" s="5">
        <f t="shared" si="144"/>
        <v>-13156.007212471797</v>
      </c>
      <c r="Y530" s="5">
        <f>D530*Assumptions!$D$44*-1</f>
        <v>0</v>
      </c>
      <c r="Z530" s="5">
        <f t="shared" si="140"/>
        <v>2841.6330117986963</v>
      </c>
      <c r="AA530" s="5">
        <f t="shared" si="150"/>
        <v>4610786.3907577097</v>
      </c>
      <c r="AB530" s="3">
        <f>Assumptions!$E$45</f>
        <v>6.9899151946608562E-3</v>
      </c>
      <c r="AC530" s="5">
        <f t="shared" si="151"/>
        <v>4645857.0296216011</v>
      </c>
      <c r="AD530" s="4">
        <f>AC530*Assumptions!$E$43</f>
        <v>4160.7157297064041</v>
      </c>
      <c r="AE530" s="2">
        <f>AD530*Assumptions!$D$44*-1</f>
        <v>-624.10735945596059</v>
      </c>
      <c r="AF530" s="2">
        <f>AC530*Assumptions!$E$46*-1</f>
        <v>-154.83351689269259</v>
      </c>
      <c r="AG530" s="5">
        <f t="shared" si="152"/>
        <v>4645078.0887452522</v>
      </c>
      <c r="AH530" s="20">
        <f>Model_30y[[#This Row],[Mortgage Payment]]+Model_30y[[#This Row],[Total Upkeep]]+Model_30y[[#This Row],[Monthly Investment]]</f>
        <v>-10314.374200673101</v>
      </c>
      <c r="AI530" s="5">
        <f>Model_Renter!D530*-1</f>
        <v>13364.960837567281</v>
      </c>
      <c r="AJ530" s="5">
        <f t="shared" si="145"/>
        <v>3050.5866368941806</v>
      </c>
    </row>
    <row r="531" spans="1:36" x14ac:dyDescent="0.25">
      <c r="A531" s="17">
        <f t="shared" si="146"/>
        <v>529</v>
      </c>
      <c r="B531" s="17">
        <f t="shared" si="141"/>
        <v>45</v>
      </c>
      <c r="C531" s="23">
        <f>IFERROR(PPMT(Assumptions!$E$17, A531, 180, Assumptions!$D$8), 0)</f>
        <v>0</v>
      </c>
      <c r="D531" s="38">
        <f>IFERROR(IPMT(Assumptions!$E$17,A531,180,Assumptions!$D$8), 0)</f>
        <v>0</v>
      </c>
      <c r="E531" s="2">
        <f t="shared" si="147"/>
        <v>0</v>
      </c>
      <c r="F531" s="2">
        <f>IF(I530&gt;1, Assumptions!$E$19, 0)*-1</f>
        <v>0</v>
      </c>
      <c r="G531" s="24">
        <f t="shared" si="142"/>
        <v>1</v>
      </c>
      <c r="H531" s="20">
        <f t="shared" si="148"/>
        <v>339999.99999999988</v>
      </c>
      <c r="I531" s="2">
        <f>MAX(Assumptions!$D$8-SUM(Model_15y!H531), 0)</f>
        <v>1.1641532182693481E-10</v>
      </c>
      <c r="J531" s="2">
        <f>J530*(1+(Assumptions!$E$51))</f>
        <v>3651605.59682127</v>
      </c>
      <c r="K531" s="22">
        <f t="shared" si="137"/>
        <v>3651605.59682127</v>
      </c>
      <c r="L531" s="5">
        <f t="shared" si="149"/>
        <v>425000</v>
      </c>
      <c r="M531" s="63">
        <f>L531/Assumptions!$D$6</f>
        <v>1</v>
      </c>
      <c r="N531" s="24">
        <f t="shared" si="153"/>
        <v>0</v>
      </c>
      <c r="O531" s="22">
        <f>N531*Assumptions!$E$25*-1</f>
        <v>0</v>
      </c>
      <c r="P531" s="5">
        <f>Assumptions!$E$35*J531*-1</f>
        <v>-7521.7096514932</v>
      </c>
      <c r="Q531" s="5">
        <f>J531*Assumptions!$E$36*-1</f>
        <v>-3029.1460211230087</v>
      </c>
      <c r="R531" s="5">
        <f>R519+R519*Assumptions!$D$51</f>
        <v>-2780.3607449863853</v>
      </c>
      <c r="S531" s="5">
        <f>S519+(S519*Assumptions!$D$51)</f>
        <v>0</v>
      </c>
      <c r="T531" s="5">
        <f t="shared" si="143"/>
        <v>0</v>
      </c>
      <c r="U531" s="22">
        <f t="shared" si="138"/>
        <v>-13331.216417602594</v>
      </c>
      <c r="V531" s="5">
        <f>MAX(Assumptions!$E$18:$E$19)-U531</f>
        <v>16172.849429401291</v>
      </c>
      <c r="W531" s="5">
        <f t="shared" si="139"/>
        <v>0</v>
      </c>
      <c r="X531" s="5">
        <f t="shared" si="144"/>
        <v>-13331.216417602594</v>
      </c>
      <c r="Y531" s="5">
        <f>D531*Assumptions!$D$44*-1</f>
        <v>0</v>
      </c>
      <c r="Z531" s="5">
        <f t="shared" si="140"/>
        <v>2841.6330117986963</v>
      </c>
      <c r="AA531" s="5">
        <f t="shared" si="150"/>
        <v>4645078.0887452522</v>
      </c>
      <c r="AB531" s="3">
        <f>Assumptions!$E$45</f>
        <v>6.9899151946608562E-3</v>
      </c>
      <c r="AC531" s="5">
        <f t="shared" si="151"/>
        <v>4680388.4236699576</v>
      </c>
      <c r="AD531" s="4">
        <f>AC531*Assumptions!$E$43</f>
        <v>4191.6412001781864</v>
      </c>
      <c r="AE531" s="2">
        <f>AD531*Assumptions!$D$44*-1</f>
        <v>-628.74618002672798</v>
      </c>
      <c r="AF531" s="2">
        <f>AC531*Assumptions!$E$46*-1</f>
        <v>-155.98435238970094</v>
      </c>
      <c r="AG531" s="5">
        <f t="shared" si="152"/>
        <v>4679603.6931375414</v>
      </c>
      <c r="AH531" s="20">
        <f>Model_30y[[#This Row],[Mortgage Payment]]+Model_30y[[#This Row],[Total Upkeep]]+Model_30y[[#This Row],[Monthly Investment]]</f>
        <v>-10489.583405803898</v>
      </c>
      <c r="AI531" s="5">
        <f>Model_Renter!D531*-1</f>
        <v>13864.8103728923</v>
      </c>
      <c r="AJ531" s="5">
        <f t="shared" si="145"/>
        <v>3375.2269670884016</v>
      </c>
    </row>
    <row r="532" spans="1:36" x14ac:dyDescent="0.25">
      <c r="A532" s="17">
        <f t="shared" si="146"/>
        <v>530</v>
      </c>
      <c r="B532" s="17">
        <f t="shared" si="141"/>
        <v>45</v>
      </c>
      <c r="C532" s="23">
        <f>IFERROR(PPMT(Assumptions!$E$17, A532, 180, Assumptions!$D$8), 0)</f>
        <v>0</v>
      </c>
      <c r="D532" s="38">
        <f>IFERROR(IPMT(Assumptions!$E$17,A532,180,Assumptions!$D$8), 0)</f>
        <v>0</v>
      </c>
      <c r="E532" s="2">
        <f t="shared" si="147"/>
        <v>0</v>
      </c>
      <c r="F532" s="2">
        <f>IF(I531&gt;1, Assumptions!$E$19, 0)*-1</f>
        <v>0</v>
      </c>
      <c r="G532" s="24">
        <f t="shared" si="142"/>
        <v>1</v>
      </c>
      <c r="H532" s="20">
        <f t="shared" si="148"/>
        <v>339999.99999999988</v>
      </c>
      <c r="I532" s="2">
        <f>MAX(Assumptions!$D$8-SUM(Model_15y!H532), 0)</f>
        <v>1.1641532182693481E-10</v>
      </c>
      <c r="J532" s="2">
        <f>J531*(1+(Assumptions!$E$51))</f>
        <v>3666482.6900317827</v>
      </c>
      <c r="K532" s="22">
        <f t="shared" si="137"/>
        <v>3666482.6900317827</v>
      </c>
      <c r="L532" s="5">
        <f t="shared" si="149"/>
        <v>425000</v>
      </c>
      <c r="M532" s="63">
        <f>L532/Assumptions!$D$6</f>
        <v>1</v>
      </c>
      <c r="N532" s="24">
        <f t="shared" si="153"/>
        <v>0</v>
      </c>
      <c r="O532" s="22">
        <f>N532*Assumptions!$E$25*-1</f>
        <v>0</v>
      </c>
      <c r="P532" s="5">
        <f>Assumptions!$E$35*J532*-1</f>
        <v>-7552.3540276780459</v>
      </c>
      <c r="Q532" s="5">
        <f>J532*Assumptions!$E$36*-1</f>
        <v>-3041.4871369718094</v>
      </c>
      <c r="R532" s="5">
        <f>R520+R520*Assumptions!$D$51</f>
        <v>-2780.3607449863853</v>
      </c>
      <c r="S532" s="5">
        <f>S520+(S520*Assumptions!$D$51)</f>
        <v>0</v>
      </c>
      <c r="T532" s="5">
        <f t="shared" si="143"/>
        <v>0</v>
      </c>
      <c r="U532" s="22">
        <f t="shared" si="138"/>
        <v>-13374.20190963624</v>
      </c>
      <c r="V532" s="5">
        <f>MAX(Assumptions!$E$18:$E$19)-U532</f>
        <v>16215.834921434936</v>
      </c>
      <c r="W532" s="5">
        <f t="shared" si="139"/>
        <v>0</v>
      </c>
      <c r="X532" s="5">
        <f t="shared" si="144"/>
        <v>-13374.20190963624</v>
      </c>
      <c r="Y532" s="5">
        <f>D532*Assumptions!$D$44*-1</f>
        <v>0</v>
      </c>
      <c r="Z532" s="5">
        <f t="shared" si="140"/>
        <v>2841.6330117986963</v>
      </c>
      <c r="AA532" s="5">
        <f t="shared" si="150"/>
        <v>4679603.6931375414</v>
      </c>
      <c r="AB532" s="3">
        <f>Assumptions!$E$45</f>
        <v>6.9899151946608562E-3</v>
      </c>
      <c r="AC532" s="5">
        <f t="shared" si="151"/>
        <v>4715155.3591089929</v>
      </c>
      <c r="AD532" s="4">
        <f>AC532*Assumptions!$E$43</f>
        <v>4222.7776157485687</v>
      </c>
      <c r="AE532" s="2">
        <f>AD532*Assumptions!$D$44*-1</f>
        <v>-633.4166423622853</v>
      </c>
      <c r="AF532" s="2">
        <f>AC532*Assumptions!$E$46*-1</f>
        <v>-157.14303782734677</v>
      </c>
      <c r="AG532" s="5">
        <f t="shared" si="152"/>
        <v>4714364.7994288029</v>
      </c>
      <c r="AH532" s="20">
        <f>Model_30y[[#This Row],[Mortgage Payment]]+Model_30y[[#This Row],[Total Upkeep]]+Model_30y[[#This Row],[Monthly Investment]]</f>
        <v>-10532.568897837544</v>
      </c>
      <c r="AI532" s="5">
        <f>Model_Renter!D532*-1</f>
        <v>13864.8103728923</v>
      </c>
      <c r="AJ532" s="5">
        <f t="shared" si="145"/>
        <v>3332.2414750547559</v>
      </c>
    </row>
    <row r="533" spans="1:36" x14ac:dyDescent="0.25">
      <c r="A533" s="17">
        <f t="shared" si="146"/>
        <v>531</v>
      </c>
      <c r="B533" s="17">
        <f t="shared" si="141"/>
        <v>45</v>
      </c>
      <c r="C533" s="23">
        <f>IFERROR(PPMT(Assumptions!$E$17, A533, 180, Assumptions!$D$8), 0)</f>
        <v>0</v>
      </c>
      <c r="D533" s="38">
        <f>IFERROR(IPMT(Assumptions!$E$17,A533,180,Assumptions!$D$8), 0)</f>
        <v>0</v>
      </c>
      <c r="E533" s="2">
        <f t="shared" si="147"/>
        <v>0</v>
      </c>
      <c r="F533" s="2">
        <f>IF(I532&gt;1, Assumptions!$E$19, 0)*-1</f>
        <v>0</v>
      </c>
      <c r="G533" s="24">
        <f t="shared" si="142"/>
        <v>1</v>
      </c>
      <c r="H533" s="20">
        <f t="shared" si="148"/>
        <v>339999.99999999988</v>
      </c>
      <c r="I533" s="2">
        <f>MAX(Assumptions!$D$8-SUM(Model_15y!H533), 0)</f>
        <v>1.1641532182693481E-10</v>
      </c>
      <c r="J533" s="2">
        <f>J532*(1+(Assumptions!$E$51))</f>
        <v>3681420.3943615761</v>
      </c>
      <c r="K533" s="22">
        <f t="shared" si="137"/>
        <v>3681420.3943615761</v>
      </c>
      <c r="L533" s="5">
        <f t="shared" si="149"/>
        <v>425000</v>
      </c>
      <c r="M533" s="63">
        <f>L533/Assumptions!$D$6</f>
        <v>1</v>
      </c>
      <c r="N533" s="24">
        <f t="shared" si="153"/>
        <v>0</v>
      </c>
      <c r="O533" s="22">
        <f>N533*Assumptions!$E$25*-1</f>
        <v>0</v>
      </c>
      <c r="P533" s="5">
        <f>Assumptions!$E$35*J533*-1</f>
        <v>-7583.1232528447408</v>
      </c>
      <c r="Q533" s="5">
        <f>J533*Assumptions!$E$36*-1</f>
        <v>-3053.8785320542065</v>
      </c>
      <c r="R533" s="5">
        <f>R521+R521*Assumptions!$D$51</f>
        <v>-2780.3607449863853</v>
      </c>
      <c r="S533" s="5">
        <f>S521+(S521*Assumptions!$D$51)</f>
        <v>0</v>
      </c>
      <c r="T533" s="5">
        <f t="shared" si="143"/>
        <v>0</v>
      </c>
      <c r="U533" s="22">
        <f t="shared" si="138"/>
        <v>-13417.362529885333</v>
      </c>
      <c r="V533" s="5">
        <f>MAX(Assumptions!$E$18:$E$19)-U533</f>
        <v>16258.995541684029</v>
      </c>
      <c r="W533" s="5">
        <f t="shared" si="139"/>
        <v>0</v>
      </c>
      <c r="X533" s="5">
        <f t="shared" si="144"/>
        <v>-13417.362529885333</v>
      </c>
      <c r="Y533" s="5">
        <f>D533*Assumptions!$D$44*-1</f>
        <v>0</v>
      </c>
      <c r="Z533" s="5">
        <f t="shared" si="140"/>
        <v>2841.6330117986963</v>
      </c>
      <c r="AA533" s="5">
        <f t="shared" si="150"/>
        <v>4714364.7994288029</v>
      </c>
      <c r="AB533" s="3">
        <f>Assumptions!$E$45</f>
        <v>6.9899151946608562E-3</v>
      </c>
      <c r="AC533" s="5">
        <f t="shared" si="151"/>
        <v>4750159.4425853025</v>
      </c>
      <c r="AD533" s="4">
        <f>AC533*Assumptions!$E$43</f>
        <v>4254.1264152908789</v>
      </c>
      <c r="AE533" s="2">
        <f>AD533*Assumptions!$D$44*-1</f>
        <v>-638.11896229363185</v>
      </c>
      <c r="AF533" s="2">
        <f>AC533*Assumptions!$E$46*-1</f>
        <v>-158.30962675070069</v>
      </c>
      <c r="AG533" s="5">
        <f t="shared" si="152"/>
        <v>4749363.0139962584</v>
      </c>
      <c r="AH533" s="20">
        <f>Model_30y[[#This Row],[Mortgage Payment]]+Model_30y[[#This Row],[Total Upkeep]]+Model_30y[[#This Row],[Monthly Investment]]</f>
        <v>-10575.729518086637</v>
      </c>
      <c r="AI533" s="5">
        <f>Model_Renter!D533*-1</f>
        <v>13864.8103728923</v>
      </c>
      <c r="AJ533" s="5">
        <f t="shared" si="145"/>
        <v>3289.080854805663</v>
      </c>
    </row>
    <row r="534" spans="1:36" x14ac:dyDescent="0.25">
      <c r="A534" s="17">
        <f t="shared" si="146"/>
        <v>532</v>
      </c>
      <c r="B534" s="17">
        <f t="shared" si="141"/>
        <v>45</v>
      </c>
      <c r="C534" s="23">
        <f>IFERROR(PPMT(Assumptions!$E$17, A534, 180, Assumptions!$D$8), 0)</f>
        <v>0</v>
      </c>
      <c r="D534" s="38">
        <f>IFERROR(IPMT(Assumptions!$E$17,A534,180,Assumptions!$D$8), 0)</f>
        <v>0</v>
      </c>
      <c r="E534" s="2">
        <f t="shared" si="147"/>
        <v>0</v>
      </c>
      <c r="F534" s="2">
        <f>IF(I533&gt;1, Assumptions!$E$19, 0)*-1</f>
        <v>0</v>
      </c>
      <c r="G534" s="24">
        <f t="shared" si="142"/>
        <v>1</v>
      </c>
      <c r="H534" s="20">
        <f t="shared" si="148"/>
        <v>339999.99999999988</v>
      </c>
      <c r="I534" s="2">
        <f>MAX(Assumptions!$D$8-SUM(Model_15y!H534), 0)</f>
        <v>1.1641532182693481E-10</v>
      </c>
      <c r="J534" s="2">
        <f>J533*(1+(Assumptions!$E$51))</f>
        <v>3696418.9567478527</v>
      </c>
      <c r="K534" s="22">
        <f t="shared" si="137"/>
        <v>3696418.9567478527</v>
      </c>
      <c r="L534" s="5">
        <f t="shared" si="149"/>
        <v>425000</v>
      </c>
      <c r="M534" s="63">
        <f>L534/Assumptions!$D$6</f>
        <v>1</v>
      </c>
      <c r="N534" s="24">
        <f t="shared" si="153"/>
        <v>0</v>
      </c>
      <c r="O534" s="22">
        <f>N534*Assumptions!$E$25*-1</f>
        <v>0</v>
      </c>
      <c r="P534" s="5">
        <f>Assumptions!$E$35*J534*-1</f>
        <v>-7614.0178356434926</v>
      </c>
      <c r="Q534" s="5">
        <f>J534*Assumptions!$E$36*-1</f>
        <v>-3066.320411214022</v>
      </c>
      <c r="R534" s="5">
        <f>R522+R522*Assumptions!$D$51</f>
        <v>-2780.3607449863853</v>
      </c>
      <c r="S534" s="5">
        <f>S522+(S522*Assumptions!$D$51)</f>
        <v>0</v>
      </c>
      <c r="T534" s="5">
        <f t="shared" si="143"/>
        <v>0</v>
      </c>
      <c r="U534" s="22">
        <f t="shared" si="138"/>
        <v>-13460.698991843899</v>
      </c>
      <c r="V534" s="5">
        <f>MAX(Assumptions!$E$18:$E$19)-U534</f>
        <v>16302.332003642596</v>
      </c>
      <c r="W534" s="5">
        <f t="shared" si="139"/>
        <v>0</v>
      </c>
      <c r="X534" s="5">
        <f t="shared" si="144"/>
        <v>-13460.698991843899</v>
      </c>
      <c r="Y534" s="5">
        <f>D534*Assumptions!$D$44*-1</f>
        <v>0</v>
      </c>
      <c r="Z534" s="5">
        <f t="shared" si="140"/>
        <v>2841.6330117986963</v>
      </c>
      <c r="AA534" s="5">
        <f t="shared" si="150"/>
        <v>4749363.0139962584</v>
      </c>
      <c r="AB534" s="3">
        <f>Assumptions!$E$45</f>
        <v>6.9899151946608562E-3</v>
      </c>
      <c r="AC534" s="5">
        <f t="shared" si="151"/>
        <v>4785402.2917045495</v>
      </c>
      <c r="AD534" s="4">
        <f>AC534*Assumptions!$E$43</f>
        <v>4285.6890474931151</v>
      </c>
      <c r="AE534" s="2">
        <f>AD534*Assumptions!$D$44*-1</f>
        <v>-642.85335712396727</v>
      </c>
      <c r="AF534" s="2">
        <f>AC534*Assumptions!$E$46*-1</f>
        <v>-159.48417307006858</v>
      </c>
      <c r="AG534" s="5">
        <f t="shared" si="152"/>
        <v>4784599.9541743556</v>
      </c>
      <c r="AH534" s="20">
        <f>Model_30y[[#This Row],[Mortgage Payment]]+Model_30y[[#This Row],[Total Upkeep]]+Model_30y[[#This Row],[Monthly Investment]]</f>
        <v>-10619.065980045203</v>
      </c>
      <c r="AI534" s="5">
        <f>Model_Renter!D534*-1</f>
        <v>13864.8103728923</v>
      </c>
      <c r="AJ534" s="5">
        <f t="shared" si="145"/>
        <v>3245.7443928470966</v>
      </c>
    </row>
    <row r="535" spans="1:36" x14ac:dyDescent="0.25">
      <c r="A535" s="17">
        <f t="shared" si="146"/>
        <v>533</v>
      </c>
      <c r="B535" s="17">
        <f t="shared" si="141"/>
        <v>45</v>
      </c>
      <c r="C535" s="23">
        <f>IFERROR(PPMT(Assumptions!$E$17, A535, 180, Assumptions!$D$8), 0)</f>
        <v>0</v>
      </c>
      <c r="D535" s="38">
        <f>IFERROR(IPMT(Assumptions!$E$17,A535,180,Assumptions!$D$8), 0)</f>
        <v>0</v>
      </c>
      <c r="E535" s="2">
        <f t="shared" si="147"/>
        <v>0</v>
      </c>
      <c r="F535" s="2">
        <f>IF(I534&gt;1, Assumptions!$E$19, 0)*-1</f>
        <v>0</v>
      </c>
      <c r="G535" s="24">
        <f t="shared" si="142"/>
        <v>1</v>
      </c>
      <c r="H535" s="20">
        <f t="shared" si="148"/>
        <v>339999.99999999988</v>
      </c>
      <c r="I535" s="2">
        <f>MAX(Assumptions!$D$8-SUM(Model_15y!H535), 0)</f>
        <v>1.1641532182693481E-10</v>
      </c>
      <c r="J535" s="2">
        <f>J534*(1+(Assumptions!$E$51))</f>
        <v>3711478.6251338678</v>
      </c>
      <c r="K535" s="22">
        <f t="shared" si="137"/>
        <v>3711478.6251338678</v>
      </c>
      <c r="L535" s="5">
        <f t="shared" si="149"/>
        <v>425000</v>
      </c>
      <c r="M535" s="63">
        <f>L535/Assumptions!$D$6</f>
        <v>1</v>
      </c>
      <c r="N535" s="24">
        <f t="shared" si="153"/>
        <v>0</v>
      </c>
      <c r="O535" s="22">
        <f>N535*Assumptions!$E$25*-1</f>
        <v>0</v>
      </c>
      <c r="P535" s="5">
        <f>Assumptions!$E$35*J535*-1</f>
        <v>-7645.0382867968101</v>
      </c>
      <c r="Q535" s="5">
        <f>J535*Assumptions!$E$36*-1</f>
        <v>-3078.8129801296354</v>
      </c>
      <c r="R535" s="5">
        <f>R523+R523*Assumptions!$D$51</f>
        <v>-2780.3607449863853</v>
      </c>
      <c r="S535" s="5">
        <f>S523+(S523*Assumptions!$D$51)</f>
        <v>0</v>
      </c>
      <c r="T535" s="5">
        <f t="shared" si="143"/>
        <v>0</v>
      </c>
      <c r="U535" s="22">
        <f t="shared" si="138"/>
        <v>-13504.21201191283</v>
      </c>
      <c r="V535" s="5">
        <f>MAX(Assumptions!$E$18:$E$19)-U535</f>
        <v>16345.845023711527</v>
      </c>
      <c r="W535" s="5">
        <f t="shared" si="139"/>
        <v>0</v>
      </c>
      <c r="X535" s="5">
        <f t="shared" si="144"/>
        <v>-13504.21201191283</v>
      </c>
      <c r="Y535" s="5">
        <f>D535*Assumptions!$D$44*-1</f>
        <v>0</v>
      </c>
      <c r="Z535" s="5">
        <f t="shared" si="140"/>
        <v>2841.6330117986963</v>
      </c>
      <c r="AA535" s="5">
        <f t="shared" si="150"/>
        <v>4784599.9541743556</v>
      </c>
      <c r="AB535" s="3">
        <f>Assumptions!$E$45</f>
        <v>6.9899151946608562E-3</v>
      </c>
      <c r="AC535" s="5">
        <f t="shared" si="151"/>
        <v>4820885.535106211</v>
      </c>
      <c r="AD535" s="4">
        <f>AC535*Assumptions!$E$43</f>
        <v>4317.466970924891</v>
      </c>
      <c r="AE535" s="2">
        <f>AD535*Assumptions!$D$44*-1</f>
        <v>-647.62004563873359</v>
      </c>
      <c r="AF535" s="2">
        <f>AC535*Assumptions!$E$46*-1</f>
        <v>-160.66673106348279</v>
      </c>
      <c r="AG535" s="5">
        <f t="shared" si="152"/>
        <v>4820077.248329509</v>
      </c>
      <c r="AH535" s="20">
        <f>Model_30y[[#This Row],[Mortgage Payment]]+Model_30y[[#This Row],[Total Upkeep]]+Model_30y[[#This Row],[Monthly Investment]]</f>
        <v>-10662.579000114134</v>
      </c>
      <c r="AI535" s="5">
        <f>Model_Renter!D535*-1</f>
        <v>13864.8103728923</v>
      </c>
      <c r="AJ535" s="5">
        <f t="shared" si="145"/>
        <v>3202.2313727781657</v>
      </c>
    </row>
    <row r="536" spans="1:36" x14ac:dyDescent="0.25">
      <c r="A536" s="17">
        <f t="shared" si="146"/>
        <v>534</v>
      </c>
      <c r="B536" s="17">
        <f t="shared" si="141"/>
        <v>45</v>
      </c>
      <c r="C536" s="23">
        <f>IFERROR(PPMT(Assumptions!$E$17, A536, 180, Assumptions!$D$8), 0)</f>
        <v>0</v>
      </c>
      <c r="D536" s="38">
        <f>IFERROR(IPMT(Assumptions!$E$17,A536,180,Assumptions!$D$8), 0)</f>
        <v>0</v>
      </c>
      <c r="E536" s="2">
        <f t="shared" si="147"/>
        <v>0</v>
      </c>
      <c r="F536" s="2">
        <f>IF(I535&gt;1, Assumptions!$E$19, 0)*-1</f>
        <v>0</v>
      </c>
      <c r="G536" s="24">
        <f t="shared" si="142"/>
        <v>1</v>
      </c>
      <c r="H536" s="20">
        <f t="shared" si="148"/>
        <v>339999.99999999988</v>
      </c>
      <c r="I536" s="2">
        <f>MAX(Assumptions!$D$8-SUM(Model_15y!H536), 0)</f>
        <v>1.1641532182693481E-10</v>
      </c>
      <c r="J536" s="2">
        <f>J535*(1+(Assumptions!$E$51))</f>
        <v>3726599.6484730281</v>
      </c>
      <c r="K536" s="22">
        <f t="shared" si="137"/>
        <v>3726599.6484730281</v>
      </c>
      <c r="L536" s="5">
        <f t="shared" si="149"/>
        <v>425000</v>
      </c>
      <c r="M536" s="63">
        <f>L536/Assumptions!$D$6</f>
        <v>1</v>
      </c>
      <c r="N536" s="24">
        <f t="shared" si="153"/>
        <v>0</v>
      </c>
      <c r="O536" s="22">
        <f>N536*Assumptions!$E$25*-1</f>
        <v>0</v>
      </c>
      <c r="P536" s="5">
        <f>Assumptions!$E$35*J536*-1</f>
        <v>-7676.1851191079513</v>
      </c>
      <c r="Q536" s="5">
        <f>J536*Assumptions!$E$36*-1</f>
        <v>-3091.3564453173867</v>
      </c>
      <c r="R536" s="5">
        <f>R524+R524*Assumptions!$D$51</f>
        <v>-2780.3607449863853</v>
      </c>
      <c r="S536" s="5">
        <f>S524+(S524*Assumptions!$D$51)</f>
        <v>0</v>
      </c>
      <c r="T536" s="5">
        <f t="shared" si="143"/>
        <v>0</v>
      </c>
      <c r="U536" s="22">
        <f t="shared" si="138"/>
        <v>-13547.902309411722</v>
      </c>
      <c r="V536" s="5">
        <f>MAX(Assumptions!$E$18:$E$19)-U536</f>
        <v>16389.53532121042</v>
      </c>
      <c r="W536" s="5">
        <f t="shared" si="139"/>
        <v>0</v>
      </c>
      <c r="X536" s="5">
        <f t="shared" si="144"/>
        <v>-13547.902309411722</v>
      </c>
      <c r="Y536" s="5">
        <f>D536*Assumptions!$D$44*-1</f>
        <v>0</v>
      </c>
      <c r="Z536" s="5">
        <f t="shared" si="140"/>
        <v>2841.6330117986981</v>
      </c>
      <c r="AA536" s="5">
        <f t="shared" si="150"/>
        <v>4820077.248329509</v>
      </c>
      <c r="AB536" s="3">
        <f>Assumptions!$E$45</f>
        <v>6.9899151946608562E-3</v>
      </c>
      <c r="AC536" s="5">
        <f t="shared" si="151"/>
        <v>4856610.8125388445</v>
      </c>
      <c r="AD536" s="4">
        <f>AC536*Assumptions!$E$43</f>
        <v>4349.4616541048399</v>
      </c>
      <c r="AE536" s="2">
        <f>AD536*Assumptions!$D$44*-1</f>
        <v>-652.41924811572596</v>
      </c>
      <c r="AF536" s="2">
        <f>AC536*Assumptions!$E$46*-1</f>
        <v>-161.85735537921047</v>
      </c>
      <c r="AG536" s="5">
        <f t="shared" si="152"/>
        <v>4855796.5359353498</v>
      </c>
      <c r="AH536" s="20">
        <f>Model_30y[[#This Row],[Mortgage Payment]]+Model_30y[[#This Row],[Total Upkeep]]+Model_30y[[#This Row],[Monthly Investment]]</f>
        <v>-10706.269297613024</v>
      </c>
      <c r="AI536" s="5">
        <f>Model_Renter!D536*-1</f>
        <v>13864.8103728923</v>
      </c>
      <c r="AJ536" s="5">
        <f t="shared" si="145"/>
        <v>3158.5410752792759</v>
      </c>
    </row>
    <row r="537" spans="1:36" x14ac:dyDescent="0.25">
      <c r="A537" s="17">
        <f t="shared" si="146"/>
        <v>535</v>
      </c>
      <c r="B537" s="17">
        <f t="shared" si="141"/>
        <v>45</v>
      </c>
      <c r="C537" s="23">
        <f>IFERROR(PPMT(Assumptions!$E$17, A537, 180, Assumptions!$D$8), 0)</f>
        <v>0</v>
      </c>
      <c r="D537" s="38">
        <f>IFERROR(IPMT(Assumptions!$E$17,A537,180,Assumptions!$D$8), 0)</f>
        <v>0</v>
      </c>
      <c r="E537" s="2">
        <f t="shared" si="147"/>
        <v>0</v>
      </c>
      <c r="F537" s="2">
        <f>IF(I536&gt;1, Assumptions!$E$19, 0)*-1</f>
        <v>0</v>
      </c>
      <c r="G537" s="24">
        <f t="shared" si="142"/>
        <v>1</v>
      </c>
      <c r="H537" s="20">
        <f t="shared" si="148"/>
        <v>339999.99999999988</v>
      </c>
      <c r="I537" s="2">
        <f>MAX(Assumptions!$D$8-SUM(Model_15y!H537), 0)</f>
        <v>1.1641532182693481E-10</v>
      </c>
      <c r="J537" s="2">
        <f>J536*(1+(Assumptions!$E$51))</f>
        <v>3741782.2767330077</v>
      </c>
      <c r="K537" s="22">
        <f t="shared" si="137"/>
        <v>3741782.2767330077</v>
      </c>
      <c r="L537" s="5">
        <f t="shared" si="149"/>
        <v>425000</v>
      </c>
      <c r="M537" s="63">
        <f>L537/Assumptions!$D$6</f>
        <v>1</v>
      </c>
      <c r="N537" s="24">
        <f t="shared" si="153"/>
        <v>0</v>
      </c>
      <c r="O537" s="22">
        <f>N537*Assumptions!$E$25*-1</f>
        <v>0</v>
      </c>
      <c r="P537" s="5">
        <f>Assumptions!$E$35*J537*-1</f>
        <v>-7707.4588474693965</v>
      </c>
      <c r="Q537" s="5">
        <f>J537*Assumptions!$E$36*-1</f>
        <v>-3103.9510141349888</v>
      </c>
      <c r="R537" s="5">
        <f>R525+R525*Assumptions!$D$51</f>
        <v>-2780.3607449863853</v>
      </c>
      <c r="S537" s="5">
        <f>S525+(S525*Assumptions!$D$51)</f>
        <v>0</v>
      </c>
      <c r="T537" s="5">
        <f t="shared" si="143"/>
        <v>0</v>
      </c>
      <c r="U537" s="22">
        <f t="shared" si="138"/>
        <v>-13591.77060659077</v>
      </c>
      <c r="V537" s="5">
        <f>MAX(Assumptions!$E$18:$E$19)-U537</f>
        <v>16433.403618389468</v>
      </c>
      <c r="W537" s="5">
        <f t="shared" si="139"/>
        <v>0</v>
      </c>
      <c r="X537" s="5">
        <f t="shared" si="144"/>
        <v>-13591.77060659077</v>
      </c>
      <c r="Y537" s="5">
        <f>D537*Assumptions!$D$44*-1</f>
        <v>0</v>
      </c>
      <c r="Z537" s="5">
        <f t="shared" si="140"/>
        <v>2841.6330117986981</v>
      </c>
      <c r="AA537" s="5">
        <f t="shared" si="150"/>
        <v>4855796.5359353498</v>
      </c>
      <c r="AB537" s="3">
        <f>Assumptions!$E$45</f>
        <v>6.9899151946608562E-3</v>
      </c>
      <c r="AC537" s="5">
        <f t="shared" si="151"/>
        <v>4892579.7749358639</v>
      </c>
      <c r="AD537" s="4">
        <f>AC537*Assumptions!$E$43</f>
        <v>4381.6745755684797</v>
      </c>
      <c r="AE537" s="2">
        <f>AD537*Assumptions!$D$44*-1</f>
        <v>-657.25118633527188</v>
      </c>
      <c r="AF537" s="2">
        <f>AC537*Assumptions!$E$46*-1</f>
        <v>-163.05610103827891</v>
      </c>
      <c r="AG537" s="5">
        <f t="shared" si="152"/>
        <v>4891759.4676484903</v>
      </c>
      <c r="AH537" s="20">
        <f>Model_30y[[#This Row],[Mortgage Payment]]+Model_30y[[#This Row],[Total Upkeep]]+Model_30y[[#This Row],[Monthly Investment]]</f>
        <v>-10750.137594792071</v>
      </c>
      <c r="AI537" s="5">
        <f>Model_Renter!D537*-1</f>
        <v>13864.8103728923</v>
      </c>
      <c r="AJ537" s="5">
        <f t="shared" si="145"/>
        <v>3114.6727781002282</v>
      </c>
    </row>
    <row r="538" spans="1:36" x14ac:dyDescent="0.25">
      <c r="A538" s="17">
        <f t="shared" si="146"/>
        <v>536</v>
      </c>
      <c r="B538" s="17">
        <f t="shared" si="141"/>
        <v>45</v>
      </c>
      <c r="C538" s="23">
        <f>IFERROR(PPMT(Assumptions!$E$17, A538, 180, Assumptions!$D$8), 0)</f>
        <v>0</v>
      </c>
      <c r="D538" s="38">
        <f>IFERROR(IPMT(Assumptions!$E$17,A538,180,Assumptions!$D$8), 0)</f>
        <v>0</v>
      </c>
      <c r="E538" s="2">
        <f t="shared" si="147"/>
        <v>0</v>
      </c>
      <c r="F538" s="2">
        <f>IF(I537&gt;1, Assumptions!$E$19, 0)*-1</f>
        <v>0</v>
      </c>
      <c r="G538" s="24">
        <f t="shared" si="142"/>
        <v>1</v>
      </c>
      <c r="H538" s="20">
        <f t="shared" si="148"/>
        <v>339999.99999999988</v>
      </c>
      <c r="I538" s="2">
        <f>MAX(Assumptions!$D$8-SUM(Model_15y!H538), 0)</f>
        <v>1.1641532182693481E-10</v>
      </c>
      <c r="J538" s="2">
        <f>J537*(1+(Assumptions!$E$51))</f>
        <v>3757026.7608998795</v>
      </c>
      <c r="K538" s="22">
        <f t="shared" si="137"/>
        <v>3757026.7608998795</v>
      </c>
      <c r="L538" s="5">
        <f t="shared" si="149"/>
        <v>425000</v>
      </c>
      <c r="M538" s="63">
        <f>L538/Assumptions!$D$6</f>
        <v>1</v>
      </c>
      <c r="N538" s="24">
        <f t="shared" si="153"/>
        <v>0</v>
      </c>
      <c r="O538" s="22">
        <f>N538*Assumptions!$E$25*-1</f>
        <v>0</v>
      </c>
      <c r="P538" s="5">
        <f>Assumptions!$E$35*J538*-1</f>
        <v>-7738.8599888713625</v>
      </c>
      <c r="Q538" s="5">
        <f>J538*Assumptions!$E$36*-1</f>
        <v>-3116.5968947849556</v>
      </c>
      <c r="R538" s="5">
        <f>R526+R526*Assumptions!$D$51</f>
        <v>-2780.3607449863853</v>
      </c>
      <c r="S538" s="5">
        <f>S526+(S526*Assumptions!$D$51)</f>
        <v>0</v>
      </c>
      <c r="T538" s="5">
        <f t="shared" si="143"/>
        <v>0</v>
      </c>
      <c r="U538" s="22">
        <f t="shared" si="138"/>
        <v>-13635.817628642702</v>
      </c>
      <c r="V538" s="5">
        <f>MAX(Assumptions!$E$18:$E$19)-U538</f>
        <v>16477.450640441399</v>
      </c>
      <c r="W538" s="5">
        <f t="shared" si="139"/>
        <v>0</v>
      </c>
      <c r="X538" s="5">
        <f t="shared" si="144"/>
        <v>-13635.817628642702</v>
      </c>
      <c r="Y538" s="5">
        <f>D538*Assumptions!$D$44*-1</f>
        <v>0</v>
      </c>
      <c r="Z538" s="5">
        <f t="shared" si="140"/>
        <v>2841.6330117986963</v>
      </c>
      <c r="AA538" s="5">
        <f t="shared" si="150"/>
        <v>4891759.4676484903</v>
      </c>
      <c r="AB538" s="3">
        <f>Assumptions!$E$45</f>
        <v>6.9899151946608562E-3</v>
      </c>
      <c r="AC538" s="5">
        <f t="shared" si="151"/>
        <v>4928794.0844918313</v>
      </c>
      <c r="AD538" s="4">
        <f>AC538*Assumptions!$E$43</f>
        <v>4414.107223936534</v>
      </c>
      <c r="AE538" s="2">
        <f>AD538*Assumptions!$D$44*-1</f>
        <v>-662.11608359048012</v>
      </c>
      <c r="AF538" s="2">
        <f>AC538*Assumptions!$E$46*-1</f>
        <v>-164.26302343701829</v>
      </c>
      <c r="AG538" s="5">
        <f t="shared" si="152"/>
        <v>4927967.7053848039</v>
      </c>
      <c r="AH538" s="20">
        <f>Model_30y[[#This Row],[Mortgage Payment]]+Model_30y[[#This Row],[Total Upkeep]]+Model_30y[[#This Row],[Monthly Investment]]</f>
        <v>-10794.184616844006</v>
      </c>
      <c r="AI538" s="5">
        <f>Model_Renter!D538*-1</f>
        <v>13864.8103728923</v>
      </c>
      <c r="AJ538" s="5">
        <f t="shared" si="145"/>
        <v>3070.6257560482936</v>
      </c>
    </row>
    <row r="539" spans="1:36" x14ac:dyDescent="0.25">
      <c r="A539" s="17">
        <f t="shared" si="146"/>
        <v>537</v>
      </c>
      <c r="B539" s="17">
        <f t="shared" si="141"/>
        <v>45</v>
      </c>
      <c r="C539" s="23">
        <f>IFERROR(PPMT(Assumptions!$E$17, A539, 180, Assumptions!$D$8), 0)</f>
        <v>0</v>
      </c>
      <c r="D539" s="38">
        <f>IFERROR(IPMT(Assumptions!$E$17,A539,180,Assumptions!$D$8), 0)</f>
        <v>0</v>
      </c>
      <c r="E539" s="2">
        <f t="shared" si="147"/>
        <v>0</v>
      </c>
      <c r="F539" s="2">
        <f>IF(I538&gt;1, Assumptions!$E$19, 0)*-1</f>
        <v>0</v>
      </c>
      <c r="G539" s="24">
        <f t="shared" si="142"/>
        <v>1</v>
      </c>
      <c r="H539" s="20">
        <f t="shared" si="148"/>
        <v>339999.99999999988</v>
      </c>
      <c r="I539" s="2">
        <f>MAX(Assumptions!$D$8-SUM(Model_15y!H539), 0)</f>
        <v>1.1641532182693481E-10</v>
      </c>
      <c r="J539" s="2">
        <f>J538*(1+(Assumptions!$E$51))</f>
        <v>3772333.3529822649</v>
      </c>
      <c r="K539" s="22">
        <f t="shared" si="137"/>
        <v>3772333.3529822649</v>
      </c>
      <c r="L539" s="5">
        <f t="shared" si="149"/>
        <v>425000</v>
      </c>
      <c r="M539" s="63">
        <f>L539/Assumptions!$D$6</f>
        <v>1</v>
      </c>
      <c r="N539" s="24">
        <f t="shared" si="153"/>
        <v>0</v>
      </c>
      <c r="O539" s="22">
        <f>N539*Assumptions!$E$25*-1</f>
        <v>0</v>
      </c>
      <c r="P539" s="5">
        <f>Assumptions!$E$35*J539*-1</f>
        <v>-7770.3890624103478</v>
      </c>
      <c r="Q539" s="5">
        <f>J539*Assumptions!$E$36*-1</f>
        <v>-3129.2942963180435</v>
      </c>
      <c r="R539" s="5">
        <f>R527+R527*Assumptions!$D$51</f>
        <v>-2780.3607449863853</v>
      </c>
      <c r="S539" s="5">
        <f>S527+(S527*Assumptions!$D$51)</f>
        <v>0</v>
      </c>
      <c r="T539" s="5">
        <f t="shared" si="143"/>
        <v>0</v>
      </c>
      <c r="U539" s="22">
        <f t="shared" si="138"/>
        <v>-13680.044103714776</v>
      </c>
      <c r="V539" s="5">
        <f>MAX(Assumptions!$E$18:$E$19)-U539</f>
        <v>16521.677115513474</v>
      </c>
      <c r="W539" s="5">
        <f t="shared" si="139"/>
        <v>0</v>
      </c>
      <c r="X539" s="5">
        <f t="shared" si="144"/>
        <v>-13680.044103714776</v>
      </c>
      <c r="Y539" s="5">
        <f>D539*Assumptions!$D$44*-1</f>
        <v>0</v>
      </c>
      <c r="Z539" s="5">
        <f t="shared" si="140"/>
        <v>2841.6330117986981</v>
      </c>
      <c r="AA539" s="5">
        <f t="shared" si="150"/>
        <v>4927967.7053848039</v>
      </c>
      <c r="AB539" s="3">
        <f>Assumptions!$E$45</f>
        <v>6.9899151946608562E-3</v>
      </c>
      <c r="AC539" s="5">
        <f t="shared" si="151"/>
        <v>4965255.4147392698</v>
      </c>
      <c r="AD539" s="4">
        <f>AC539*Assumptions!$E$43</f>
        <v>4446.7610979837282</v>
      </c>
      <c r="AE539" s="2">
        <f>AD539*Assumptions!$D$44*-1</f>
        <v>-667.01416469755918</v>
      </c>
      <c r="AF539" s="2">
        <f>AC539*Assumptions!$E$46*-1</f>
        <v>-165.47817834962149</v>
      </c>
      <c r="AG539" s="5">
        <f t="shared" si="152"/>
        <v>4964422.9223962221</v>
      </c>
      <c r="AH539" s="20">
        <f>Model_30y[[#This Row],[Mortgage Payment]]+Model_30y[[#This Row],[Total Upkeep]]+Model_30y[[#This Row],[Monthly Investment]]</f>
        <v>-10838.411091916078</v>
      </c>
      <c r="AI539" s="5">
        <f>Model_Renter!D539*-1</f>
        <v>13864.8103728923</v>
      </c>
      <c r="AJ539" s="5">
        <f t="shared" si="145"/>
        <v>3026.3992809762221</v>
      </c>
    </row>
    <row r="540" spans="1:36" x14ac:dyDescent="0.25">
      <c r="A540" s="17">
        <f t="shared" si="146"/>
        <v>538</v>
      </c>
      <c r="B540" s="17">
        <f t="shared" si="141"/>
        <v>45</v>
      </c>
      <c r="C540" s="23">
        <f>IFERROR(PPMT(Assumptions!$E$17, A540, 180, Assumptions!$D$8), 0)</f>
        <v>0</v>
      </c>
      <c r="D540" s="38">
        <f>IFERROR(IPMT(Assumptions!$E$17,A540,180,Assumptions!$D$8), 0)</f>
        <v>0</v>
      </c>
      <c r="E540" s="2">
        <f t="shared" si="147"/>
        <v>0</v>
      </c>
      <c r="F540" s="2">
        <f>IF(I539&gt;1, Assumptions!$E$19, 0)*-1</f>
        <v>0</v>
      </c>
      <c r="G540" s="24">
        <f t="shared" si="142"/>
        <v>1</v>
      </c>
      <c r="H540" s="20">
        <f t="shared" si="148"/>
        <v>339999.99999999988</v>
      </c>
      <c r="I540" s="2">
        <f>MAX(Assumptions!$D$8-SUM(Model_15y!H540), 0)</f>
        <v>1.1641532182693481E-10</v>
      </c>
      <c r="J540" s="2">
        <f>J539*(1+(Assumptions!$E$51))</f>
        <v>3787702.3060154999</v>
      </c>
      <c r="K540" s="22">
        <f t="shared" si="137"/>
        <v>3787702.3060154999</v>
      </c>
      <c r="L540" s="5">
        <f t="shared" si="149"/>
        <v>425000</v>
      </c>
      <c r="M540" s="63">
        <f>L540/Assumptions!$D$6</f>
        <v>1</v>
      </c>
      <c r="N540" s="24">
        <f t="shared" si="153"/>
        <v>0</v>
      </c>
      <c r="O540" s="22">
        <f>N540*Assumptions!$E$25*-1</f>
        <v>0</v>
      </c>
      <c r="P540" s="5">
        <f>Assumptions!$E$35*J540*-1</f>
        <v>-7802.0465892977145</v>
      </c>
      <c r="Q540" s="5">
        <f>J540*Assumptions!$E$36*-1</f>
        <v>-3142.0434286367081</v>
      </c>
      <c r="R540" s="5">
        <f>R528+R528*Assumptions!$D$51</f>
        <v>-2780.3607449863853</v>
      </c>
      <c r="S540" s="5">
        <f>S528+(S528*Assumptions!$D$51)</f>
        <v>0</v>
      </c>
      <c r="T540" s="5">
        <f t="shared" si="143"/>
        <v>0</v>
      </c>
      <c r="U540" s="22">
        <f t="shared" si="138"/>
        <v>-13724.450762920807</v>
      </c>
      <c r="V540" s="5">
        <f>MAX(Assumptions!$E$18:$E$19)-U540</f>
        <v>16566.083774719504</v>
      </c>
      <c r="W540" s="5">
        <f t="shared" si="139"/>
        <v>0</v>
      </c>
      <c r="X540" s="5">
        <f t="shared" si="144"/>
        <v>-13724.450762920807</v>
      </c>
      <c r="Y540" s="5">
        <f>D540*Assumptions!$D$44*-1</f>
        <v>0</v>
      </c>
      <c r="Z540" s="5">
        <f t="shared" si="140"/>
        <v>2841.6330117986963</v>
      </c>
      <c r="AA540" s="5">
        <f t="shared" si="150"/>
        <v>4964422.9223962221</v>
      </c>
      <c r="AB540" s="3">
        <f>Assumptions!$E$45</f>
        <v>6.9899151946608562E-3</v>
      </c>
      <c r="AC540" s="5">
        <f t="shared" si="151"/>
        <v>5001965.4506260008</v>
      </c>
      <c r="AD540" s="4">
        <f>AC540*Assumptions!$E$43</f>
        <v>4479.6377067080502</v>
      </c>
      <c r="AE540" s="2">
        <f>AD540*Assumptions!$D$44*-1</f>
        <v>-671.94565600620751</v>
      </c>
      <c r="AF540" s="2">
        <f>AC540*Assumptions!$E$46*-1</f>
        <v>-166.70162193072161</v>
      </c>
      <c r="AG540" s="5">
        <f t="shared" si="152"/>
        <v>5001126.8033480635</v>
      </c>
      <c r="AH540" s="20">
        <f>Model_30y[[#This Row],[Mortgage Payment]]+Model_30y[[#This Row],[Total Upkeep]]+Model_30y[[#This Row],[Monthly Investment]]</f>
        <v>-10882.817751122111</v>
      </c>
      <c r="AI540" s="5">
        <f>Model_Renter!D540*-1</f>
        <v>13864.8103728923</v>
      </c>
      <c r="AJ540" s="5">
        <f t="shared" si="145"/>
        <v>2981.9926217701886</v>
      </c>
    </row>
    <row r="541" spans="1:36" x14ac:dyDescent="0.25">
      <c r="A541" s="17">
        <f t="shared" si="146"/>
        <v>539</v>
      </c>
      <c r="B541" s="17">
        <f t="shared" si="141"/>
        <v>45</v>
      </c>
      <c r="C541" s="23">
        <f>IFERROR(PPMT(Assumptions!$E$17, A541, 180, Assumptions!$D$8), 0)</f>
        <v>0</v>
      </c>
      <c r="D541" s="38">
        <f>IFERROR(IPMT(Assumptions!$E$17,A541,180,Assumptions!$D$8), 0)</f>
        <v>0</v>
      </c>
      <c r="E541" s="2">
        <f t="shared" si="147"/>
        <v>0</v>
      </c>
      <c r="F541" s="2">
        <f>IF(I540&gt;1, Assumptions!$E$19, 0)*-1</f>
        <v>0</v>
      </c>
      <c r="G541" s="24">
        <f t="shared" si="142"/>
        <v>1</v>
      </c>
      <c r="H541" s="20">
        <f t="shared" si="148"/>
        <v>339999.99999999988</v>
      </c>
      <c r="I541" s="2">
        <f>MAX(Assumptions!$D$8-SUM(Model_15y!H541), 0)</f>
        <v>1.1641532182693481E-10</v>
      </c>
      <c r="J541" s="2">
        <f>J540*(1+(Assumptions!$E$51))</f>
        <v>3803133.8740658173</v>
      </c>
      <c r="K541" s="22">
        <f t="shared" si="137"/>
        <v>3803133.8740658173</v>
      </c>
      <c r="L541" s="5">
        <f t="shared" si="149"/>
        <v>425000</v>
      </c>
      <c r="M541" s="63">
        <f>L541/Assumptions!$D$6</f>
        <v>1</v>
      </c>
      <c r="N541" s="24">
        <f t="shared" si="153"/>
        <v>0</v>
      </c>
      <c r="O541" s="22">
        <f>N541*Assumptions!$E$25*-1</f>
        <v>0</v>
      </c>
      <c r="P541" s="5">
        <f>Assumptions!$E$35*J541*-1</f>
        <v>-7833.8330928683054</v>
      </c>
      <c r="Q541" s="5">
        <f>J541*Assumptions!$E$36*-1</f>
        <v>-3154.8445024985726</v>
      </c>
      <c r="R541" s="5">
        <f>R529+R529*Assumptions!$D$51</f>
        <v>-2780.3607449863853</v>
      </c>
      <c r="S541" s="5">
        <f>S529+(S529*Assumptions!$D$51)</f>
        <v>0</v>
      </c>
      <c r="T541" s="5">
        <f t="shared" si="143"/>
        <v>0</v>
      </c>
      <c r="U541" s="22">
        <f t="shared" si="138"/>
        <v>-13769.038340353263</v>
      </c>
      <c r="V541" s="5">
        <f>MAX(Assumptions!$E$18:$E$19)-U541</f>
        <v>16610.67135215196</v>
      </c>
      <c r="W541" s="5">
        <f t="shared" si="139"/>
        <v>0</v>
      </c>
      <c r="X541" s="5">
        <f t="shared" si="144"/>
        <v>-13769.038340353263</v>
      </c>
      <c r="Y541" s="5">
        <f>D541*Assumptions!$D$44*-1</f>
        <v>0</v>
      </c>
      <c r="Z541" s="5">
        <f t="shared" si="140"/>
        <v>2841.6330117986963</v>
      </c>
      <c r="AA541" s="5">
        <f t="shared" si="150"/>
        <v>5001126.8033480635</v>
      </c>
      <c r="AB541" s="3">
        <f>Assumptions!$E$45</f>
        <v>6.9899151946608562E-3</v>
      </c>
      <c r="AC541" s="5">
        <f t="shared" si="151"/>
        <v>5038925.8885930106</v>
      </c>
      <c r="AD541" s="4">
        <f>AC541*Assumptions!$E$43</f>
        <v>4512.7385694004824</v>
      </c>
      <c r="AE541" s="2">
        <f>AD541*Assumptions!$D$44*-1</f>
        <v>-676.91078541007232</v>
      </c>
      <c r="AF541" s="2">
        <f>AC541*Assumptions!$E$46*-1</f>
        <v>-167.9334107179871</v>
      </c>
      <c r="AG541" s="5">
        <f t="shared" si="152"/>
        <v>5038081.0443968829</v>
      </c>
      <c r="AH541" s="20">
        <f>Model_30y[[#This Row],[Mortgage Payment]]+Model_30y[[#This Row],[Total Upkeep]]+Model_30y[[#This Row],[Monthly Investment]]</f>
        <v>-10927.405328554567</v>
      </c>
      <c r="AI541" s="5">
        <f>Model_Renter!D541*-1</f>
        <v>13864.8103728923</v>
      </c>
      <c r="AJ541" s="5">
        <f t="shared" si="145"/>
        <v>2937.4050443377328</v>
      </c>
    </row>
    <row r="542" spans="1:36" x14ac:dyDescent="0.25">
      <c r="A542" s="17">
        <f t="shared" si="146"/>
        <v>540</v>
      </c>
      <c r="B542" s="17">
        <f t="shared" si="141"/>
        <v>45</v>
      </c>
      <c r="C542" s="23">
        <f>IFERROR(PPMT(Assumptions!$E$17, A542, 180, Assumptions!$D$8), 0)</f>
        <v>0</v>
      </c>
      <c r="D542" s="38">
        <f>IFERROR(IPMT(Assumptions!$E$17,A542,180,Assumptions!$D$8), 0)</f>
        <v>0</v>
      </c>
      <c r="E542" s="2">
        <f t="shared" si="147"/>
        <v>0</v>
      </c>
      <c r="F542" s="2">
        <f>IF(I541&gt;1, Assumptions!$E$19, 0)*-1</f>
        <v>0</v>
      </c>
      <c r="G542" s="24">
        <f t="shared" si="142"/>
        <v>1</v>
      </c>
      <c r="H542" s="20">
        <f t="shared" si="148"/>
        <v>339999.99999999988</v>
      </c>
      <c r="I542" s="2">
        <f>MAX(Assumptions!$D$8-SUM(Model_15y!H542), 0)</f>
        <v>1.1641532182693481E-10</v>
      </c>
      <c r="J542" s="2">
        <f>J541*(1+(Assumptions!$E$51))</f>
        <v>3818628.3122345475</v>
      </c>
      <c r="K542" s="22">
        <f t="shared" si="137"/>
        <v>3818628.3122345475</v>
      </c>
      <c r="L542" s="5">
        <f t="shared" si="149"/>
        <v>425000</v>
      </c>
      <c r="M542" s="63">
        <f>L542/Assumptions!$D$6</f>
        <v>1</v>
      </c>
      <c r="N542" s="24">
        <f t="shared" si="153"/>
        <v>0</v>
      </c>
      <c r="O542" s="22">
        <f>N542*Assumptions!$E$25*-1</f>
        <v>0</v>
      </c>
      <c r="P542" s="5">
        <f>Assumptions!$E$35*J542*-1</f>
        <v>-7865.7490985890909</v>
      </c>
      <c r="Q542" s="5">
        <f>J542*Assumptions!$E$36*-1</f>
        <v>-3167.6977295199144</v>
      </c>
      <c r="R542" s="5">
        <f>R530+R530*Assumptions!$D$51</f>
        <v>-2780.3607449863853</v>
      </c>
      <c r="S542" s="5">
        <f>S530+(S530*Assumptions!$D$51)</f>
        <v>0</v>
      </c>
      <c r="T542" s="5">
        <f t="shared" si="143"/>
        <v>0</v>
      </c>
      <c r="U542" s="22">
        <f t="shared" si="138"/>
        <v>-13813.80757309539</v>
      </c>
      <c r="V542" s="5">
        <f>MAX(Assumptions!$E$18:$E$19)-U542</f>
        <v>16655.440584894088</v>
      </c>
      <c r="W542" s="5">
        <f t="shared" si="139"/>
        <v>0</v>
      </c>
      <c r="X542" s="5">
        <f t="shared" si="144"/>
        <v>-13813.80757309539</v>
      </c>
      <c r="Y542" s="5">
        <f>D542*Assumptions!$D$44*-1</f>
        <v>0</v>
      </c>
      <c r="Z542" s="5">
        <f t="shared" si="140"/>
        <v>2841.6330117986981</v>
      </c>
      <c r="AA542" s="5">
        <f t="shared" si="150"/>
        <v>5038081.0443968829</v>
      </c>
      <c r="AB542" s="3">
        <f>Assumptions!$E$45</f>
        <v>6.9899151946608562E-3</v>
      </c>
      <c r="AC542" s="5">
        <f t="shared" si="151"/>
        <v>5076138.4366528438</v>
      </c>
      <c r="AD542" s="4">
        <f>AC542*Assumptions!$E$43</f>
        <v>4546.0652157152126</v>
      </c>
      <c r="AE542" s="2">
        <f>AD542*Assumptions!$D$44*-1</f>
        <v>-681.90978235728187</v>
      </c>
      <c r="AF542" s="2">
        <f>AC542*Assumptions!$E$46*-1</f>
        <v>-169.17360163473418</v>
      </c>
      <c r="AG542" s="5">
        <f t="shared" si="152"/>
        <v>5075287.3532688515</v>
      </c>
      <c r="AH542" s="20">
        <f>Model_30y[[#This Row],[Mortgage Payment]]+Model_30y[[#This Row],[Total Upkeep]]+Model_30y[[#This Row],[Monthly Investment]]</f>
        <v>-10972.174561296692</v>
      </c>
      <c r="AI542" s="5">
        <f>Model_Renter!D542*-1</f>
        <v>13864.8103728923</v>
      </c>
      <c r="AJ542" s="5">
        <f t="shared" si="145"/>
        <v>2892.6358115956082</v>
      </c>
    </row>
    <row r="544" spans="1:36" x14ac:dyDescent="0.25">
      <c r="K544" s="5"/>
      <c r="L544" s="5"/>
      <c r="M544" s="5"/>
      <c r="N544" s="5"/>
      <c r="O544" s="5"/>
      <c r="P544" s="2"/>
    </row>
    <row r="546" spans="16:16" x14ac:dyDescent="0.25">
      <c r="P546" s="1"/>
    </row>
  </sheetData>
  <sheetProtection algorithmName="SHA-512" hashValue="kCkCmDBRQNcdD18poaMF9XhxJAYmvb7UvgBl5keDtu4wp9nczMUHtdpZkutLYAOlqg64WuLFsH2XiXIDxFfnkg==" saltValue="NVffZc0TbicUr6tG8bAYyA==" spinCount="100000" sheet="1" objects="1" scenarios="1"/>
  <pageMargins left="0.7" right="0.7" top="0.75" bottom="0.75" header="0.3" footer="0.3"/>
  <pageSetup orientation="portrait" r:id="rId1"/>
  <ignoredErrors>
    <ignoredError sqref="AH2:AH541 C2:F2 J2 L2:M2 A2 H2:H3 N2:Q2 V2 Y2 AA2:AB2 AG2 AI2" calculatedColumn="1"/>
  </ignoredError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3B175-DF9A-4202-9630-0C4BD6251892}">
  <sheetPr>
    <tabColor theme="7" tint="0.59999389629810485"/>
  </sheetPr>
  <dimension ref="A1:U542"/>
  <sheetViews>
    <sheetView showGridLines="0" showRowColHeaders="0" workbookViewId="0">
      <pane ySplit="1" topLeftCell="A2" activePane="bottomLeft" state="frozen"/>
      <selection activeCell="C1" sqref="C1"/>
      <selection pane="bottomLeft"/>
    </sheetView>
  </sheetViews>
  <sheetFormatPr defaultRowHeight="15" x14ac:dyDescent="0.25"/>
  <cols>
    <col min="1" max="2" width="15.140625" style="17" customWidth="1"/>
    <col min="3" max="3" width="18.140625" customWidth="1"/>
    <col min="4" max="4" width="19.7109375" customWidth="1"/>
    <col min="5" max="5" width="23.7109375" customWidth="1"/>
    <col min="6" max="6" width="21.28515625" customWidth="1"/>
    <col min="7" max="7" width="31" customWidth="1"/>
    <col min="8" max="8" width="25.42578125" customWidth="1"/>
    <col min="9" max="9" width="17.42578125" customWidth="1"/>
    <col min="10" max="10" width="31.42578125" customWidth="1"/>
    <col min="11" max="12" width="15.140625" customWidth="1"/>
    <col min="13" max="13" width="17.85546875" customWidth="1"/>
    <col min="14" max="14" width="33" customWidth="1"/>
    <col min="15" max="15" width="17.5703125" customWidth="1"/>
    <col min="16" max="16" width="11.5703125" bestFit="1" customWidth="1"/>
    <col min="18" max="18" width="12.140625" bestFit="1" customWidth="1"/>
    <col min="19" max="19" width="12.5703125" bestFit="1" customWidth="1"/>
    <col min="21" max="21" width="10" bestFit="1" customWidth="1"/>
  </cols>
  <sheetData>
    <row r="1" spans="1:21" x14ac:dyDescent="0.25">
      <c r="A1" s="18" t="s">
        <v>15</v>
      </c>
      <c r="B1" s="18" t="s">
        <v>0</v>
      </c>
      <c r="C1" s="19" t="s">
        <v>112</v>
      </c>
      <c r="D1" s="18" t="s">
        <v>53</v>
      </c>
      <c r="E1" s="18" t="s">
        <v>54</v>
      </c>
      <c r="F1" s="21" t="s">
        <v>11</v>
      </c>
      <c r="G1" s="18" t="s">
        <v>74</v>
      </c>
      <c r="H1" s="18" t="s">
        <v>75</v>
      </c>
      <c r="I1" s="18" t="s">
        <v>158</v>
      </c>
      <c r="J1" s="18" t="s">
        <v>36</v>
      </c>
      <c r="K1" s="18" t="s">
        <v>73</v>
      </c>
      <c r="L1" s="18" t="s">
        <v>50</v>
      </c>
      <c r="M1" s="18" t="s">
        <v>29</v>
      </c>
      <c r="N1" s="18" t="s">
        <v>35</v>
      </c>
      <c r="O1" s="32" t="s">
        <v>64</v>
      </c>
      <c r="P1" s="19" t="s">
        <v>24</v>
      </c>
    </row>
    <row r="2" spans="1:21" x14ac:dyDescent="0.25">
      <c r="A2" s="17">
        <v>0</v>
      </c>
      <c r="B2" s="17">
        <f>ROUNDUP(A2/12, 0)</f>
        <v>0</v>
      </c>
      <c r="C2" s="23">
        <f>MAX(Model_30y!V2, Model_15y!V2)</f>
        <v>0</v>
      </c>
      <c r="D2" s="2">
        <v>0</v>
      </c>
      <c r="E2" s="2">
        <v>0</v>
      </c>
      <c r="F2" s="22">
        <v>0</v>
      </c>
      <c r="G2" s="5">
        <v>0</v>
      </c>
      <c r="H2" s="5">
        <v>0</v>
      </c>
      <c r="I2" s="3">
        <v>0</v>
      </c>
      <c r="J2" s="5">
        <f>Assumptions!D13-Assumptions!D30</f>
        <v>108815.5</v>
      </c>
      <c r="K2" s="5">
        <v>0</v>
      </c>
      <c r="L2" s="5">
        <f>K2*Assumptions!$D$44*-1</f>
        <v>0</v>
      </c>
      <c r="M2" s="2">
        <v>0</v>
      </c>
      <c r="N2" s="5">
        <f>J2-SUM(L2:M2)</f>
        <v>108815.5</v>
      </c>
      <c r="O2" s="88">
        <f>Assumptions!$D$30</f>
        <v>2756</v>
      </c>
      <c r="P2" s="23">
        <f>(N2+O2)*-1</f>
        <v>-111571.5</v>
      </c>
    </row>
    <row r="3" spans="1:21" x14ac:dyDescent="0.25">
      <c r="A3" s="17">
        <f>A2+1</f>
        <v>1</v>
      </c>
      <c r="B3" s="17">
        <f t="shared" ref="B3:B66" si="0">ROUNDUP(A3/12, 0)</f>
        <v>1</v>
      </c>
      <c r="C3" s="23">
        <f>MAX(Model_30y!V3, Model_15y!V3)</f>
        <v>4399.5367510275046</v>
      </c>
      <c r="D3" s="2">
        <f>Assumptions!$D$29*-1</f>
        <v>-2756</v>
      </c>
      <c r="E3" s="2">
        <f>Assumptions!$D$31*-1</f>
        <v>-23</v>
      </c>
      <c r="F3" s="22">
        <f t="shared" ref="F3:F66" si="1">SUM(C3:E3)</f>
        <v>1620.5367510275046</v>
      </c>
      <c r="G3" s="5">
        <f>N2</f>
        <v>108815.5</v>
      </c>
      <c r="H3" s="5">
        <f>F3</f>
        <v>1620.5367510275046</v>
      </c>
      <c r="I3" s="3">
        <f>Assumptions!$E$45</f>
        <v>6.9899151946608562E-3</v>
      </c>
      <c r="J3" s="5">
        <f>(G3+H3)+(G3*I3)</f>
        <v>111196.64786789213</v>
      </c>
      <c r="K3" s="5">
        <f>J3*Assumptions!$E$43</f>
        <v>99.584993452165207</v>
      </c>
      <c r="L3" s="5">
        <f>K3*Assumptions!$D$44*-1</f>
        <v>-14.93774901782478</v>
      </c>
      <c r="M3" s="2">
        <f>J3*Assumptions!$E$46*-1</f>
        <v>-3.7058755674765917</v>
      </c>
      <c r="N3" s="5">
        <f>J3+SUM(L3:M3)</f>
        <v>111178.00424330683</v>
      </c>
      <c r="O3" s="88">
        <f>Assumptions!$D$30</f>
        <v>2756</v>
      </c>
      <c r="P3" s="23">
        <f>(Model_Renter[[#This Row],[Monthly Investment]]*-1)+Model_Renter[[#This Row],[Less Renter''s Insurance]]</f>
        <v>-1643.5367510275046</v>
      </c>
      <c r="R3" s="5"/>
      <c r="S3" s="5"/>
      <c r="T3" s="4"/>
      <c r="U3" s="5"/>
    </row>
    <row r="4" spans="1:21" x14ac:dyDescent="0.25">
      <c r="A4" s="17">
        <f t="shared" ref="A4:A46" si="2">A3+1</f>
        <v>2</v>
      </c>
      <c r="B4" s="17">
        <f t="shared" si="0"/>
        <v>1</v>
      </c>
      <c r="C4" s="23">
        <f>MAX(Model_30y!V4, Model_15y!V4)</f>
        <v>4404.5600929847615</v>
      </c>
      <c r="D4" s="2">
        <f>Assumptions!$D$29*-1</f>
        <v>-2756</v>
      </c>
      <c r="E4" s="2">
        <f>Assumptions!$D$31*-1</f>
        <v>-23</v>
      </c>
      <c r="F4" s="22">
        <f t="shared" si="1"/>
        <v>1625.5600929847615</v>
      </c>
      <c r="G4" s="5">
        <f>N3</f>
        <v>111178.00424330683</v>
      </c>
      <c r="H4" s="5">
        <f t="shared" ref="H4:H67" si="3">F4</f>
        <v>1625.5600929847615</v>
      </c>
      <c r="I4" s="3">
        <f>Assumptions!$E$45</f>
        <v>6.9899151946608562E-3</v>
      </c>
      <c r="J4" s="5">
        <f>(G4+H4)+(G4*I4)</f>
        <v>113580.68915746394</v>
      </c>
      <c r="K4" s="5">
        <f>J4*Assumptions!$E$43</f>
        <v>101.72008242079816</v>
      </c>
      <c r="L4" s="5">
        <f>K4*Assumptions!$D$44*-1</f>
        <v>-15.258012363119724</v>
      </c>
      <c r="M4" s="2">
        <f>J4*Assumptions!$E$46*-1</f>
        <v>-3.7853290450434338</v>
      </c>
      <c r="N4" s="5">
        <f t="shared" ref="N4:N67" si="4">J4+SUM(L4:M4)</f>
        <v>113561.64581605578</v>
      </c>
      <c r="O4" s="88">
        <f>Assumptions!$D$30</f>
        <v>2756</v>
      </c>
      <c r="P4" s="23">
        <f>(Model_Renter[[#This Row],[Monthly Investment]]*-1)+Model_Renter[[#This Row],[Less Renter''s Insurance]]</f>
        <v>-1648.5600929847615</v>
      </c>
      <c r="R4" s="5"/>
      <c r="S4" s="5"/>
    </row>
    <row r="5" spans="1:21" x14ac:dyDescent="0.25">
      <c r="A5" s="17">
        <f t="shared" si="2"/>
        <v>3</v>
      </c>
      <c r="B5" s="17">
        <f t="shared" si="0"/>
        <v>1</v>
      </c>
      <c r="C5" s="23">
        <f>MAX(Model_30y!V5, Model_15y!V5)</f>
        <v>4409.603900658959</v>
      </c>
      <c r="D5" s="2">
        <f>Assumptions!$D$29*-1</f>
        <v>-2756</v>
      </c>
      <c r="E5" s="2">
        <f>Assumptions!$D$31*-1</f>
        <v>-23</v>
      </c>
      <c r="F5" s="22">
        <f t="shared" si="1"/>
        <v>1630.603900658959</v>
      </c>
      <c r="G5" s="5">
        <f t="shared" ref="G5:G67" si="5">N4</f>
        <v>113561.64581605578</v>
      </c>
      <c r="H5" s="5">
        <f t="shared" si="3"/>
        <v>1630.603900658959</v>
      </c>
      <c r="I5" s="3">
        <f>Assumptions!$E$45</f>
        <v>6.9899151946608562E-3</v>
      </c>
      <c r="J5" s="5">
        <f t="shared" ref="J5:J67" si="6">(G5+H5)+(G5*I5)</f>
        <v>115986.03599033508</v>
      </c>
      <c r="K5" s="5">
        <f>J5*Assumptions!$E$43</f>
        <v>103.87425211201261</v>
      </c>
      <c r="L5" s="5">
        <f>K5*Assumptions!$D$44*-1</f>
        <v>-15.581137816801892</v>
      </c>
      <c r="M5" s="2">
        <f>J5*Assumptions!$E$46*-1</f>
        <v>-3.8654925772196425</v>
      </c>
      <c r="N5" s="5">
        <f t="shared" si="4"/>
        <v>115966.58935994105</v>
      </c>
      <c r="O5" s="88">
        <f>Assumptions!$D$30</f>
        <v>2756</v>
      </c>
      <c r="P5" s="23">
        <f>(Model_Renter[[#This Row],[Monthly Investment]]*-1)+Model_Renter[[#This Row],[Less Renter''s Insurance]]</f>
        <v>-1653.603900658959</v>
      </c>
    </row>
    <row r="6" spans="1:21" x14ac:dyDescent="0.25">
      <c r="A6" s="17">
        <f t="shared" si="2"/>
        <v>4</v>
      </c>
      <c r="B6" s="17">
        <f t="shared" si="0"/>
        <v>1</v>
      </c>
      <c r="C6" s="23">
        <f>MAX(Model_30y!V6, Model_15y!V6)</f>
        <v>4414.6682574299621</v>
      </c>
      <c r="D6" s="2">
        <f>Assumptions!$D$29*-1</f>
        <v>-2756</v>
      </c>
      <c r="E6" s="2">
        <f>Assumptions!$D$31*-1</f>
        <v>-23</v>
      </c>
      <c r="F6" s="22">
        <f t="shared" si="1"/>
        <v>1635.6682574299621</v>
      </c>
      <c r="G6" s="5">
        <f t="shared" si="5"/>
        <v>115966.58935994105</v>
      </c>
      <c r="H6" s="5">
        <f t="shared" si="3"/>
        <v>1635.6682574299621</v>
      </c>
      <c r="I6" s="3">
        <f>Assumptions!$E$45</f>
        <v>6.9899151946608562E-3</v>
      </c>
      <c r="J6" s="5">
        <f t="shared" si="6"/>
        <v>118412.85424241106</v>
      </c>
      <c r="K6" s="5">
        <f>J6*Assumptions!$E$43</f>
        <v>106.04765108020547</v>
      </c>
      <c r="L6" s="5">
        <f>K6*Assumptions!$D$44*-1</f>
        <v>-15.90714766203082</v>
      </c>
      <c r="M6" s="2">
        <f>J6*Assumptions!$E$46*-1</f>
        <v>-3.9463716921886425</v>
      </c>
      <c r="N6" s="5">
        <f t="shared" si="4"/>
        <v>118393.00072305684</v>
      </c>
      <c r="O6" s="88">
        <f>Assumptions!$D$30</f>
        <v>2756</v>
      </c>
      <c r="P6" s="23">
        <f>(Model_Renter[[#This Row],[Monthly Investment]]*-1)+Model_Renter[[#This Row],[Less Renter''s Insurance]]</f>
        <v>-1658.6682574299621</v>
      </c>
    </row>
    <row r="7" spans="1:21" x14ac:dyDescent="0.25">
      <c r="A7" s="17">
        <f t="shared" si="2"/>
        <v>5</v>
      </c>
      <c r="B7" s="17">
        <f t="shared" si="0"/>
        <v>1</v>
      </c>
      <c r="C7" s="23">
        <f>MAX(Model_30y!V7, Model_15y!V7)</f>
        <v>4419.7532470173355</v>
      </c>
      <c r="D7" s="2">
        <f>Assumptions!$D$29*-1</f>
        <v>-2756</v>
      </c>
      <c r="E7" s="2">
        <f>Assumptions!$D$31*-1</f>
        <v>-23</v>
      </c>
      <c r="F7" s="22">
        <f t="shared" si="1"/>
        <v>1640.7532470173355</v>
      </c>
      <c r="G7" s="5">
        <f t="shared" si="5"/>
        <v>118393.00072305684</v>
      </c>
      <c r="H7" s="5">
        <f t="shared" si="3"/>
        <v>1640.7532470173355</v>
      </c>
      <c r="I7" s="3">
        <f>Assumptions!$E$45</f>
        <v>6.9899151946608562E-3</v>
      </c>
      <c r="J7" s="5">
        <f t="shared" si="6"/>
        <v>120861.31100476977</v>
      </c>
      <c r="K7" s="5">
        <f>J7*Assumptions!$E$43</f>
        <v>108.24042896805229</v>
      </c>
      <c r="L7" s="5">
        <f>K7*Assumptions!$D$44*-1</f>
        <v>-16.236064345207843</v>
      </c>
      <c r="M7" s="2">
        <f>J7*Assumptions!$E$46*-1</f>
        <v>-4.0279719586321781</v>
      </c>
      <c r="N7" s="5">
        <f t="shared" si="4"/>
        <v>120841.04696846593</v>
      </c>
      <c r="O7" s="88">
        <f>Assumptions!$D$30</f>
        <v>2756</v>
      </c>
      <c r="P7" s="23">
        <f>(Model_Renter[[#This Row],[Monthly Investment]]*-1)+Model_Renter[[#This Row],[Less Renter''s Insurance]]</f>
        <v>-1663.7532470173355</v>
      </c>
    </row>
    <row r="8" spans="1:21" x14ac:dyDescent="0.25">
      <c r="A8" s="17">
        <f t="shared" si="2"/>
        <v>6</v>
      </c>
      <c r="B8" s="17">
        <f t="shared" si="0"/>
        <v>1</v>
      </c>
      <c r="C8" s="23">
        <f>MAX(Model_30y!V8, Model_15y!V8)</f>
        <v>4424.8589534817265</v>
      </c>
      <c r="D8" s="2">
        <f>Assumptions!$D$29*-1</f>
        <v>-2756</v>
      </c>
      <c r="E8" s="2">
        <f>Assumptions!$D$31*-1</f>
        <v>-23</v>
      </c>
      <c r="F8" s="22">
        <f t="shared" si="1"/>
        <v>1645.8589534817265</v>
      </c>
      <c r="G8" s="5">
        <f t="shared" si="5"/>
        <v>120841.04696846593</v>
      </c>
      <c r="H8" s="5">
        <f t="shared" si="3"/>
        <v>1645.8589534817265</v>
      </c>
      <c r="I8" s="3">
        <f>Assumptions!$E$45</f>
        <v>6.9899151946608562E-3</v>
      </c>
      <c r="J8" s="5">
        <f t="shared" si="6"/>
        <v>123331.57459229126</v>
      </c>
      <c r="K8" s="5">
        <f>J8*Assumptions!$E$43</f>
        <v>110.45273651423581</v>
      </c>
      <c r="L8" s="5">
        <f>K8*Assumptions!$D$44*-1</f>
        <v>-16.567910477135371</v>
      </c>
      <c r="M8" s="2">
        <f>J8*Assumptions!$E$46*-1</f>
        <v>-4.1102989860179227</v>
      </c>
      <c r="N8" s="5">
        <f t="shared" si="4"/>
        <v>123310.89638282811</v>
      </c>
      <c r="O8" s="88">
        <f>Assumptions!$D$30</f>
        <v>2756</v>
      </c>
      <c r="P8" s="23">
        <f>(Model_Renter[[#This Row],[Monthly Investment]]*-1)+Model_Renter[[#This Row],[Less Renter''s Insurance]]</f>
        <v>-1668.8589534817265</v>
      </c>
    </row>
    <row r="9" spans="1:21" x14ac:dyDescent="0.25">
      <c r="A9" s="17">
        <f t="shared" si="2"/>
        <v>7</v>
      </c>
      <c r="B9" s="17">
        <f t="shared" si="0"/>
        <v>1</v>
      </c>
      <c r="C9" s="23">
        <f>MAX(Model_30y!V9, Model_15y!V9)</f>
        <v>4429.9854612262552</v>
      </c>
      <c r="D9" s="2">
        <f>Assumptions!$D$29*-1</f>
        <v>-2756</v>
      </c>
      <c r="E9" s="2">
        <f>Assumptions!$D$31*-1</f>
        <v>-23</v>
      </c>
      <c r="F9" s="22">
        <f t="shared" si="1"/>
        <v>1650.9854612262552</v>
      </c>
      <c r="G9" s="5">
        <f t="shared" si="5"/>
        <v>123310.89638282811</v>
      </c>
      <c r="H9" s="5">
        <f t="shared" si="3"/>
        <v>1650.9854612262552</v>
      </c>
      <c r="I9" s="3">
        <f>Assumptions!$E$45</f>
        <v>6.9899151946608562E-3</v>
      </c>
      <c r="J9" s="5">
        <f t="shared" si="6"/>
        <v>125823.81455234795</v>
      </c>
      <c r="K9" s="5">
        <f>J9*Assumptions!$E$43</f>
        <v>112.68472556122877</v>
      </c>
      <c r="L9" s="5">
        <f>K9*Assumptions!$D$44*-1</f>
        <v>-16.902708834184317</v>
      </c>
      <c r="M9" s="2">
        <f>J9*Assumptions!$E$46*-1</f>
        <v>-4.1933584248890989</v>
      </c>
      <c r="N9" s="5">
        <f t="shared" si="4"/>
        <v>125802.71848508887</v>
      </c>
      <c r="O9" s="88">
        <f>Assumptions!$D$30</f>
        <v>2756</v>
      </c>
      <c r="P9" s="23">
        <f>(Model_Renter[[#This Row],[Monthly Investment]]*-1)+Model_Renter[[#This Row],[Less Renter''s Insurance]]</f>
        <v>-1673.9854612262552</v>
      </c>
    </row>
    <row r="10" spans="1:21" x14ac:dyDescent="0.25">
      <c r="A10" s="17">
        <f t="shared" si="2"/>
        <v>8</v>
      </c>
      <c r="B10" s="17">
        <f t="shared" si="0"/>
        <v>1</v>
      </c>
      <c r="C10" s="23">
        <f>MAX(Model_30y!V10, Model_15y!V10)</f>
        <v>4435.1328549979144</v>
      </c>
      <c r="D10" s="2">
        <f>Assumptions!$D$29*-1</f>
        <v>-2756</v>
      </c>
      <c r="E10" s="2">
        <f>Assumptions!$D$31*-1</f>
        <v>-23</v>
      </c>
      <c r="F10" s="22">
        <f t="shared" si="1"/>
        <v>1656.1328549979144</v>
      </c>
      <c r="G10" s="5">
        <f t="shared" si="5"/>
        <v>125802.71848508887</v>
      </c>
      <c r="H10" s="5">
        <f t="shared" si="3"/>
        <v>1656.1328549979144</v>
      </c>
      <c r="I10" s="3">
        <f>Assumptions!$E$45</f>
        <v>6.9899151946608562E-3</v>
      </c>
      <c r="J10" s="5">
        <f t="shared" si="6"/>
        <v>128338.20167355535</v>
      </c>
      <c r="K10" s="5">
        <f>J10*Assumptions!$E$43</f>
        <v>114.93654906313084</v>
      </c>
      <c r="L10" s="5">
        <f>K10*Assumptions!$D$44*-1</f>
        <v>-17.240482359469624</v>
      </c>
      <c r="M10" s="2">
        <f>J10*Assumptions!$E$46*-1</f>
        <v>-4.2771559671561157</v>
      </c>
      <c r="N10" s="5">
        <f t="shared" si="4"/>
        <v>128316.68403522873</v>
      </c>
      <c r="O10" s="88">
        <f>Assumptions!$D$30</f>
        <v>2756</v>
      </c>
      <c r="P10" s="23">
        <f>(Model_Renter[[#This Row],[Monthly Investment]]*-1)+Model_Renter[[#This Row],[Less Renter''s Insurance]]</f>
        <v>-1679.1328549979144</v>
      </c>
    </row>
    <row r="11" spans="1:21" x14ac:dyDescent="0.25">
      <c r="A11" s="17">
        <f t="shared" si="2"/>
        <v>9</v>
      </c>
      <c r="B11" s="17">
        <f t="shared" si="0"/>
        <v>1</v>
      </c>
      <c r="C11" s="23">
        <f>MAX(Model_30y!V11, Model_15y!V11)</f>
        <v>4440.3012198889619</v>
      </c>
      <c r="D11" s="2">
        <f>Assumptions!$D$29*-1</f>
        <v>-2756</v>
      </c>
      <c r="E11" s="2">
        <f>Assumptions!$D$31*-1</f>
        <v>-23</v>
      </c>
      <c r="F11" s="22">
        <f t="shared" si="1"/>
        <v>1661.3012198889619</v>
      </c>
      <c r="G11" s="5">
        <f>N10</f>
        <v>128316.68403522873</v>
      </c>
      <c r="H11" s="5">
        <f t="shared" si="3"/>
        <v>1661.3012198889619</v>
      </c>
      <c r="I11" s="3">
        <f>Assumptions!$E$45</f>
        <v>6.9899151946608562E-3</v>
      </c>
      <c r="J11" s="5">
        <f t="shared" si="6"/>
        <v>130874.90799458403</v>
      </c>
      <c r="K11" s="5">
        <f>J11*Assumptions!$E$43</f>
        <v>117.20836109356031</v>
      </c>
      <c r="L11" s="5">
        <f>K11*Assumptions!$D$44*-1</f>
        <v>-17.581254164034046</v>
      </c>
      <c r="M11" s="2">
        <f>J11*Assumptions!$E$46*-1</f>
        <v>-4.3616973463902475</v>
      </c>
      <c r="N11" s="5">
        <f t="shared" si="4"/>
        <v>130852.96504307361</v>
      </c>
      <c r="O11" s="88">
        <f>Assumptions!$D$30</f>
        <v>2756</v>
      </c>
      <c r="P11" s="23">
        <f>(Model_Renter[[#This Row],[Monthly Investment]]*-1)+Model_Renter[[#This Row],[Less Renter''s Insurance]]</f>
        <v>-1684.3012198889619</v>
      </c>
    </row>
    <row r="12" spans="1:21" x14ac:dyDescent="0.25">
      <c r="A12" s="17">
        <f t="shared" si="2"/>
        <v>10</v>
      </c>
      <c r="B12" s="17">
        <f t="shared" si="0"/>
        <v>1</v>
      </c>
      <c r="C12" s="23">
        <f>MAX(Model_30y!V12, Model_15y!V12)</f>
        <v>4445.4906413383342</v>
      </c>
      <c r="D12" s="2">
        <f>Assumptions!$D$29*-1</f>
        <v>-2756</v>
      </c>
      <c r="E12" s="2">
        <f>Assumptions!$D$31*-1</f>
        <v>-23</v>
      </c>
      <c r="F12" s="22">
        <f t="shared" si="1"/>
        <v>1666.4906413383342</v>
      </c>
      <c r="G12" s="5">
        <f t="shared" si="5"/>
        <v>130852.96504307361</v>
      </c>
      <c r="H12" s="5">
        <f t="shared" si="3"/>
        <v>1666.4906413383342</v>
      </c>
      <c r="I12" s="3">
        <f>Assumptions!$E$45</f>
        <v>6.9899151946608562E-3</v>
      </c>
      <c r="J12" s="5">
        <f t="shared" si="6"/>
        <v>133434.10681303297</v>
      </c>
      <c r="K12" s="5">
        <f>J12*Assumptions!$E$43</f>
        <v>119.50031685360095</v>
      </c>
      <c r="L12" s="5">
        <f>K12*Assumptions!$D$44*-1</f>
        <v>-17.925047528040142</v>
      </c>
      <c r="M12" s="2">
        <f>J12*Assumptions!$E$46*-1</f>
        <v>-4.4469883381193549</v>
      </c>
      <c r="N12" s="5">
        <f t="shared" si="4"/>
        <v>133411.7347771668</v>
      </c>
      <c r="O12" s="88">
        <f>Assumptions!$D$30</f>
        <v>2756</v>
      </c>
      <c r="P12" s="23">
        <f>(Model_Renter[[#This Row],[Monthly Investment]]*-1)+Model_Renter[[#This Row],[Less Renter''s Insurance]]</f>
        <v>-1689.4906413383342</v>
      </c>
    </row>
    <row r="13" spans="1:21" x14ac:dyDescent="0.25">
      <c r="A13" s="17">
        <f t="shared" si="2"/>
        <v>11</v>
      </c>
      <c r="B13" s="17">
        <f t="shared" si="0"/>
        <v>1</v>
      </c>
      <c r="C13" s="23">
        <f>MAX(Model_30y!V13, Model_15y!V13)</f>
        <v>4450.7012051330576</v>
      </c>
      <c r="D13" s="2">
        <f>Assumptions!$D$29*-1</f>
        <v>-2756</v>
      </c>
      <c r="E13" s="2">
        <f>Assumptions!$D$31*-1</f>
        <v>-23</v>
      </c>
      <c r="F13" s="22">
        <f t="shared" si="1"/>
        <v>1671.7012051330576</v>
      </c>
      <c r="G13" s="5">
        <f t="shared" si="5"/>
        <v>133411.7347771668</v>
      </c>
      <c r="H13" s="5">
        <f t="shared" si="3"/>
        <v>1671.7012051330576</v>
      </c>
      <c r="I13" s="3">
        <f>Assumptions!$E$45</f>
        <v>6.9899151946608562E-3</v>
      </c>
      <c r="J13" s="5">
        <f t="shared" si="6"/>
        <v>136015.97269436484</v>
      </c>
      <c r="K13" s="5">
        <f>J13*Assumptions!$E$43</f>
        <v>121.81257267980419</v>
      </c>
      <c r="L13" s="5">
        <f>K13*Assumptions!$D$44*-1</f>
        <v>-18.271885901970627</v>
      </c>
      <c r="M13" s="2">
        <f>J13*Assumptions!$E$46*-1</f>
        <v>-4.5330347601256786</v>
      </c>
      <c r="N13" s="5">
        <f t="shared" si="4"/>
        <v>135993.16777370273</v>
      </c>
      <c r="O13" s="88">
        <f>Assumptions!$D$30</f>
        <v>2756</v>
      </c>
      <c r="P13" s="23">
        <f>(Model_Renter[[#This Row],[Monthly Investment]]*-1)+Model_Renter[[#This Row],[Less Renter''s Insurance]]</f>
        <v>-1694.7012051330576</v>
      </c>
    </row>
    <row r="14" spans="1:21" x14ac:dyDescent="0.25">
      <c r="A14" s="17">
        <f t="shared" si="2"/>
        <v>12</v>
      </c>
      <c r="B14" s="17">
        <f t="shared" si="0"/>
        <v>1</v>
      </c>
      <c r="C14" s="23">
        <f>MAX(Model_30y!V14, Model_15y!V14)</f>
        <v>4455.9329974096627</v>
      </c>
      <c r="D14" s="2">
        <f>Assumptions!$D$29*-1</f>
        <v>-2756</v>
      </c>
      <c r="E14" s="2">
        <f>Assumptions!$D$31*-1</f>
        <v>-23</v>
      </c>
      <c r="F14" s="22">
        <f t="shared" si="1"/>
        <v>1676.9329974096627</v>
      </c>
      <c r="G14" s="5">
        <f t="shared" si="5"/>
        <v>135993.16777370273</v>
      </c>
      <c r="H14" s="5">
        <f t="shared" si="3"/>
        <v>1676.9329974096627</v>
      </c>
      <c r="I14" s="3">
        <f>Assumptions!$E$45</f>
        <v>6.9899151946608562E-3</v>
      </c>
      <c r="J14" s="5">
        <f t="shared" si="6"/>
        <v>138620.68148090388</v>
      </c>
      <c r="K14" s="5">
        <f>J14*Assumptions!$E$43</f>
        <v>124.14528605224737</v>
      </c>
      <c r="L14" s="5">
        <f>K14*Assumptions!$D$44*-1</f>
        <v>-18.621792907837104</v>
      </c>
      <c r="M14" s="2">
        <f>J14*Assumptions!$E$46*-1</f>
        <v>-4.6198424727457077</v>
      </c>
      <c r="N14" s="5">
        <f t="shared" si="4"/>
        <v>138597.4398455233</v>
      </c>
      <c r="O14" s="88">
        <f>Assumptions!$D$30</f>
        <v>2756</v>
      </c>
      <c r="P14" s="23">
        <f>(Model_Renter[[#This Row],[Monthly Investment]]*-1)+Model_Renter[[#This Row],[Less Renter''s Insurance]]</f>
        <v>-1699.9329974096627</v>
      </c>
    </row>
    <row r="15" spans="1:21" x14ac:dyDescent="0.25">
      <c r="A15" s="17">
        <f t="shared" si="2"/>
        <v>13</v>
      </c>
      <c r="B15" s="17">
        <f t="shared" si="0"/>
        <v>2</v>
      </c>
      <c r="C15" s="23">
        <f>MAX(Model_30y!V15, Model_15y!V15)</f>
        <v>4477.4319379889457</v>
      </c>
      <c r="D15" s="2">
        <f>D3*(1+Assumptions!$D$52)</f>
        <v>-2859.0744000000004</v>
      </c>
      <c r="E15" s="2">
        <f>E3+(E3*Assumptions!$D$52)</f>
        <v>-23.860199999999999</v>
      </c>
      <c r="F15" s="22">
        <f t="shared" si="1"/>
        <v>1594.4973379889452</v>
      </c>
      <c r="G15" s="5">
        <f t="shared" si="5"/>
        <v>138597.4398455233</v>
      </c>
      <c r="H15" s="5">
        <f t="shared" si="3"/>
        <v>1594.4973379889452</v>
      </c>
      <c r="I15" s="3">
        <f>Assumptions!$E$45</f>
        <v>6.9899151946608562E-3</v>
      </c>
      <c r="J15" s="5">
        <f t="shared" si="6"/>
        <v>141160.72153422958</v>
      </c>
      <c r="K15" s="5">
        <f>J15*Assumptions!$E$43</f>
        <v>126.42008369164381</v>
      </c>
      <c r="L15" s="5">
        <f>K15*Assumptions!$D$44*-1</f>
        <v>-18.963012553746569</v>
      </c>
      <c r="M15" s="2">
        <f>J15*Assumptions!$E$46*-1</f>
        <v>-4.7044949560221365</v>
      </c>
      <c r="N15" s="5">
        <f t="shared" si="4"/>
        <v>141137.05402671982</v>
      </c>
      <c r="O15" s="88">
        <f>Assumptions!$D$30</f>
        <v>2756</v>
      </c>
      <c r="P15" s="23">
        <f>(Model_Renter[[#This Row],[Monthly Investment]]*-1)+Model_Renter[[#This Row],[Less Renter''s Insurance]]</f>
        <v>-1618.3575379889453</v>
      </c>
    </row>
    <row r="16" spans="1:21" x14ac:dyDescent="0.25">
      <c r="A16" s="17">
        <f t="shared" si="2"/>
        <v>14</v>
      </c>
      <c r="B16" s="17">
        <f t="shared" si="0"/>
        <v>2</v>
      </c>
      <c r="C16" s="23">
        <f>MAX(Model_30y!V16, Model_15y!V16)</f>
        <v>4482.7064470440655</v>
      </c>
      <c r="D16" s="2">
        <f>D4*(1+Assumptions!$D$52)</f>
        <v>-2859.0744000000004</v>
      </c>
      <c r="E16" s="2">
        <f>E4+(E4*Assumptions!$D$52)</f>
        <v>-23.860199999999999</v>
      </c>
      <c r="F16" s="22">
        <f t="shared" si="1"/>
        <v>1599.771847044065</v>
      </c>
      <c r="G16" s="5">
        <f t="shared" si="5"/>
        <v>141137.05402671982</v>
      </c>
      <c r="H16" s="5">
        <f t="shared" si="3"/>
        <v>1599.771847044065</v>
      </c>
      <c r="I16" s="3">
        <f>Assumptions!$E$45</f>
        <v>6.9899151946608562E-3</v>
      </c>
      <c r="J16" s="5">
        <f t="shared" si="6"/>
        <v>143723.36191223492</v>
      </c>
      <c r="K16" s="5">
        <f>J16*Assumptions!$E$43</f>
        <v>128.71512162810308</v>
      </c>
      <c r="L16" s="5">
        <f>K16*Assumptions!$D$44*-1</f>
        <v>-19.307268244215461</v>
      </c>
      <c r="M16" s="2">
        <f>J16*Assumptions!$E$46*-1</f>
        <v>-4.7899006453767452</v>
      </c>
      <c r="N16" s="5">
        <f t="shared" si="4"/>
        <v>143699.26474334532</v>
      </c>
      <c r="O16" s="88">
        <f>Assumptions!$D$30</f>
        <v>2756</v>
      </c>
      <c r="P16" s="23">
        <f>(Model_Renter[[#This Row],[Monthly Investment]]*-1)+Model_Renter[[#This Row],[Less Renter''s Insurance]]</f>
        <v>-1623.6320470440651</v>
      </c>
    </row>
    <row r="17" spans="1:16" x14ac:dyDescent="0.25">
      <c r="A17" s="17">
        <f t="shared" si="2"/>
        <v>15</v>
      </c>
      <c r="B17" s="17">
        <f t="shared" si="0"/>
        <v>2</v>
      </c>
      <c r="C17" s="23">
        <f>MAX(Model_30y!V17, Model_15y!V17)</f>
        <v>4488.0024451019726</v>
      </c>
      <c r="D17" s="2">
        <f>D5*(1+Assumptions!$D$52)</f>
        <v>-2859.0744000000004</v>
      </c>
      <c r="E17" s="2">
        <f>E5+(E5*Assumptions!$D$52)</f>
        <v>-23.860199999999999</v>
      </c>
      <c r="F17" s="22">
        <f t="shared" si="1"/>
        <v>1605.0678451019721</v>
      </c>
      <c r="G17" s="5">
        <f t="shared" si="5"/>
        <v>143699.26474334532</v>
      </c>
      <c r="H17" s="5">
        <f t="shared" si="3"/>
        <v>1605.0678451019721</v>
      </c>
      <c r="I17" s="3">
        <f>Assumptions!$E$45</f>
        <v>6.9899151946608562E-3</v>
      </c>
      <c r="J17" s="5">
        <f t="shared" si="6"/>
        <v>146308.7782625384</v>
      </c>
      <c r="K17" s="5">
        <f>J17*Assumptions!$E$43</f>
        <v>131.03055716732888</v>
      </c>
      <c r="L17" s="5">
        <f>K17*Assumptions!$D$44*-1</f>
        <v>-19.654583575099331</v>
      </c>
      <c r="M17" s="2">
        <f>J17*Assumptions!$E$46*-1</f>
        <v>-4.8760653946570223</v>
      </c>
      <c r="N17" s="5">
        <f t="shared" si="4"/>
        <v>146284.24761356864</v>
      </c>
      <c r="O17" s="88">
        <f>Assumptions!$D$30</f>
        <v>2756</v>
      </c>
      <c r="P17" s="23">
        <f>(Model_Renter[[#This Row],[Monthly Investment]]*-1)+Model_Renter[[#This Row],[Less Renter''s Insurance]]</f>
        <v>-1628.9280451019722</v>
      </c>
    </row>
    <row r="18" spans="1:16" x14ac:dyDescent="0.25">
      <c r="A18" s="17">
        <f t="shared" si="2"/>
        <v>16</v>
      </c>
      <c r="B18" s="17">
        <f t="shared" si="0"/>
        <v>2</v>
      </c>
      <c r="C18" s="23">
        <f>MAX(Model_30y!V18, Model_15y!V18)</f>
        <v>4493.3200197115266</v>
      </c>
      <c r="D18" s="2">
        <f>D6*(1+Assumptions!$D$52)</f>
        <v>-2859.0744000000004</v>
      </c>
      <c r="E18" s="2">
        <f>E6+(E6*Assumptions!$D$52)</f>
        <v>-23.860199999999999</v>
      </c>
      <c r="F18" s="22">
        <f t="shared" si="1"/>
        <v>1610.3854197115261</v>
      </c>
      <c r="G18" s="5">
        <f t="shared" si="5"/>
        <v>146284.24761356864</v>
      </c>
      <c r="H18" s="5">
        <f t="shared" si="3"/>
        <v>1610.3854197115261</v>
      </c>
      <c r="I18" s="3">
        <f>Assumptions!$E$45</f>
        <v>6.9899151946608562E-3</v>
      </c>
      <c r="J18" s="5">
        <f t="shared" si="6"/>
        <v>148917.14751841378</v>
      </c>
      <c r="K18" s="5">
        <f>J18*Assumptions!$E$43</f>
        <v>133.36654876642618</v>
      </c>
      <c r="L18" s="5">
        <f>K18*Assumptions!$D$44*-1</f>
        <v>-20.004982314963925</v>
      </c>
      <c r="M18" s="2">
        <f>J18*Assumptions!$E$46*-1</f>
        <v>-4.9629951005577766</v>
      </c>
      <c r="N18" s="5">
        <f t="shared" si="4"/>
        <v>148892.17954099827</v>
      </c>
      <c r="O18" s="88">
        <f>Assumptions!$D$30</f>
        <v>2756</v>
      </c>
      <c r="P18" s="23">
        <f>(Model_Renter[[#This Row],[Monthly Investment]]*-1)+Model_Renter[[#This Row],[Less Renter''s Insurance]]</f>
        <v>-1634.2456197115262</v>
      </c>
    </row>
    <row r="19" spans="1:16" x14ac:dyDescent="0.25">
      <c r="A19" s="17">
        <f t="shared" si="2"/>
        <v>17</v>
      </c>
      <c r="B19" s="17">
        <f t="shared" si="0"/>
        <v>2</v>
      </c>
      <c r="C19" s="23">
        <f>MAX(Model_30y!V19, Model_15y!V19)</f>
        <v>4498.6592587782688</v>
      </c>
      <c r="D19" s="2">
        <f>D7*(1+Assumptions!$D$52)</f>
        <v>-2859.0744000000004</v>
      </c>
      <c r="E19" s="2">
        <f>E7+(E7*Assumptions!$D$52)</f>
        <v>-23.860199999999999</v>
      </c>
      <c r="F19" s="22">
        <f t="shared" si="1"/>
        <v>1615.7246587782683</v>
      </c>
      <c r="G19" s="5">
        <f t="shared" si="5"/>
        <v>148892.17954099827</v>
      </c>
      <c r="H19" s="5">
        <f t="shared" si="3"/>
        <v>1615.7246587782683</v>
      </c>
      <c r="I19" s="3">
        <f>Assumptions!$E$45</f>
        <v>6.9899151946608562E-3</v>
      </c>
      <c r="J19" s="5">
        <f t="shared" si="6"/>
        <v>151548.64790791634</v>
      </c>
      <c r="K19" s="5">
        <f>J19*Assumptions!$E$43</f>
        <v>135.72325604207467</v>
      </c>
      <c r="L19" s="5">
        <f>K19*Assumptions!$D$44*-1</f>
        <v>-20.358488406311199</v>
      </c>
      <c r="M19" s="2">
        <f>J19*Assumptions!$E$46*-1</f>
        <v>-5.0506957029252924</v>
      </c>
      <c r="N19" s="5">
        <f t="shared" si="4"/>
        <v>151523.2387238071</v>
      </c>
      <c r="O19" s="88">
        <f>Assumptions!$D$30</f>
        <v>2756</v>
      </c>
      <c r="P19" s="23">
        <f>(Model_Renter[[#This Row],[Monthly Investment]]*-1)+Model_Renter[[#This Row],[Less Renter''s Insurance]]</f>
        <v>-1639.5848587782684</v>
      </c>
    </row>
    <row r="20" spans="1:16" x14ac:dyDescent="0.25">
      <c r="A20" s="17">
        <f t="shared" si="2"/>
        <v>18</v>
      </c>
      <c r="B20" s="17">
        <f t="shared" si="0"/>
        <v>2</v>
      </c>
      <c r="C20" s="23">
        <f>MAX(Model_30y!V20, Model_15y!V20)</f>
        <v>4504.0202505658781</v>
      </c>
      <c r="D20" s="2">
        <f>D8*(1+Assumptions!$D$52)</f>
        <v>-2859.0744000000004</v>
      </c>
      <c r="E20" s="2">
        <f>E8+(E8*Assumptions!$D$52)</f>
        <v>-23.860199999999999</v>
      </c>
      <c r="F20" s="22">
        <f t="shared" si="1"/>
        <v>1621.0856505658776</v>
      </c>
      <c r="G20" s="5">
        <f t="shared" si="5"/>
        <v>151523.2387238071</v>
      </c>
      <c r="H20" s="5">
        <f t="shared" si="3"/>
        <v>1621.0856505658776</v>
      </c>
      <c r="I20" s="3">
        <f>Assumptions!$E$45</f>
        <v>6.9899151946608562E-3</v>
      </c>
      <c r="J20" s="5">
        <f t="shared" si="6"/>
        <v>154203.45896307274</v>
      </c>
      <c r="K20" s="5">
        <f>J20*Assumptions!$E$43</f>
        <v>138.10083977875874</v>
      </c>
      <c r="L20" s="5">
        <f>K20*Assumptions!$D$44*-1</f>
        <v>-20.715125966813812</v>
      </c>
      <c r="M20" s="2">
        <f>J20*Assumptions!$E$46*-1</f>
        <v>-5.1391731850635978</v>
      </c>
      <c r="N20" s="5">
        <f t="shared" si="4"/>
        <v>154177.60466392085</v>
      </c>
      <c r="O20" s="88">
        <f>Assumptions!$D$30</f>
        <v>2756</v>
      </c>
      <c r="P20" s="23">
        <f>(Model_Renter[[#This Row],[Monthly Investment]]*-1)+Model_Renter[[#This Row],[Less Renter''s Insurance]]</f>
        <v>-1644.9458505658777</v>
      </c>
    </row>
    <row r="21" spans="1:16" x14ac:dyDescent="0.25">
      <c r="A21" s="17">
        <f t="shared" si="2"/>
        <v>19</v>
      </c>
      <c r="B21" s="17">
        <f t="shared" si="0"/>
        <v>2</v>
      </c>
      <c r="C21" s="23">
        <f>MAX(Model_30y!V21, Model_15y!V21)</f>
        <v>4509.4030836976344</v>
      </c>
      <c r="D21" s="2">
        <f>D9*(1+Assumptions!$D$52)</f>
        <v>-2859.0744000000004</v>
      </c>
      <c r="E21" s="2">
        <f>E9+(E9*Assumptions!$D$52)</f>
        <v>-23.860199999999999</v>
      </c>
      <c r="F21" s="22">
        <f t="shared" si="1"/>
        <v>1626.4684836976339</v>
      </c>
      <c r="G21" s="5">
        <f t="shared" si="5"/>
        <v>154177.60466392085</v>
      </c>
      <c r="H21" s="5">
        <f t="shared" si="3"/>
        <v>1626.4684836976339</v>
      </c>
      <c r="I21" s="3">
        <f>Assumptions!$E$45</f>
        <v>6.9899151946608562E-3</v>
      </c>
      <c r="J21" s="5">
        <f t="shared" si="6"/>
        <v>156881.76152913523</v>
      </c>
      <c r="K21" s="5">
        <f>J21*Assumptions!$E$43</f>
        <v>140.49946193705551</v>
      </c>
      <c r="L21" s="5">
        <f>K21*Assumptions!$D$44*-1</f>
        <v>-21.074919290558327</v>
      </c>
      <c r="M21" s="2">
        <f>J21*Assumptions!$E$46*-1</f>
        <v>-5.2284335740428851</v>
      </c>
      <c r="N21" s="5">
        <f t="shared" si="4"/>
        <v>156855.45817627062</v>
      </c>
      <c r="O21" s="88">
        <f>Assumptions!$D$30</f>
        <v>2756</v>
      </c>
      <c r="P21" s="23">
        <f>(Model_Renter[[#This Row],[Monthly Investment]]*-1)+Model_Renter[[#This Row],[Less Renter''s Insurance]]</f>
        <v>-1650.328683697634</v>
      </c>
    </row>
    <row r="22" spans="1:16" x14ac:dyDescent="0.25">
      <c r="A22" s="17">
        <f t="shared" si="2"/>
        <v>20</v>
      </c>
      <c r="B22" s="17">
        <f t="shared" si="0"/>
        <v>2</v>
      </c>
      <c r="C22" s="23">
        <f>MAX(Model_30y!V22, Model_15y!V22)</f>
        <v>4514.8078471578756</v>
      </c>
      <c r="D22" s="2">
        <f>D10*(1+Assumptions!$D$52)</f>
        <v>-2859.0744000000004</v>
      </c>
      <c r="E22" s="2">
        <f>E10+(E10*Assumptions!$D$52)</f>
        <v>-23.860199999999999</v>
      </c>
      <c r="F22" s="22">
        <f t="shared" si="1"/>
        <v>1631.8732471578751</v>
      </c>
      <c r="G22" s="5">
        <f t="shared" si="5"/>
        <v>156855.45817627062</v>
      </c>
      <c r="H22" s="5">
        <f t="shared" si="3"/>
        <v>1631.8732471578751</v>
      </c>
      <c r="I22" s="3">
        <f>Assumptions!$E$45</f>
        <v>6.9899151946608562E-3</v>
      </c>
      <c r="J22" s="5">
        <f t="shared" si="6"/>
        <v>159583.7377739003</v>
      </c>
      <c r="K22" s="5">
        <f>J22*Assumptions!$E$43</f>
        <v>142.91928566198033</v>
      </c>
      <c r="L22" s="5">
        <f>K22*Assumptions!$D$44*-1</f>
        <v>-21.437892849297047</v>
      </c>
      <c r="M22" s="2">
        <f>J22*Assumptions!$E$46*-1</f>
        <v>-5.3184829410100729</v>
      </c>
      <c r="N22" s="5">
        <f t="shared" si="4"/>
        <v>159556.98139810999</v>
      </c>
      <c r="O22" s="88">
        <f>Assumptions!$D$30</f>
        <v>2756</v>
      </c>
      <c r="P22" s="23">
        <f>(Model_Renter[[#This Row],[Monthly Investment]]*-1)+Model_Renter[[#This Row],[Less Renter''s Insurance]]</f>
        <v>-1655.7334471578752</v>
      </c>
    </row>
    <row r="23" spans="1:16" x14ac:dyDescent="0.25">
      <c r="A23" s="17">
        <f t="shared" si="2"/>
        <v>21</v>
      </c>
      <c r="B23" s="17">
        <f t="shared" si="0"/>
        <v>2</v>
      </c>
      <c r="C23" s="23">
        <f>MAX(Model_30y!V23, Model_15y!V23)</f>
        <v>4520.2346302934757</v>
      </c>
      <c r="D23" s="2">
        <f>D11*(1+Assumptions!$D$52)</f>
        <v>-2859.0744000000004</v>
      </c>
      <c r="E23" s="2">
        <f>E11+(E11*Assumptions!$D$52)</f>
        <v>-23.860199999999999</v>
      </c>
      <c r="F23" s="22">
        <f t="shared" si="1"/>
        <v>1637.3000302934752</v>
      </c>
      <c r="G23" s="5">
        <f t="shared" si="5"/>
        <v>159556.98139810999</v>
      </c>
      <c r="H23" s="5">
        <f t="shared" si="3"/>
        <v>1637.3000302934752</v>
      </c>
      <c r="I23" s="3">
        <f>Assumptions!$E$45</f>
        <v>6.9899151946608562E-3</v>
      </c>
      <c r="J23" s="5">
        <f t="shared" si="6"/>
        <v>162309.57119709233</v>
      </c>
      <c r="K23" s="5">
        <f>J23*Assumptions!$E$43</f>
        <v>145.36047529139049</v>
      </c>
      <c r="L23" s="5">
        <f>K23*Assumptions!$D$44*-1</f>
        <v>-21.804071293708571</v>
      </c>
      <c r="M23" s="2">
        <f>J23*Assumptions!$E$46*-1</f>
        <v>-5.4093274015015416</v>
      </c>
      <c r="N23" s="5">
        <f t="shared" si="4"/>
        <v>162282.35779839713</v>
      </c>
      <c r="O23" s="88">
        <f>Assumptions!$D$30</f>
        <v>2756</v>
      </c>
      <c r="P23" s="23">
        <f>(Model_Renter[[#This Row],[Monthly Investment]]*-1)+Model_Renter[[#This Row],[Less Renter''s Insurance]]</f>
        <v>-1661.1602302934753</v>
      </c>
    </row>
    <row r="24" spans="1:16" x14ac:dyDescent="0.25">
      <c r="A24" s="17">
        <f t="shared" si="2"/>
        <v>22</v>
      </c>
      <c r="B24" s="17">
        <f t="shared" si="0"/>
        <v>2</v>
      </c>
      <c r="C24" s="23">
        <f>MAX(Model_30y!V24, Model_15y!V24)</f>
        <v>4525.6835228153177</v>
      </c>
      <c r="D24" s="2">
        <f>D12*(1+Assumptions!$D$52)</f>
        <v>-2859.0744000000004</v>
      </c>
      <c r="E24" s="2">
        <f>E12+(E12*Assumptions!$D$52)</f>
        <v>-23.860199999999999</v>
      </c>
      <c r="F24" s="22">
        <f t="shared" si="1"/>
        <v>1642.7489228153172</v>
      </c>
      <c r="G24" s="5">
        <f t="shared" si="5"/>
        <v>162282.35779839713</v>
      </c>
      <c r="H24" s="5">
        <f t="shared" si="3"/>
        <v>1642.7489228153172</v>
      </c>
      <c r="I24" s="3">
        <f>Assumptions!$E$45</f>
        <v>6.9899151946608562E-3</v>
      </c>
      <c r="J24" s="5">
        <f t="shared" si="6"/>
        <v>165059.44663981284</v>
      </c>
      <c r="K24" s="5">
        <f>J24*Assumptions!$E$43</f>
        <v>147.8231963644478</v>
      </c>
      <c r="L24" s="5">
        <f>K24*Assumptions!$D$44*-1</f>
        <v>-22.17347945466717</v>
      </c>
      <c r="M24" s="2">
        <f>J24*Assumptions!$E$46*-1</f>
        <v>-5.5009731157580442</v>
      </c>
      <c r="N24" s="5">
        <f t="shared" si="4"/>
        <v>165031.77218724243</v>
      </c>
      <c r="O24" s="88">
        <f>Assumptions!$D$30</f>
        <v>2756</v>
      </c>
      <c r="P24" s="23">
        <f>(Model_Renter[[#This Row],[Monthly Investment]]*-1)+Model_Renter[[#This Row],[Less Renter''s Insurance]]</f>
        <v>-1666.6091228153173</v>
      </c>
    </row>
    <row r="25" spans="1:16" x14ac:dyDescent="0.25">
      <c r="A25" s="17">
        <f t="shared" si="2"/>
        <v>23</v>
      </c>
      <c r="B25" s="17">
        <f t="shared" si="0"/>
        <v>2</v>
      </c>
      <c r="C25" s="23">
        <f>MAX(Model_30y!V25, Model_15y!V25)</f>
        <v>4531.154614799776</v>
      </c>
      <c r="D25" s="2">
        <f>D13*(1+Assumptions!$D$52)</f>
        <v>-2859.0744000000004</v>
      </c>
      <c r="E25" s="2">
        <f>E13+(E13*Assumptions!$D$52)</f>
        <v>-23.860199999999999</v>
      </c>
      <c r="F25" s="22">
        <f t="shared" si="1"/>
        <v>1648.2200147997755</v>
      </c>
      <c r="G25" s="5">
        <f t="shared" si="5"/>
        <v>165031.77218724243</v>
      </c>
      <c r="H25" s="5">
        <f t="shared" si="3"/>
        <v>1648.2200147997755</v>
      </c>
      <c r="I25" s="3">
        <f>Assumptions!$E$45</f>
        <v>6.9899151946608562E-3</v>
      </c>
      <c r="J25" s="5">
        <f t="shared" si="6"/>
        <v>167833.5502940556</v>
      </c>
      <c r="K25" s="5">
        <f>J25*Assumptions!$E$43</f>
        <v>150.30761563014008</v>
      </c>
      <c r="L25" s="5">
        <f>K25*Assumptions!$D$44*-1</f>
        <v>-22.546142344521012</v>
      </c>
      <c r="M25" s="2">
        <f>J25*Assumptions!$E$46*-1</f>
        <v>-5.5934262890418252</v>
      </c>
      <c r="N25" s="5">
        <f t="shared" si="4"/>
        <v>167805.41072542203</v>
      </c>
      <c r="O25" s="88">
        <f>Assumptions!$D$30</f>
        <v>2756</v>
      </c>
      <c r="P25" s="23">
        <f>(Model_Renter[[#This Row],[Monthly Investment]]*-1)+Model_Renter[[#This Row],[Less Renter''s Insurance]]</f>
        <v>-1672.0802147997756</v>
      </c>
    </row>
    <row r="26" spans="1:16" x14ac:dyDescent="0.25">
      <c r="A26" s="17">
        <f t="shared" si="2"/>
        <v>24</v>
      </c>
      <c r="B26" s="17">
        <f t="shared" si="0"/>
        <v>2</v>
      </c>
      <c r="C26" s="23">
        <f>MAX(Model_30y!V26, Model_15y!V26)</f>
        <v>4536.6479966902116</v>
      </c>
      <c r="D26" s="2">
        <f>D14*(1+Assumptions!$D$52)</f>
        <v>-2859.0744000000004</v>
      </c>
      <c r="E26" s="2">
        <f>E14+(E14*Assumptions!$D$52)</f>
        <v>-23.860199999999999</v>
      </c>
      <c r="F26" s="22">
        <f t="shared" si="1"/>
        <v>1653.7133966902111</v>
      </c>
      <c r="G26" s="5">
        <f t="shared" si="5"/>
        <v>167805.41072542203</v>
      </c>
      <c r="H26" s="5">
        <f t="shared" si="3"/>
        <v>1653.7133966902111</v>
      </c>
      <c r="I26" s="3">
        <f>Assumptions!$E$45</f>
        <v>6.9899151946608562E-3</v>
      </c>
      <c r="J26" s="5">
        <f t="shared" si="6"/>
        <v>170632.06971228815</v>
      </c>
      <c r="K26" s="5">
        <f>J26*Assumptions!$E$43</f>
        <v>152.81390105586215</v>
      </c>
      <c r="L26" s="5">
        <f>K26*Assumptions!$D$44*-1</f>
        <v>-22.922085158379321</v>
      </c>
      <c r="M26" s="2">
        <f>J26*Assumptions!$E$46*-1</f>
        <v>-5.6866931719559402</v>
      </c>
      <c r="N26" s="5">
        <f t="shared" si="4"/>
        <v>170603.46093395783</v>
      </c>
      <c r="O26" s="88">
        <f>Assumptions!$D$30</f>
        <v>2756</v>
      </c>
      <c r="P26" s="23">
        <f>(Model_Renter[[#This Row],[Monthly Investment]]*-1)+Model_Renter[[#This Row],[Less Renter''s Insurance]]</f>
        <v>-1677.5735966902112</v>
      </c>
    </row>
    <row r="27" spans="1:16" x14ac:dyDescent="0.25">
      <c r="A27" s="17">
        <f t="shared" si="2"/>
        <v>25</v>
      </c>
      <c r="B27" s="17">
        <f t="shared" si="0"/>
        <v>3</v>
      </c>
      <c r="C27" s="23">
        <f>MAX(Model_30y!V27, Model_15y!V27)</f>
        <v>4559.2218842984594</v>
      </c>
      <c r="D27" s="2">
        <f>D15*(1+Assumptions!$D$52)</f>
        <v>-2966.0037825600007</v>
      </c>
      <c r="E27" s="2">
        <f>E15+(E15*Assumptions!$D$52)</f>
        <v>-24.75257148</v>
      </c>
      <c r="F27" s="22">
        <f t="shared" si="1"/>
        <v>1568.4655302584588</v>
      </c>
      <c r="G27" s="5">
        <f t="shared" si="5"/>
        <v>170603.46093395783</v>
      </c>
      <c r="H27" s="5">
        <f t="shared" si="3"/>
        <v>1568.4655302584588</v>
      </c>
      <c r="I27" s="3">
        <f>Assumptions!$E$45</f>
        <v>6.9899151946608562E-3</v>
      </c>
      <c r="J27" s="5">
        <f t="shared" si="6"/>
        <v>173364.4301880603</v>
      </c>
      <c r="K27" s="5">
        <f>J27*Assumptions!$E$43</f>
        <v>155.26093615364672</v>
      </c>
      <c r="L27" s="5">
        <f>K27*Assumptions!$D$44*-1</f>
        <v>-23.289140423047009</v>
      </c>
      <c r="M27" s="2">
        <f>J27*Assumptions!$E$46*-1</f>
        <v>-5.7777551609893933</v>
      </c>
      <c r="N27" s="5">
        <f t="shared" si="4"/>
        <v>173335.36329247628</v>
      </c>
      <c r="O27" s="88">
        <f>Assumptions!$D$30</f>
        <v>2756</v>
      </c>
      <c r="P27" s="23">
        <f>(Model_Renter[[#This Row],[Monthly Investment]]*-1)+Model_Renter[[#This Row],[Less Renter''s Insurance]]</f>
        <v>-1593.2181017384587</v>
      </c>
    </row>
    <row r="28" spans="1:16" x14ac:dyDescent="0.25">
      <c r="A28" s="17">
        <f t="shared" si="2"/>
        <v>26</v>
      </c>
      <c r="B28" s="17">
        <f t="shared" si="0"/>
        <v>3</v>
      </c>
      <c r="C28" s="23">
        <f>MAX(Model_30y!V28, Model_15y!V28)</f>
        <v>4564.7601188063345</v>
      </c>
      <c r="D28" s="2">
        <f>D16*(1+Assumptions!$D$52)</f>
        <v>-2966.0037825600007</v>
      </c>
      <c r="E28" s="2">
        <f>E16+(E16*Assumptions!$D$52)</f>
        <v>-24.75257148</v>
      </c>
      <c r="F28" s="22">
        <f t="shared" si="1"/>
        <v>1574.0037647663339</v>
      </c>
      <c r="G28" s="5">
        <f t="shared" si="5"/>
        <v>173335.36329247628</v>
      </c>
      <c r="H28" s="5">
        <f t="shared" si="3"/>
        <v>1574.0037647663339</v>
      </c>
      <c r="I28" s="3">
        <f>Assumptions!$E$45</f>
        <v>6.9899151946608562E-3</v>
      </c>
      <c r="J28" s="5">
        <f t="shared" si="6"/>
        <v>176120.96654689274</v>
      </c>
      <c r="K28" s="5">
        <f>J28*Assumptions!$E$43</f>
        <v>157.72962257997781</v>
      </c>
      <c r="L28" s="5">
        <f>K28*Assumptions!$D$44*-1</f>
        <v>-23.659443386996671</v>
      </c>
      <c r="M28" s="2">
        <f>J28*Assumptions!$E$46*-1</f>
        <v>-5.869622865087762</v>
      </c>
      <c r="N28" s="5">
        <f t="shared" si="4"/>
        <v>176091.43748064066</v>
      </c>
      <c r="O28" s="88">
        <f>Assumptions!$D$30</f>
        <v>2756</v>
      </c>
      <c r="P28" s="23">
        <f>(Model_Renter[[#This Row],[Monthly Investment]]*-1)+Model_Renter[[#This Row],[Less Renter''s Insurance]]</f>
        <v>-1598.7563362463338</v>
      </c>
    </row>
    <row r="29" spans="1:16" x14ac:dyDescent="0.25">
      <c r="A29" s="17">
        <f t="shared" si="2"/>
        <v>27</v>
      </c>
      <c r="B29" s="17">
        <f t="shared" si="0"/>
        <v>3</v>
      </c>
      <c r="C29" s="23">
        <f>MAX(Model_30y!V29, Model_15y!V29)</f>
        <v>4570.3209167671375</v>
      </c>
      <c r="D29" s="2">
        <f>D17*(1+Assumptions!$D$52)</f>
        <v>-2966.0037825600007</v>
      </c>
      <c r="E29" s="2">
        <f>E17+(E17*Assumptions!$D$52)</f>
        <v>-24.75257148</v>
      </c>
      <c r="F29" s="22">
        <f t="shared" si="1"/>
        <v>1579.5645627271369</v>
      </c>
      <c r="G29" s="5">
        <f t="shared" si="5"/>
        <v>176091.43748064066</v>
      </c>
      <c r="H29" s="5">
        <f t="shared" si="3"/>
        <v>1579.5645627271369</v>
      </c>
      <c r="I29" s="3">
        <f>Assumptions!$E$45</f>
        <v>6.9899151946608562E-3</v>
      </c>
      <c r="J29" s="5">
        <f t="shared" si="6"/>
        <v>178901.86625786341</v>
      </c>
      <c r="K29" s="5">
        <f>J29*Assumptions!$E$43</f>
        <v>160.22012822756855</v>
      </c>
      <c r="L29" s="5">
        <f>K29*Assumptions!$D$44*-1</f>
        <v>-24.033019234135281</v>
      </c>
      <c r="M29" s="2">
        <f>J29*Assumptions!$E$46*-1</f>
        <v>-5.9623025320749594</v>
      </c>
      <c r="N29" s="5">
        <f t="shared" si="4"/>
        <v>178871.8709360972</v>
      </c>
      <c r="O29" s="88">
        <f>Assumptions!$D$30</f>
        <v>2756</v>
      </c>
      <c r="P29" s="23">
        <f>(Model_Renter[[#This Row],[Monthly Investment]]*-1)+Model_Renter[[#This Row],[Less Renter''s Insurance]]</f>
        <v>-1604.3171342071369</v>
      </c>
    </row>
    <row r="30" spans="1:16" x14ac:dyDescent="0.25">
      <c r="A30" s="17">
        <f t="shared" si="2"/>
        <v>28</v>
      </c>
      <c r="B30" s="17">
        <f t="shared" si="0"/>
        <v>3</v>
      </c>
      <c r="C30" s="23">
        <f>MAX(Model_30y!V30, Model_15y!V30)</f>
        <v>4575.9043701071696</v>
      </c>
      <c r="D30" s="2">
        <f>D18*(1+Assumptions!$D$52)</f>
        <v>-2966.0037825600007</v>
      </c>
      <c r="E30" s="2">
        <f>E18+(E18*Assumptions!$D$52)</f>
        <v>-24.75257148</v>
      </c>
      <c r="F30" s="22">
        <f t="shared" si="1"/>
        <v>1585.148016067169</v>
      </c>
      <c r="G30" s="5">
        <f t="shared" si="5"/>
        <v>178871.8709360972</v>
      </c>
      <c r="H30" s="5">
        <f t="shared" si="3"/>
        <v>1585.148016067169</v>
      </c>
      <c r="I30" s="3">
        <f>Assumptions!$E$45</f>
        <v>6.9899151946608562E-3</v>
      </c>
      <c r="J30" s="5">
        <f t="shared" si="6"/>
        <v>181707.31816071802</v>
      </c>
      <c r="K30" s="5">
        <f>J30*Assumptions!$E$43</f>
        <v>162.73262221666846</v>
      </c>
      <c r="L30" s="5">
        <f>K30*Assumptions!$D$44*-1</f>
        <v>-24.409893332500268</v>
      </c>
      <c r="M30" s="2">
        <f>J30*Assumptions!$E$46*-1</f>
        <v>-6.0558004554554508</v>
      </c>
      <c r="N30" s="5">
        <f t="shared" si="4"/>
        <v>181676.85246693005</v>
      </c>
      <c r="O30" s="88">
        <f>Assumptions!$D$30</f>
        <v>2756</v>
      </c>
      <c r="P30" s="23">
        <f>(Model_Renter[[#This Row],[Monthly Investment]]*-1)+Model_Renter[[#This Row],[Less Renter''s Insurance]]</f>
        <v>-1609.9005875471689</v>
      </c>
    </row>
    <row r="31" spans="1:16" x14ac:dyDescent="0.25">
      <c r="A31" s="17">
        <f>A30+1</f>
        <v>29</v>
      </c>
      <c r="B31" s="17">
        <f t="shared" si="0"/>
        <v>3</v>
      </c>
      <c r="C31" s="23">
        <f>MAX(Model_30y!V31, Model_15y!V31)</f>
        <v>4581.5105711272481</v>
      </c>
      <c r="D31" s="2">
        <f>D19*(1+Assumptions!$D$52)</f>
        <v>-2966.0037825600007</v>
      </c>
      <c r="E31" s="2">
        <f>E19+(E19*Assumptions!$D$52)</f>
        <v>-24.75257148</v>
      </c>
      <c r="F31" s="22">
        <f t="shared" si="1"/>
        <v>1590.7542170872475</v>
      </c>
      <c r="G31" s="5">
        <f t="shared" si="5"/>
        <v>181676.85246693005</v>
      </c>
      <c r="H31" s="5">
        <f t="shared" si="3"/>
        <v>1590.7542170872475</v>
      </c>
      <c r="I31" s="3">
        <f>Assumptions!$E$45</f>
        <v>6.9899151946608562E-3</v>
      </c>
      <c r="J31" s="5">
        <f t="shared" si="6"/>
        <v>184537.51247559403</v>
      </c>
      <c r="K31" s="5">
        <f>J31*Assumptions!$E$43</f>
        <v>165.26727490377223</v>
      </c>
      <c r="L31" s="5">
        <f>K31*Assumptions!$D$44*-1</f>
        <v>-24.790091235565836</v>
      </c>
      <c r="M31" s="2">
        <f>J31*Assumptions!$E$46*-1</f>
        <v>-6.1501229747383244</v>
      </c>
      <c r="N31" s="5">
        <f t="shared" si="4"/>
        <v>184506.57226138373</v>
      </c>
      <c r="O31" s="88">
        <f>Assumptions!$D$30</f>
        <v>2756</v>
      </c>
      <c r="P31" s="23">
        <f>(Model_Renter[[#This Row],[Monthly Investment]]*-1)+Model_Renter[[#This Row],[Less Renter''s Insurance]]</f>
        <v>-1615.5067885672474</v>
      </c>
    </row>
    <row r="32" spans="1:16" x14ac:dyDescent="0.25">
      <c r="A32" s="17">
        <f t="shared" si="2"/>
        <v>30</v>
      </c>
      <c r="B32" s="17">
        <f t="shared" si="0"/>
        <v>3</v>
      </c>
      <c r="C32" s="23">
        <f>MAX(Model_30y!V32, Model_15y!V32)</f>
        <v>4587.1396125042393</v>
      </c>
      <c r="D32" s="2">
        <f>D20*(1+Assumptions!$D$52)</f>
        <v>-2966.0037825600007</v>
      </c>
      <c r="E32" s="2">
        <f>E20+(E20*Assumptions!$D$52)</f>
        <v>-24.75257148</v>
      </c>
      <c r="F32" s="22">
        <f t="shared" si="1"/>
        <v>1596.3832584642387</v>
      </c>
      <c r="G32" s="5">
        <f t="shared" si="5"/>
        <v>184506.57226138373</v>
      </c>
      <c r="H32" s="5">
        <f t="shared" si="3"/>
        <v>1596.3832584642387</v>
      </c>
      <c r="I32" s="3">
        <f>Assumptions!$E$45</f>
        <v>6.9899151946608562E-3</v>
      </c>
      <c r="J32" s="5">
        <f t="shared" si="6"/>
        <v>187392.64081281261</v>
      </c>
      <c r="K32" s="5">
        <f>J32*Assumptions!$E$43</f>
        <v>167.82425789038888</v>
      </c>
      <c r="L32" s="5">
        <f>K32*Assumptions!$D$44*-1</f>
        <v>-25.17363868355833</v>
      </c>
      <c r="M32" s="2">
        <f>J32*Assumptions!$E$46*-1</f>
        <v>-6.2452764757636334</v>
      </c>
      <c r="N32" s="5">
        <f t="shared" si="4"/>
        <v>187361.22189765327</v>
      </c>
      <c r="O32" s="88">
        <f>Assumptions!$D$30</f>
        <v>2756</v>
      </c>
      <c r="P32" s="23">
        <f>(Model_Renter[[#This Row],[Monthly Investment]]*-1)+Model_Renter[[#This Row],[Less Renter''s Insurance]]</f>
        <v>-1621.1358299442386</v>
      </c>
    </row>
    <row r="33" spans="1:16" x14ac:dyDescent="0.25">
      <c r="A33" s="17">
        <f t="shared" si="2"/>
        <v>31</v>
      </c>
      <c r="B33" s="17">
        <f t="shared" si="0"/>
        <v>3</v>
      </c>
      <c r="C33" s="23">
        <f>MAX(Model_30y!V33, Model_15y!V33)</f>
        <v>4592.7915872925823</v>
      </c>
      <c r="D33" s="2">
        <f>D21*(1+Assumptions!$D$52)</f>
        <v>-2966.0037825600007</v>
      </c>
      <c r="E33" s="2">
        <f>E21+(E21*Assumptions!$D$52)</f>
        <v>-24.75257148</v>
      </c>
      <c r="F33" s="22">
        <f t="shared" si="1"/>
        <v>1602.0352332525817</v>
      </c>
      <c r="G33" s="5">
        <f t="shared" si="5"/>
        <v>187361.22189765327</v>
      </c>
      <c r="H33" s="5">
        <f t="shared" si="3"/>
        <v>1602.0352332525817</v>
      </c>
      <c r="I33" s="3">
        <f>Assumptions!$E$45</f>
        <v>6.9899151946608562E-3</v>
      </c>
      <c r="J33" s="5">
        <f t="shared" si="6"/>
        <v>190272.89618273851</v>
      </c>
      <c r="K33" s="5">
        <f>J33*Assumptions!$E$43</f>
        <v>170.40374403187226</v>
      </c>
      <c r="L33" s="5">
        <f>K33*Assumptions!$D$44*-1</f>
        <v>-25.56056160478084</v>
      </c>
      <c r="M33" s="2">
        <f>J33*Assumptions!$E$46*-1</f>
        <v>-6.3412673910309962</v>
      </c>
      <c r="N33" s="5">
        <f t="shared" si="4"/>
        <v>190240.99435374269</v>
      </c>
      <c r="O33" s="88">
        <f>Assumptions!$D$30</f>
        <v>2756</v>
      </c>
      <c r="P33" s="23">
        <f>(Model_Renter[[#This Row],[Monthly Investment]]*-1)+Model_Renter[[#This Row],[Less Renter''s Insurance]]</f>
        <v>-1626.7878047325817</v>
      </c>
    </row>
    <row r="34" spans="1:16" x14ac:dyDescent="0.25">
      <c r="A34" s="17">
        <f t="shared" si="2"/>
        <v>32</v>
      </c>
      <c r="B34" s="17">
        <f t="shared" si="0"/>
        <v>3</v>
      </c>
      <c r="C34" s="23">
        <f>MAX(Model_30y!V34, Model_15y!V34)</f>
        <v>4598.4665889258358</v>
      </c>
      <c r="D34" s="2">
        <f>D22*(1+Assumptions!$D$52)</f>
        <v>-2966.0037825600007</v>
      </c>
      <c r="E34" s="2">
        <f>E22+(E22*Assumptions!$D$52)</f>
        <v>-24.75257148</v>
      </c>
      <c r="F34" s="22">
        <f t="shared" si="1"/>
        <v>1607.7102348858352</v>
      </c>
      <c r="G34" s="5">
        <f t="shared" si="5"/>
        <v>190240.99435374269</v>
      </c>
      <c r="H34" s="5">
        <f t="shared" si="3"/>
        <v>1607.7102348858352</v>
      </c>
      <c r="I34" s="3">
        <f>Assumptions!$E$45</f>
        <v>6.9899151946608562E-3</v>
      </c>
      <c r="J34" s="5">
        <f t="shared" si="6"/>
        <v>193178.47300570912</v>
      </c>
      <c r="K34" s="5">
        <f>J34*Assumptions!$E$43</f>
        <v>173.0059074463131</v>
      </c>
      <c r="L34" s="5">
        <f>K34*Assumptions!$D$44*-1</f>
        <v>-25.950886116946965</v>
      </c>
      <c r="M34" s="2">
        <f>J34*Assumptions!$E$46*-1</f>
        <v>-6.4381022000305057</v>
      </c>
      <c r="N34" s="5">
        <f t="shared" si="4"/>
        <v>193146.08401739213</v>
      </c>
      <c r="O34" s="88">
        <f>Assumptions!$D$30</f>
        <v>2756</v>
      </c>
      <c r="P34" s="23">
        <f>(Model_Renter[[#This Row],[Monthly Investment]]*-1)+Model_Renter[[#This Row],[Less Renter''s Insurance]]</f>
        <v>-1632.4628063658351</v>
      </c>
    </row>
    <row r="35" spans="1:16" x14ac:dyDescent="0.25">
      <c r="A35" s="17">
        <f t="shared" si="2"/>
        <v>33</v>
      </c>
      <c r="B35" s="17">
        <f t="shared" si="0"/>
        <v>3</v>
      </c>
      <c r="C35" s="23">
        <f>MAX(Model_30y!V35, Model_15y!V35)</f>
        <v>4604.1647112182163</v>
      </c>
      <c r="D35" s="2">
        <f>D23*(1+Assumptions!$D$52)</f>
        <v>-2966.0037825600007</v>
      </c>
      <c r="E35" s="2">
        <f>E23+(E23*Assumptions!$D$52)</f>
        <v>-24.75257148</v>
      </c>
      <c r="F35" s="22">
        <f t="shared" si="1"/>
        <v>1613.4083571782157</v>
      </c>
      <c r="G35" s="5">
        <f t="shared" si="5"/>
        <v>193146.08401739213</v>
      </c>
      <c r="H35" s="5">
        <f t="shared" si="3"/>
        <v>1613.4083571782157</v>
      </c>
      <c r="I35" s="3">
        <f>Assumptions!$E$45</f>
        <v>6.9899151946608562E-3</v>
      </c>
      <c r="J35" s="5">
        <f t="shared" si="6"/>
        <v>196109.56712203275</v>
      </c>
      <c r="K35" s="5">
        <f>J35*Assumptions!$E$43</f>
        <v>175.63092352349335</v>
      </c>
      <c r="L35" s="5">
        <f>K35*Assumptions!$D$44*-1</f>
        <v>-26.344638528524001</v>
      </c>
      <c r="M35" s="2">
        <f>J35*Assumptions!$E$46*-1</f>
        <v>-6.5357874295759419</v>
      </c>
      <c r="N35" s="5">
        <f t="shared" si="4"/>
        <v>196076.68669607464</v>
      </c>
      <c r="O35" s="88">
        <f>Assumptions!$D$30</f>
        <v>2756</v>
      </c>
      <c r="P35" s="23">
        <f>(Model_Renter[[#This Row],[Monthly Investment]]*-1)+Model_Renter[[#This Row],[Less Renter''s Insurance]]</f>
        <v>-1638.1609286582157</v>
      </c>
    </row>
    <row r="36" spans="1:16" x14ac:dyDescent="0.25">
      <c r="A36" s="17">
        <f t="shared" si="2"/>
        <v>34</v>
      </c>
      <c r="B36" s="17">
        <f t="shared" si="0"/>
        <v>3</v>
      </c>
      <c r="C36" s="23">
        <f>MAX(Model_30y!V36, Model_15y!V36)</f>
        <v>4609.8860483661492</v>
      </c>
      <c r="D36" s="2">
        <f>D24*(1+Assumptions!$D$52)</f>
        <v>-2966.0037825600007</v>
      </c>
      <c r="E36" s="2">
        <f>E24+(E24*Assumptions!$D$52)</f>
        <v>-24.75257148</v>
      </c>
      <c r="F36" s="22">
        <f t="shared" si="1"/>
        <v>1619.1296943261486</v>
      </c>
      <c r="G36" s="5">
        <f t="shared" si="5"/>
        <v>196076.68669607464</v>
      </c>
      <c r="H36" s="5">
        <f t="shared" si="3"/>
        <v>1619.1296943261486</v>
      </c>
      <c r="I36" s="3">
        <f>Assumptions!$E$45</f>
        <v>6.9899151946608562E-3</v>
      </c>
      <c r="J36" s="5">
        <f t="shared" si="6"/>
        <v>199066.37580205643</v>
      </c>
      <c r="K36" s="5">
        <f>J36*Assumptions!$E$43</f>
        <v>178.2789689339026</v>
      </c>
      <c r="L36" s="5">
        <f>K36*Assumptions!$D$44*-1</f>
        <v>-26.741845340085391</v>
      </c>
      <c r="M36" s="2">
        <f>J36*Assumptions!$E$46*-1</f>
        <v>-6.6343296541403074</v>
      </c>
      <c r="N36" s="5">
        <f t="shared" si="4"/>
        <v>199032.99962706221</v>
      </c>
      <c r="O36" s="88">
        <f>Assumptions!$D$30</f>
        <v>2756</v>
      </c>
      <c r="P36" s="23">
        <f>(Model_Renter[[#This Row],[Monthly Investment]]*-1)+Model_Renter[[#This Row],[Less Renter''s Insurance]]</f>
        <v>-1643.8822658061486</v>
      </c>
    </row>
    <row r="37" spans="1:16" x14ac:dyDescent="0.25">
      <c r="A37" s="17">
        <f t="shared" si="2"/>
        <v>35</v>
      </c>
      <c r="B37" s="17">
        <f t="shared" si="0"/>
        <v>3</v>
      </c>
      <c r="C37" s="23">
        <f>MAX(Model_30y!V37, Model_15y!V37)</f>
        <v>4615.6306949498312</v>
      </c>
      <c r="D37" s="2">
        <f>D25*(1+Assumptions!$D$52)</f>
        <v>-2966.0037825600007</v>
      </c>
      <c r="E37" s="2">
        <f>E25+(E25*Assumptions!$D$52)</f>
        <v>-24.75257148</v>
      </c>
      <c r="F37" s="22">
        <f t="shared" si="1"/>
        <v>1624.8743409098306</v>
      </c>
      <c r="G37" s="5">
        <f t="shared" si="5"/>
        <v>199032.99962706221</v>
      </c>
      <c r="H37" s="5">
        <f t="shared" si="3"/>
        <v>1624.8743409098306</v>
      </c>
      <c r="I37" s="3">
        <f>Assumptions!$E$45</f>
        <v>6.9899151946608562E-3</v>
      </c>
      <c r="J37" s="5">
        <f t="shared" si="6"/>
        <v>202049.09775630417</v>
      </c>
      <c r="K37" s="5">
        <f>J37*Assumptions!$E$43</f>
        <v>180.95022163781761</v>
      </c>
      <c r="L37" s="5">
        <f>K37*Assumptions!$D$44*-1</f>
        <v>-27.142533245672642</v>
      </c>
      <c r="M37" s="2">
        <f>J37*Assumptions!$E$46*-1</f>
        <v>-6.7337354961937033</v>
      </c>
      <c r="N37" s="5">
        <f t="shared" si="4"/>
        <v>202015.22148756229</v>
      </c>
      <c r="O37" s="88">
        <f>Assumptions!$D$30</f>
        <v>2756</v>
      </c>
      <c r="P37" s="23">
        <f>(Model_Renter[[#This Row],[Monthly Investment]]*-1)+Model_Renter[[#This Row],[Less Renter''s Insurance]]</f>
        <v>-1649.6269123898305</v>
      </c>
    </row>
    <row r="38" spans="1:16" x14ac:dyDescent="0.25">
      <c r="A38" s="17">
        <f t="shared" si="2"/>
        <v>36</v>
      </c>
      <c r="B38" s="17">
        <f t="shared" si="0"/>
        <v>3</v>
      </c>
      <c r="C38" s="23">
        <f>MAX(Model_30y!V38, Model_15y!V38)</f>
        <v>4621.3987459347882</v>
      </c>
      <c r="D38" s="2">
        <f>D26*(1+Assumptions!$D$52)</f>
        <v>-2966.0037825600007</v>
      </c>
      <c r="E38" s="2">
        <f>E26+(E26*Assumptions!$D$52)</f>
        <v>-24.75257148</v>
      </c>
      <c r="F38" s="22">
        <f t="shared" si="1"/>
        <v>1630.6423918947876</v>
      </c>
      <c r="G38" s="5">
        <f t="shared" si="5"/>
        <v>202015.22148756229</v>
      </c>
      <c r="H38" s="5">
        <f t="shared" si="3"/>
        <v>1630.6423918947876</v>
      </c>
      <c r="I38" s="3">
        <f>Assumptions!$E$45</f>
        <v>6.9899151946608562E-3</v>
      </c>
      <c r="J38" s="5">
        <f t="shared" si="6"/>
        <v>205057.93314568579</v>
      </c>
      <c r="K38" s="5">
        <f>J38*Assumptions!$E$43</f>
        <v>183.64486089444515</v>
      </c>
      <c r="L38" s="5">
        <f>K38*Assumptions!$D$44*-1</f>
        <v>-27.546729134166771</v>
      </c>
      <c r="M38" s="2">
        <f>J38*Assumptions!$E$46*-1</f>
        <v>-6.8340116265435631</v>
      </c>
      <c r="N38" s="5">
        <f t="shared" si="4"/>
        <v>205023.55240492508</v>
      </c>
      <c r="O38" s="88">
        <f>Assumptions!$D$30</f>
        <v>2756</v>
      </c>
      <c r="P38" s="23">
        <f>(Model_Renter[[#This Row],[Monthly Investment]]*-1)+Model_Renter[[#This Row],[Less Renter''s Insurance]]</f>
        <v>-1655.3949633747875</v>
      </c>
    </row>
    <row r="39" spans="1:16" x14ac:dyDescent="0.25">
      <c r="A39" s="17">
        <f t="shared" si="2"/>
        <v>37</v>
      </c>
      <c r="B39" s="17">
        <f t="shared" si="0"/>
        <v>4</v>
      </c>
      <c r="C39" s="23">
        <f>MAX(Model_30y!V39, Model_15y!V39)</f>
        <v>4645.1013279234485</v>
      </c>
      <c r="D39" s="2">
        <f>D27*(1+Assumptions!$D$52)</f>
        <v>-3076.9323240277449</v>
      </c>
      <c r="E39" s="2">
        <f>E27+(E27*Assumptions!$D$52)</f>
        <v>-25.678317653352</v>
      </c>
      <c r="F39" s="22">
        <f t="shared" si="1"/>
        <v>1542.4906862423516</v>
      </c>
      <c r="G39" s="5">
        <f t="shared" si="5"/>
        <v>205023.55240492508</v>
      </c>
      <c r="H39" s="5">
        <f t="shared" si="3"/>
        <v>1542.4906862423516</v>
      </c>
      <c r="I39" s="3">
        <f>Assumptions!$E$45</f>
        <v>6.9899151946608562E-3</v>
      </c>
      <c r="J39" s="5">
        <f t="shared" si="6"/>
        <v>207999.14033538598</v>
      </c>
      <c r="K39" s="5">
        <f>J39*Assumptions!$E$43</f>
        <v>186.27893399236564</v>
      </c>
      <c r="L39" s="5">
        <f>K39*Assumptions!$D$44*-1</f>
        <v>-27.941840098854843</v>
      </c>
      <c r="M39" s="2">
        <f>J39*Assumptions!$E$46*-1</f>
        <v>-6.9320338967485604</v>
      </c>
      <c r="N39" s="5">
        <f t="shared" si="4"/>
        <v>207964.26646139036</v>
      </c>
      <c r="O39" s="88">
        <f>Assumptions!$D$30</f>
        <v>2756</v>
      </c>
      <c r="P39" s="23">
        <f>(Model_Renter[[#This Row],[Monthly Investment]]*-1)+Model_Renter[[#This Row],[Less Renter''s Insurance]]</f>
        <v>-1568.1690038957036</v>
      </c>
    </row>
    <row r="40" spans="1:16" x14ac:dyDescent="0.25">
      <c r="A40" s="17">
        <f t="shared" si="2"/>
        <v>38</v>
      </c>
      <c r="B40" s="17">
        <f t="shared" si="0"/>
        <v>4</v>
      </c>
      <c r="C40" s="23">
        <f>MAX(Model_30y!V40, Model_15y!V40)</f>
        <v>4650.9164741567183</v>
      </c>
      <c r="D40" s="2">
        <f>D28*(1+Assumptions!$D$52)</f>
        <v>-3076.9323240277449</v>
      </c>
      <c r="E40" s="2">
        <f>E28+(E28*Assumptions!$D$52)</f>
        <v>-25.678317653352</v>
      </c>
      <c r="F40" s="22">
        <f t="shared" si="1"/>
        <v>1548.3058324756214</v>
      </c>
      <c r="G40" s="5">
        <f t="shared" si="5"/>
        <v>207964.26646139036</v>
      </c>
      <c r="H40" s="5">
        <f t="shared" si="3"/>
        <v>1548.3058324756214</v>
      </c>
      <c r="I40" s="3">
        <f>Assumptions!$E$45</f>
        <v>6.9899151946608562E-3</v>
      </c>
      <c r="J40" s="5">
        <f t="shared" si="6"/>
        <v>210966.22487995095</v>
      </c>
      <c r="K40" s="5">
        <f>J40*Assumptions!$E$43</f>
        <v>188.9361822152938</v>
      </c>
      <c r="L40" s="5">
        <f>K40*Assumptions!$D$44*-1</f>
        <v>-28.34042733229407</v>
      </c>
      <c r="M40" s="2">
        <f>J40*Assumptions!$E$46*-1</f>
        <v>-7.0309185873500626</v>
      </c>
      <c r="N40" s="5">
        <f t="shared" si="4"/>
        <v>210930.85353403131</v>
      </c>
      <c r="O40" s="88">
        <f>Assumptions!$D$30</f>
        <v>2756</v>
      </c>
      <c r="P40" s="23">
        <f>(Model_Renter[[#This Row],[Monthly Investment]]*-1)+Model_Renter[[#This Row],[Less Renter''s Insurance]]</f>
        <v>-1573.9841501289734</v>
      </c>
    </row>
    <row r="41" spans="1:16" x14ac:dyDescent="0.25">
      <c r="A41" s="17">
        <f t="shared" si="2"/>
        <v>39</v>
      </c>
      <c r="B41" s="17">
        <f t="shared" si="0"/>
        <v>4</v>
      </c>
      <c r="C41" s="23">
        <f>MAX(Model_30y!V41, Model_15y!V41)</f>
        <v>4656.7553120155608</v>
      </c>
      <c r="D41" s="2">
        <f>D29*(1+Assumptions!$D$52)</f>
        <v>-3076.9323240277449</v>
      </c>
      <c r="E41" s="2">
        <f>E29+(E29*Assumptions!$D$52)</f>
        <v>-25.678317653352</v>
      </c>
      <c r="F41" s="22">
        <f t="shared" si="1"/>
        <v>1554.1446703344639</v>
      </c>
      <c r="G41" s="5">
        <f t="shared" si="5"/>
        <v>210930.85353403131</v>
      </c>
      <c r="H41" s="5">
        <f t="shared" si="3"/>
        <v>1554.1446703344639</v>
      </c>
      <c r="I41" s="3">
        <f>Assumptions!$E$45</f>
        <v>6.9899151946608562E-3</v>
      </c>
      <c r="J41" s="5">
        <f t="shared" si="6"/>
        <v>213959.38698250608</v>
      </c>
      <c r="K41" s="5">
        <f>J41*Assumptions!$E$43</f>
        <v>191.61678486024357</v>
      </c>
      <c r="L41" s="5">
        <f>K41*Assumptions!$D$44*-1</f>
        <v>-28.742517729036535</v>
      </c>
      <c r="M41" s="2">
        <f>J41*Assumptions!$E$46*-1</f>
        <v>-7.1306723705624329</v>
      </c>
      <c r="N41" s="5">
        <f t="shared" si="4"/>
        <v>213923.51379240648</v>
      </c>
      <c r="O41" s="88">
        <f>Assumptions!$D$30</f>
        <v>2756</v>
      </c>
      <c r="P41" s="23">
        <f>(Model_Renter[[#This Row],[Monthly Investment]]*-1)+Model_Renter[[#This Row],[Less Renter''s Insurance]]</f>
        <v>-1579.8229879878158</v>
      </c>
    </row>
    <row r="42" spans="1:16" x14ac:dyDescent="0.25">
      <c r="A42" s="17">
        <f t="shared" si="2"/>
        <v>40</v>
      </c>
      <c r="B42" s="17">
        <f t="shared" si="0"/>
        <v>4</v>
      </c>
      <c r="C42" s="23">
        <f>MAX(Model_30y!V42, Model_15y!V42)</f>
        <v>4662.6179380225931</v>
      </c>
      <c r="D42" s="2">
        <f>D30*(1+Assumptions!$D$52)</f>
        <v>-3076.9323240277449</v>
      </c>
      <c r="E42" s="2">
        <f>E30+(E30*Assumptions!$D$52)</f>
        <v>-25.678317653352</v>
      </c>
      <c r="F42" s="22">
        <f t="shared" si="1"/>
        <v>1560.0072963414962</v>
      </c>
      <c r="G42" s="5">
        <f t="shared" si="5"/>
        <v>213923.51379240648</v>
      </c>
      <c r="H42" s="5">
        <f t="shared" si="3"/>
        <v>1560.0072963414962</v>
      </c>
      <c r="I42" s="3">
        <f>Assumptions!$E$45</f>
        <v>6.9899151946608562E-3</v>
      </c>
      <c r="J42" s="5">
        <f t="shared" si="6"/>
        <v>216978.82830830076</v>
      </c>
      <c r="K42" s="5">
        <f>J42*Assumptions!$E$43</f>
        <v>194.32092253367145</v>
      </c>
      <c r="L42" s="5">
        <f>K42*Assumptions!$D$44*-1</f>
        <v>-29.148138380050717</v>
      </c>
      <c r="M42" s="2">
        <f>J42*Assumptions!$E$46*-1</f>
        <v>-7.231301967328565</v>
      </c>
      <c r="N42" s="5">
        <f t="shared" si="4"/>
        <v>216942.44886795338</v>
      </c>
      <c r="O42" s="88">
        <f>Assumptions!$D$30</f>
        <v>2756</v>
      </c>
      <c r="P42" s="23">
        <f>(Model_Renter[[#This Row],[Monthly Investment]]*-1)+Model_Renter[[#This Row],[Less Renter''s Insurance]]</f>
        <v>-1585.6856139948482</v>
      </c>
    </row>
    <row r="43" spans="1:16" x14ac:dyDescent="0.25">
      <c r="A43" s="17">
        <f t="shared" si="2"/>
        <v>41</v>
      </c>
      <c r="B43" s="17">
        <f t="shared" si="0"/>
        <v>4</v>
      </c>
      <c r="C43" s="23">
        <f>MAX(Model_30y!V43, Model_15y!V43)</f>
        <v>4668.5044490936762</v>
      </c>
      <c r="D43" s="2">
        <f>D31*(1+Assumptions!$D$52)</f>
        <v>-3076.9323240277449</v>
      </c>
      <c r="E43" s="2">
        <f>E31+(E31*Assumptions!$D$52)</f>
        <v>-25.678317653352</v>
      </c>
      <c r="F43" s="22">
        <f t="shared" si="1"/>
        <v>1565.8938074125792</v>
      </c>
      <c r="G43" s="5">
        <f t="shared" si="5"/>
        <v>216942.44886795338</v>
      </c>
      <c r="H43" s="5">
        <f t="shared" si="3"/>
        <v>1565.8938074125792</v>
      </c>
      <c r="I43" s="3">
        <f>Assumptions!$E$45</f>
        <v>6.9899151946608562E-3</v>
      </c>
      <c r="J43" s="5">
        <f t="shared" si="6"/>
        <v>220024.75199507503</v>
      </c>
      <c r="K43" s="5">
        <f>J43*Assumptions!$E$43</f>
        <v>197.04877716076041</v>
      </c>
      <c r="L43" s="5">
        <f>K43*Assumptions!$D$44*-1</f>
        <v>-29.557316574114061</v>
      </c>
      <c r="M43" s="2">
        <f>J43*Assumptions!$E$46*-1</f>
        <v>-7.3328141476653821</v>
      </c>
      <c r="N43" s="5">
        <f t="shared" si="4"/>
        <v>219987.86186435324</v>
      </c>
      <c r="O43" s="88">
        <f>Assumptions!$D$30</f>
        <v>2756</v>
      </c>
      <c r="P43" s="23">
        <f>(Model_Renter[[#This Row],[Monthly Investment]]*-1)+Model_Renter[[#This Row],[Less Renter''s Insurance]]</f>
        <v>-1591.5721250659312</v>
      </c>
    </row>
    <row r="44" spans="1:16" x14ac:dyDescent="0.25">
      <c r="A44" s="17">
        <f>A43+1</f>
        <v>42</v>
      </c>
      <c r="B44" s="17">
        <f t="shared" si="0"/>
        <v>4</v>
      </c>
      <c r="C44" s="23">
        <f>MAX(Model_30y!V44, Model_15y!V44)</f>
        <v>4674.4149425395171</v>
      </c>
      <c r="D44" s="2">
        <f>D32*(1+Assumptions!$D$52)</f>
        <v>-3076.9323240277449</v>
      </c>
      <c r="E44" s="2">
        <f>E32+(E32*Assumptions!$D$52)</f>
        <v>-25.678317653352</v>
      </c>
      <c r="F44" s="22">
        <f t="shared" si="1"/>
        <v>1571.8043008584202</v>
      </c>
      <c r="G44" s="5">
        <f t="shared" si="5"/>
        <v>219987.86186435324</v>
      </c>
      <c r="H44" s="5">
        <f t="shared" si="3"/>
        <v>1571.8043008584202</v>
      </c>
      <c r="I44" s="3">
        <f>Assumptions!$E$45</f>
        <v>6.9899151946608562E-3</v>
      </c>
      <c r="J44" s="5">
        <f t="shared" si="6"/>
        <v>223097.36266349824</v>
      </c>
      <c r="K44" s="5">
        <f>J44*Assumptions!$E$43</f>
        <v>199.80053199476859</v>
      </c>
      <c r="L44" s="5">
        <f>K44*Assumptions!$D$44*-1</f>
        <v>-29.970079799215288</v>
      </c>
      <c r="M44" s="2">
        <f>J44*Assumptions!$E$46*-1</f>
        <v>-7.4352157310117208</v>
      </c>
      <c r="N44" s="5">
        <f t="shared" si="4"/>
        <v>223059.95736796802</v>
      </c>
      <c r="O44" s="88">
        <f>Assumptions!$D$30</f>
        <v>2756</v>
      </c>
      <c r="P44" s="23">
        <f>(Model_Renter[[#This Row],[Monthly Investment]]*-1)+Model_Renter[[#This Row],[Less Renter''s Insurance]]</f>
        <v>-1597.4826185117722</v>
      </c>
    </row>
    <row r="45" spans="1:16" x14ac:dyDescent="0.25">
      <c r="A45" s="17">
        <f t="shared" si="2"/>
        <v>43</v>
      </c>
      <c r="B45" s="17">
        <f t="shared" si="0"/>
        <v>4</v>
      </c>
      <c r="C45" s="23">
        <f>MAX(Model_30y!V45, Model_15y!V45)</f>
        <v>4680.3495160672774</v>
      </c>
      <c r="D45" s="2">
        <f>D33*(1+Assumptions!$D$52)</f>
        <v>-3076.9323240277449</v>
      </c>
      <c r="E45" s="2">
        <f>E33+(E33*Assumptions!$D$52)</f>
        <v>-25.678317653352</v>
      </c>
      <c r="F45" s="22">
        <f t="shared" si="1"/>
        <v>1577.7388743861804</v>
      </c>
      <c r="G45" s="5">
        <f t="shared" si="5"/>
        <v>223059.95736796802</v>
      </c>
      <c r="H45" s="5">
        <f t="shared" si="3"/>
        <v>1577.7388743861804</v>
      </c>
      <c r="I45" s="3">
        <f>Assumptions!$E$45</f>
        <v>6.9899151946608562E-3</v>
      </c>
      <c r="J45" s="5">
        <f t="shared" si="6"/>
        <v>226196.86642768097</v>
      </c>
      <c r="K45" s="5">
        <f>J45*Assumptions!$E$43</f>
        <v>202.57637162644355</v>
      </c>
      <c r="L45" s="5">
        <f>K45*Assumptions!$D$44*-1</f>
        <v>-30.386455743966529</v>
      </c>
      <c r="M45" s="2">
        <f>J45*Assumptions!$E$46*-1</f>
        <v>-7.538513586578671</v>
      </c>
      <c r="N45" s="5">
        <f t="shared" si="4"/>
        <v>226158.94145835043</v>
      </c>
      <c r="O45" s="88">
        <f>Assumptions!$D$30</f>
        <v>2756</v>
      </c>
      <c r="P45" s="23">
        <f>(Model_Renter[[#This Row],[Monthly Investment]]*-1)+Model_Renter[[#This Row],[Less Renter''s Insurance]]</f>
        <v>-1603.4171920395324</v>
      </c>
    </row>
    <row r="46" spans="1:16" x14ac:dyDescent="0.25">
      <c r="A46" s="17">
        <f t="shared" si="2"/>
        <v>44</v>
      </c>
      <c r="B46" s="17">
        <f t="shared" si="0"/>
        <v>4</v>
      </c>
      <c r="C46" s="23">
        <f>MAX(Model_30y!V46, Model_15y!V46)</f>
        <v>4686.308267782194</v>
      </c>
      <c r="D46" s="2">
        <f>D34*(1+Assumptions!$D$52)</f>
        <v>-3076.9323240277449</v>
      </c>
      <c r="E46" s="2">
        <f>E34+(E34*Assumptions!$D$52)</f>
        <v>-25.678317653352</v>
      </c>
      <c r="F46" s="22">
        <f t="shared" si="1"/>
        <v>1583.6976261010971</v>
      </c>
      <c r="G46" s="5">
        <f t="shared" si="5"/>
        <v>226158.94145835043</v>
      </c>
      <c r="H46" s="5">
        <f t="shared" si="3"/>
        <v>1583.6976261010971</v>
      </c>
      <c r="I46" s="3">
        <f>Assumptions!$E$45</f>
        <v>6.9899151946608562E-3</v>
      </c>
      <c r="J46" s="5">
        <f t="shared" si="6"/>
        <v>229323.47090575966</v>
      </c>
      <c r="K46" s="5">
        <f>J46*Assumptions!$E$43</f>
        <v>205.3764819935015</v>
      </c>
      <c r="L46" s="5">
        <f>K46*Assumptions!$D$44*-1</f>
        <v>-30.806472299025224</v>
      </c>
      <c r="M46" s="2">
        <f>J46*Assumptions!$E$46*-1</f>
        <v>-7.6427146337023268</v>
      </c>
      <c r="N46" s="5">
        <f t="shared" si="4"/>
        <v>229285.02171882693</v>
      </c>
      <c r="O46" s="88">
        <f>Assumptions!$D$30</f>
        <v>2756</v>
      </c>
      <c r="P46" s="23">
        <f>(Model_Renter[[#This Row],[Monthly Investment]]*-1)+Model_Renter[[#This Row],[Less Renter''s Insurance]]</f>
        <v>-1609.3759437544491</v>
      </c>
    </row>
    <row r="47" spans="1:16" x14ac:dyDescent="0.25">
      <c r="A47" s="17">
        <f t="shared" ref="A47:A110" si="7">A46+1</f>
        <v>45</v>
      </c>
      <c r="B47" s="17">
        <f t="shared" si="0"/>
        <v>4</v>
      </c>
      <c r="C47" s="23">
        <f>MAX(Model_30y!V47, Model_15y!V47)</f>
        <v>4692.2912961891925</v>
      </c>
      <c r="D47" s="2">
        <f>D35*(1+Assumptions!$D$52)</f>
        <v>-3076.9323240277449</v>
      </c>
      <c r="E47" s="2">
        <f>E35+(E35*Assumptions!$D$52)</f>
        <v>-25.678317653352</v>
      </c>
      <c r="F47" s="22">
        <f t="shared" si="1"/>
        <v>1589.6806545080956</v>
      </c>
      <c r="G47" s="5">
        <f t="shared" si="5"/>
        <v>229285.02171882693</v>
      </c>
      <c r="H47" s="5">
        <f t="shared" si="3"/>
        <v>1589.6806545080956</v>
      </c>
      <c r="I47" s="3">
        <f>Assumptions!$E$45</f>
        <v>6.9899151946608562E-3</v>
      </c>
      <c r="J47" s="5">
        <f t="shared" si="6"/>
        <v>232477.38523055561</v>
      </c>
      <c r="K47" s="5">
        <f>J47*Assumptions!$E$43</f>
        <v>208.20105039017332</v>
      </c>
      <c r="L47" s="5">
        <f>K47*Assumptions!$D$44*-1</f>
        <v>-31.230157558525995</v>
      </c>
      <c r="M47" s="2">
        <f>J47*Assumptions!$E$46*-1</f>
        <v>-7.7478258421990231</v>
      </c>
      <c r="N47" s="5">
        <f t="shared" si="4"/>
        <v>232438.40724715489</v>
      </c>
      <c r="O47" s="88">
        <f>Assumptions!$D$30</f>
        <v>2756</v>
      </c>
      <c r="P47" s="23">
        <f>(Model_Renter[[#This Row],[Monthly Investment]]*-1)+Model_Renter[[#This Row],[Less Renter''s Insurance]]</f>
        <v>-1615.3589721614476</v>
      </c>
    </row>
    <row r="48" spans="1:16" x14ac:dyDescent="0.25">
      <c r="A48" s="17">
        <f t="shared" si="7"/>
        <v>46</v>
      </c>
      <c r="B48" s="17">
        <f t="shared" si="0"/>
        <v>4</v>
      </c>
      <c r="C48" s="23">
        <f>MAX(Model_30y!V48, Model_15y!V48)</f>
        <v>4698.298700194523</v>
      </c>
      <c r="D48" s="2">
        <f>D36*(1+Assumptions!$D$52)</f>
        <v>-3076.9323240277449</v>
      </c>
      <c r="E48" s="2">
        <f>E36+(E36*Assumptions!$D$52)</f>
        <v>-25.678317653352</v>
      </c>
      <c r="F48" s="22">
        <f t="shared" si="1"/>
        <v>1595.6880585134261</v>
      </c>
      <c r="G48" s="5">
        <f t="shared" si="5"/>
        <v>232438.40724715489</v>
      </c>
      <c r="H48" s="5">
        <f t="shared" si="3"/>
        <v>1595.6880585134261</v>
      </c>
      <c r="I48" s="3">
        <f>Assumptions!$E$45</f>
        <v>6.9899151946608562E-3</v>
      </c>
      <c r="J48" s="5">
        <f t="shared" si="6"/>
        <v>235658.82006030797</v>
      </c>
      <c r="K48" s="5">
        <f>J48*Assumptions!$E$43</f>
        <v>211.0502654768168</v>
      </c>
      <c r="L48" s="5">
        <f>K48*Assumptions!$D$44*-1</f>
        <v>-31.657539821522519</v>
      </c>
      <c r="M48" s="2">
        <f>J48*Assumptions!$E$46*-1</f>
        <v>-7.8538542327230383</v>
      </c>
      <c r="N48" s="5">
        <f t="shared" si="4"/>
        <v>235619.30866625372</v>
      </c>
      <c r="O48" s="88">
        <f>Assumptions!$D$30</f>
        <v>2756</v>
      </c>
      <c r="P48" s="23">
        <f>(Model_Renter[[#This Row],[Monthly Investment]]*-1)+Model_Renter[[#This Row],[Less Renter''s Insurance]]</f>
        <v>-1621.3663761667781</v>
      </c>
    </row>
    <row r="49" spans="1:16" x14ac:dyDescent="0.25">
      <c r="A49" s="17">
        <f t="shared" si="7"/>
        <v>47</v>
      </c>
      <c r="B49" s="17">
        <f t="shared" si="0"/>
        <v>4</v>
      </c>
      <c r="C49" s="23">
        <f>MAX(Model_30y!V49, Model_15y!V49)</f>
        <v>4704.330579107389</v>
      </c>
      <c r="D49" s="2">
        <f>D37*(1+Assumptions!$D$52)</f>
        <v>-3076.9323240277449</v>
      </c>
      <c r="E49" s="2">
        <f>E37+(E37*Assumptions!$D$52)</f>
        <v>-25.678317653352</v>
      </c>
      <c r="F49" s="22">
        <f t="shared" si="1"/>
        <v>1601.7199374262921</v>
      </c>
      <c r="G49" s="5">
        <f t="shared" si="5"/>
        <v>235619.30866625372</v>
      </c>
      <c r="H49" s="5">
        <f t="shared" si="3"/>
        <v>1601.7199374262921</v>
      </c>
      <c r="I49" s="3">
        <f>Assumptions!$E$45</f>
        <v>6.9899151946608562E-3</v>
      </c>
      <c r="J49" s="5">
        <f t="shared" si="6"/>
        <v>238867.98758948175</v>
      </c>
      <c r="K49" s="5">
        <f>J49*Assumptions!$E$43</f>
        <v>213.92431728959588</v>
      </c>
      <c r="L49" s="5">
        <f>K49*Assumptions!$D$44*-1</f>
        <v>-32.088647593439383</v>
      </c>
      <c r="M49" s="2">
        <f>J49*Assumptions!$E$46*-1</f>
        <v>-7.9608068771267941</v>
      </c>
      <c r="N49" s="5">
        <f t="shared" si="4"/>
        <v>238827.93813501118</v>
      </c>
      <c r="O49" s="88">
        <f>Assumptions!$D$30</f>
        <v>2756</v>
      </c>
      <c r="P49" s="23">
        <f>(Model_Renter[[#This Row],[Monthly Investment]]*-1)+Model_Renter[[#This Row],[Less Renter''s Insurance]]</f>
        <v>-1627.3982550796441</v>
      </c>
    </row>
    <row r="50" spans="1:16" x14ac:dyDescent="0.25">
      <c r="A50" s="17">
        <f t="shared" si="7"/>
        <v>48</v>
      </c>
      <c r="B50" s="17">
        <f t="shared" si="0"/>
        <v>4</v>
      </c>
      <c r="C50" s="23">
        <f>MAX(Model_30y!V50, Model_15y!V50)</f>
        <v>4710.3870326415945</v>
      </c>
      <c r="D50" s="2">
        <f>D38*(1+Assumptions!$D$52)</f>
        <v>-3076.9323240277449</v>
      </c>
      <c r="E50" s="2">
        <f>E38+(E38*Assumptions!$D$52)</f>
        <v>-25.678317653352</v>
      </c>
      <c r="F50" s="22">
        <f t="shared" si="1"/>
        <v>1607.7763909604976</v>
      </c>
      <c r="G50" s="5">
        <f t="shared" si="5"/>
        <v>238827.93813501118</v>
      </c>
      <c r="H50" s="5">
        <f t="shared" si="3"/>
        <v>1607.7763909604976</v>
      </c>
      <c r="I50" s="3">
        <f>Assumptions!$E$45</f>
        <v>6.9899151946608562E-3</v>
      </c>
      <c r="J50" s="5">
        <f t="shared" si="6"/>
        <v>242105.10155965111</v>
      </c>
      <c r="K50" s="5">
        <f>J50*Assumptions!$E$43</f>
        <v>216.8233972502276</v>
      </c>
      <c r="L50" s="5">
        <f>K50*Assumptions!$D$44*-1</f>
        <v>-32.523509587534136</v>
      </c>
      <c r="M50" s="2">
        <f>J50*Assumptions!$E$46*-1</f>
        <v>-8.068690898823565</v>
      </c>
      <c r="N50" s="5">
        <f t="shared" si="4"/>
        <v>242064.50935916475</v>
      </c>
      <c r="O50" s="88">
        <f>Assumptions!$D$30</f>
        <v>2756</v>
      </c>
      <c r="P50" s="23">
        <f>(Model_Renter[[#This Row],[Monthly Investment]]*-1)+Model_Renter[[#This Row],[Less Renter''s Insurance]]</f>
        <v>-1633.4547086138496</v>
      </c>
    </row>
    <row r="51" spans="1:16" x14ac:dyDescent="0.25">
      <c r="A51" s="17">
        <f t="shared" si="7"/>
        <v>49</v>
      </c>
      <c r="B51" s="17">
        <f t="shared" si="0"/>
        <v>5</v>
      </c>
      <c r="C51" s="23">
        <f>MAX(Model_30y!V51, Model_15y!V51)</f>
        <v>4735.2747437296875</v>
      </c>
      <c r="D51" s="2">
        <f>D39*(1+Assumptions!$D$52)</f>
        <v>-3192.0095929463828</v>
      </c>
      <c r="E51" s="2">
        <f>E39+(E39*Assumptions!$D$52)</f>
        <v>-26.638686733587363</v>
      </c>
      <c r="F51" s="22">
        <f t="shared" si="1"/>
        <v>1516.6264640497175</v>
      </c>
      <c r="G51" s="5">
        <f t="shared" si="5"/>
        <v>242064.50935916475</v>
      </c>
      <c r="H51" s="5">
        <f t="shared" si="3"/>
        <v>1516.6264640497175</v>
      </c>
      <c r="I51" s="3">
        <f>Assumptions!$E$45</f>
        <v>6.9899151946608562E-3</v>
      </c>
      <c r="J51" s="5">
        <f t="shared" si="6"/>
        <v>245273.14621527219</v>
      </c>
      <c r="K51" s="5">
        <f>J51*Assumptions!$E$43</f>
        <v>219.66062042498564</v>
      </c>
      <c r="L51" s="5">
        <f>K51*Assumptions!$D$44*-1</f>
        <v>-32.949093063747846</v>
      </c>
      <c r="M51" s="2">
        <f>J51*Assumptions!$E$46*-1</f>
        <v>-8.1742730320178065</v>
      </c>
      <c r="N51" s="5">
        <f t="shared" si="4"/>
        <v>245232.02284917643</v>
      </c>
      <c r="O51" s="88">
        <f>Assumptions!$D$30</f>
        <v>2756</v>
      </c>
      <c r="P51" s="23">
        <f>(Model_Renter[[#This Row],[Monthly Investment]]*-1)+Model_Renter[[#This Row],[Less Renter''s Insurance]]</f>
        <v>-1543.2651507833048</v>
      </c>
    </row>
    <row r="52" spans="1:16" x14ac:dyDescent="0.25">
      <c r="A52" s="17">
        <f t="shared" si="7"/>
        <v>50</v>
      </c>
      <c r="B52" s="17">
        <f t="shared" si="0"/>
        <v>5</v>
      </c>
      <c r="C52" s="23">
        <f>MAX(Model_30y!V52, Model_15y!V52)</f>
        <v>4741.3806472746201</v>
      </c>
      <c r="D52" s="2">
        <f>D40*(1+Assumptions!$D$52)</f>
        <v>-3192.0095929463828</v>
      </c>
      <c r="E52" s="2">
        <f>E40+(E40*Assumptions!$D$52)</f>
        <v>-26.638686733587363</v>
      </c>
      <c r="F52" s="22">
        <f t="shared" si="1"/>
        <v>1522.73236759465</v>
      </c>
      <c r="G52" s="5">
        <f t="shared" si="5"/>
        <v>245232.02284917643</v>
      </c>
      <c r="H52" s="5">
        <f t="shared" si="3"/>
        <v>1522.73236759465</v>
      </c>
      <c r="I52" s="3">
        <f>Assumptions!$E$45</f>
        <v>6.9899151946608562E-3</v>
      </c>
      <c r="J52" s="5">
        <f t="shared" si="6"/>
        <v>248468.90625950193</v>
      </c>
      <c r="K52" s="5">
        <f>J52*Assumptions!$E$43</f>
        <v>222.5226648227395</v>
      </c>
      <c r="L52" s="5">
        <f>K52*Assumptions!$D$44*-1</f>
        <v>-33.378399723410922</v>
      </c>
      <c r="M52" s="2">
        <f>J52*Assumptions!$E$46*-1</f>
        <v>-8.2807788421704576</v>
      </c>
      <c r="N52" s="5">
        <f t="shared" si="4"/>
        <v>248427.24708093636</v>
      </c>
      <c r="O52" s="88">
        <f>Assumptions!$D$30</f>
        <v>2756</v>
      </c>
      <c r="P52" s="23">
        <f>(Model_Renter[[#This Row],[Monthly Investment]]*-1)+Model_Renter[[#This Row],[Less Renter''s Insurance]]</f>
        <v>-1549.3710543282373</v>
      </c>
    </row>
    <row r="53" spans="1:16" x14ac:dyDescent="0.25">
      <c r="A53" s="17">
        <f t="shared" si="7"/>
        <v>51</v>
      </c>
      <c r="B53" s="17">
        <f t="shared" si="0"/>
        <v>5</v>
      </c>
      <c r="C53" s="23">
        <f>MAX(Model_30y!V53, Model_15y!V53)</f>
        <v>4747.5114270264057</v>
      </c>
      <c r="D53" s="2">
        <f>D41*(1+Assumptions!$D$52)</f>
        <v>-3192.0095929463828</v>
      </c>
      <c r="E53" s="2">
        <f>E41+(E41*Assumptions!$D$52)</f>
        <v>-26.638686733587363</v>
      </c>
      <c r="F53" s="22">
        <f t="shared" si="1"/>
        <v>1528.8631473464357</v>
      </c>
      <c r="G53" s="5">
        <f t="shared" si="5"/>
        <v>248427.24708093636</v>
      </c>
      <c r="H53" s="5">
        <f t="shared" si="3"/>
        <v>1528.8631473464357</v>
      </c>
      <c r="I53" s="3">
        <f>Assumptions!$E$45</f>
        <v>6.9899151946608562E-3</v>
      </c>
      <c r="J53" s="5">
        <f t="shared" si="6"/>
        <v>251692.59561742161</v>
      </c>
      <c r="K53" s="5">
        <f>J53*Assumptions!$E$43</f>
        <v>225.40972202955069</v>
      </c>
      <c r="L53" s="5">
        <f>K53*Assumptions!$D$44*-1</f>
        <v>-33.811458304432605</v>
      </c>
      <c r="M53" s="2">
        <f>J53*Assumptions!$E$46*-1</f>
        <v>-8.3882154588105742</v>
      </c>
      <c r="N53" s="5">
        <f t="shared" si="4"/>
        <v>251650.39594365837</v>
      </c>
      <c r="O53" s="88">
        <f>Assumptions!$D$30</f>
        <v>2756</v>
      </c>
      <c r="P53" s="23">
        <f>(Model_Renter[[#This Row],[Monthly Investment]]*-1)+Model_Renter[[#This Row],[Less Renter''s Insurance]]</f>
        <v>-1555.5018340800229</v>
      </c>
    </row>
    <row r="54" spans="1:16" x14ac:dyDescent="0.25">
      <c r="A54" s="17">
        <f t="shared" si="7"/>
        <v>52</v>
      </c>
      <c r="B54" s="17">
        <f t="shared" si="0"/>
        <v>5</v>
      </c>
      <c r="C54" s="23">
        <f>MAX(Model_30y!V54, Model_15y!V54)</f>
        <v>4753.6671843337899</v>
      </c>
      <c r="D54" s="2">
        <f>D42*(1+Assumptions!$D$52)</f>
        <v>-3192.0095929463828</v>
      </c>
      <c r="E54" s="2">
        <f>E42+(E42*Assumptions!$D$52)</f>
        <v>-26.638686733587363</v>
      </c>
      <c r="F54" s="22">
        <f t="shared" si="1"/>
        <v>1535.0189046538198</v>
      </c>
      <c r="G54" s="5">
        <f t="shared" si="5"/>
        <v>251650.39594365837</v>
      </c>
      <c r="H54" s="5">
        <f t="shared" si="3"/>
        <v>1535.0189046538198</v>
      </c>
      <c r="I54" s="3">
        <f>Assumptions!$E$45</f>
        <v>6.9899151946608562E-3</v>
      </c>
      <c r="J54" s="5">
        <f t="shared" si="6"/>
        <v>254944.42977466117</v>
      </c>
      <c r="K54" s="5">
        <f>J54*Assumptions!$E$43</f>
        <v>228.32198502906991</v>
      </c>
      <c r="L54" s="5">
        <f>K54*Assumptions!$D$44*-1</f>
        <v>-34.248297754360486</v>
      </c>
      <c r="M54" s="2">
        <f>J54*Assumptions!$E$46*-1</f>
        <v>-8.4965900634759688</v>
      </c>
      <c r="N54" s="5">
        <f t="shared" si="4"/>
        <v>254901.68488684334</v>
      </c>
      <c r="O54" s="88">
        <f>Assumptions!$D$30</f>
        <v>2756</v>
      </c>
      <c r="P54" s="23">
        <f>(Model_Renter[[#This Row],[Monthly Investment]]*-1)+Model_Renter[[#This Row],[Less Renter''s Insurance]]</f>
        <v>-1561.6575913874071</v>
      </c>
    </row>
    <row r="55" spans="1:16" x14ac:dyDescent="0.25">
      <c r="A55" s="17">
        <f t="shared" si="7"/>
        <v>53</v>
      </c>
      <c r="B55" s="17">
        <f t="shared" si="0"/>
        <v>5</v>
      </c>
      <c r="C55" s="23">
        <f>MAX(Model_30y!V55, Model_15y!V55)</f>
        <v>4759.8480209584268</v>
      </c>
      <c r="D55" s="2">
        <f>D43*(1+Assumptions!$D$52)</f>
        <v>-3192.0095929463828</v>
      </c>
      <c r="E55" s="2">
        <f>E43+(E43*Assumptions!$D$52)</f>
        <v>-26.638686733587363</v>
      </c>
      <c r="F55" s="22">
        <f t="shared" si="1"/>
        <v>1541.1997412784567</v>
      </c>
      <c r="G55" s="5">
        <f t="shared" si="5"/>
        <v>254901.68488684334</v>
      </c>
      <c r="H55" s="5">
        <f t="shared" si="3"/>
        <v>1541.1997412784567</v>
      </c>
      <c r="I55" s="3">
        <f>Assumptions!$E$45</f>
        <v>6.9899151946608562E-3</v>
      </c>
      <c r="J55" s="5">
        <f t="shared" si="6"/>
        <v>258224.62578845699</v>
      </c>
      <c r="K55" s="5">
        <f>J55*Assumptions!$E$43</f>
        <v>231.25964821244</v>
      </c>
      <c r="L55" s="5">
        <f>K55*Assumptions!$D$44*-1</f>
        <v>-34.688947231865995</v>
      </c>
      <c r="M55" s="2">
        <f>J55*Assumptions!$E$46*-1</f>
        <v>-8.6059098900817315</v>
      </c>
      <c r="N55" s="5">
        <f t="shared" si="4"/>
        <v>258181.33093133505</v>
      </c>
      <c r="O55" s="88">
        <f>Assumptions!$D$30</f>
        <v>2756</v>
      </c>
      <c r="P55" s="23">
        <f>(Model_Renter[[#This Row],[Monthly Investment]]*-1)+Model_Renter[[#This Row],[Less Renter''s Insurance]]</f>
        <v>-1567.838428012044</v>
      </c>
    </row>
    <row r="56" spans="1:16" x14ac:dyDescent="0.25">
      <c r="A56" s="17">
        <f t="shared" si="7"/>
        <v>54</v>
      </c>
      <c r="B56" s="17">
        <f t="shared" si="0"/>
        <v>5</v>
      </c>
      <c r="C56" s="23">
        <f>MAX(Model_30y!V56, Model_15y!V56)</f>
        <v>4766.0540390765582</v>
      </c>
      <c r="D56" s="2">
        <f>D44*(1+Assumptions!$D$52)</f>
        <v>-3192.0095929463828</v>
      </c>
      <c r="E56" s="2">
        <f>E44+(E44*Assumptions!$D$52)</f>
        <v>-26.638686733587363</v>
      </c>
      <c r="F56" s="22">
        <f t="shared" si="1"/>
        <v>1547.4057593965881</v>
      </c>
      <c r="G56" s="5">
        <f t="shared" si="5"/>
        <v>258181.33093133505</v>
      </c>
      <c r="H56" s="5">
        <f t="shared" si="3"/>
        <v>1547.4057593965881</v>
      </c>
      <c r="I56" s="3">
        <f>Assumptions!$E$45</f>
        <v>6.9899151946608562E-3</v>
      </c>
      <c r="J56" s="5">
        <f t="shared" si="6"/>
        <v>261533.40229878633</v>
      </c>
      <c r="K56" s="5">
        <f>J56*Assumptions!$E$43</f>
        <v>234.2229073882678</v>
      </c>
      <c r="L56" s="5">
        <f>K56*Assumptions!$D$44*-1</f>
        <v>-35.133436108240168</v>
      </c>
      <c r="M56" s="2">
        <f>J56*Assumptions!$E$46*-1</f>
        <v>-8.7161822252913126</v>
      </c>
      <c r="N56" s="5">
        <f t="shared" si="4"/>
        <v>261489.55268045279</v>
      </c>
      <c r="O56" s="88">
        <f>Assumptions!$D$30</f>
        <v>2756</v>
      </c>
      <c r="P56" s="23">
        <f>(Model_Renter[[#This Row],[Monthly Investment]]*-1)+Model_Renter[[#This Row],[Less Renter''s Insurance]]</f>
        <v>-1574.0444461301754</v>
      </c>
    </row>
    <row r="57" spans="1:16" x14ac:dyDescent="0.25">
      <c r="A57" s="17">
        <f t="shared" si="7"/>
        <v>55</v>
      </c>
      <c r="B57" s="17">
        <f t="shared" si="0"/>
        <v>5</v>
      </c>
      <c r="C57" s="23">
        <f>MAX(Model_30y!V57, Model_15y!V57)</f>
        <v>4772.2853412807081</v>
      </c>
      <c r="D57" s="2">
        <f>D45*(1+Assumptions!$D$52)</f>
        <v>-3192.0095929463828</v>
      </c>
      <c r="E57" s="2">
        <f>E45+(E45*Assumptions!$D$52)</f>
        <v>-26.638686733587363</v>
      </c>
      <c r="F57" s="22">
        <f t="shared" si="1"/>
        <v>1553.637061600738</v>
      </c>
      <c r="G57" s="5">
        <f t="shared" si="5"/>
        <v>261489.55268045279</v>
      </c>
      <c r="H57" s="5">
        <f t="shared" si="3"/>
        <v>1553.637061600738</v>
      </c>
      <c r="I57" s="3">
        <f>Assumptions!$E$45</f>
        <v>6.9899151946608562E-3</v>
      </c>
      <c r="J57" s="5">
        <f t="shared" si="6"/>
        <v>264870.97953957965</v>
      </c>
      <c r="K57" s="5">
        <f>J57*Assumptions!$E$43</f>
        <v>237.2119597926656</v>
      </c>
      <c r="L57" s="5">
        <f>K57*Assumptions!$D$44*-1</f>
        <v>-35.581793968899838</v>
      </c>
      <c r="M57" s="2">
        <f>J57*Assumptions!$E$46*-1</f>
        <v>-8.8274144088901974</v>
      </c>
      <c r="N57" s="5">
        <f t="shared" si="4"/>
        <v>264826.57033120189</v>
      </c>
      <c r="O57" s="88">
        <f>Assumptions!$D$30</f>
        <v>2756</v>
      </c>
      <c r="P57" s="23">
        <f>(Model_Renter[[#This Row],[Monthly Investment]]*-1)+Model_Renter[[#This Row],[Less Renter''s Insurance]]</f>
        <v>-1580.2757483343253</v>
      </c>
    </row>
    <row r="58" spans="1:16" x14ac:dyDescent="0.25">
      <c r="A58" s="17">
        <f t="shared" si="7"/>
        <v>56</v>
      </c>
      <c r="B58" s="17">
        <f t="shared" si="0"/>
        <v>5</v>
      </c>
      <c r="C58" s="23">
        <f>MAX(Model_30y!V58, Model_15y!V58)</f>
        <v>4778.5420305813695</v>
      </c>
      <c r="D58" s="2">
        <f>D46*(1+Assumptions!$D$52)</f>
        <v>-3192.0095929463828</v>
      </c>
      <c r="E58" s="2">
        <f>E46+(E46*Assumptions!$D$52)</f>
        <v>-26.638686733587363</v>
      </c>
      <c r="F58" s="22">
        <f t="shared" si="1"/>
        <v>1559.8937509013995</v>
      </c>
      <c r="G58" s="5">
        <f t="shared" si="5"/>
        <v>264826.57033120189</v>
      </c>
      <c r="H58" s="5">
        <f t="shared" si="3"/>
        <v>1559.8937509013995</v>
      </c>
      <c r="I58" s="3">
        <f>Assumptions!$E$45</f>
        <v>6.9899151946608562E-3</v>
      </c>
      <c r="J58" s="5">
        <f t="shared" si="6"/>
        <v>268237.57935001125</v>
      </c>
      <c r="K58" s="5">
        <f>J58*Assumptions!$E$43</f>
        <v>240.22700409936272</v>
      </c>
      <c r="L58" s="5">
        <f>K58*Assumptions!$D$44*-1</f>
        <v>-36.034050614904409</v>
      </c>
      <c r="M58" s="2">
        <f>J58*Assumptions!$E$46*-1</f>
        <v>-8.9396138341621914</v>
      </c>
      <c r="N58" s="5">
        <f t="shared" si="4"/>
        <v>268192.60568556219</v>
      </c>
      <c r="O58" s="88">
        <f>Assumptions!$D$30</f>
        <v>2756</v>
      </c>
      <c r="P58" s="23">
        <f>(Model_Renter[[#This Row],[Monthly Investment]]*-1)+Model_Renter[[#This Row],[Less Renter''s Insurance]]</f>
        <v>-1586.5324376349868</v>
      </c>
    </row>
    <row r="59" spans="1:16" x14ac:dyDescent="0.25">
      <c r="A59" s="17">
        <f t="shared" si="7"/>
        <v>57</v>
      </c>
      <c r="B59" s="17">
        <f t="shared" si="0"/>
        <v>5</v>
      </c>
      <c r="C59" s="23">
        <f>MAX(Model_30y!V59, Model_15y!V59)</f>
        <v>4784.8242104087185</v>
      </c>
      <c r="D59" s="2">
        <f>D47*(1+Assumptions!$D$52)</f>
        <v>-3192.0095929463828</v>
      </c>
      <c r="E59" s="2">
        <f>E47+(E47*Assumptions!$D$52)</f>
        <v>-26.638686733587363</v>
      </c>
      <c r="F59" s="22">
        <f t="shared" si="1"/>
        <v>1566.1759307287484</v>
      </c>
      <c r="G59" s="5">
        <f t="shared" si="5"/>
        <v>268192.60568556219</v>
      </c>
      <c r="H59" s="5">
        <f t="shared" si="3"/>
        <v>1566.1759307287484</v>
      </c>
      <c r="I59" s="3">
        <f>Assumptions!$E$45</f>
        <v>6.9899151946608562E-3</v>
      </c>
      <c r="J59" s="5">
        <f t="shared" si="6"/>
        <v>271633.42518586811</v>
      </c>
      <c r="K59" s="5">
        <f>J59*Assumptions!$E$43</f>
        <v>243.26824042988716</v>
      </c>
      <c r="L59" s="5">
        <f>K59*Assumptions!$D$44*-1</f>
        <v>-36.490236064483071</v>
      </c>
      <c r="M59" s="2">
        <f>J59*Assumptions!$E$46*-1</f>
        <v>-9.052787948268314</v>
      </c>
      <c r="N59" s="5">
        <f t="shared" si="4"/>
        <v>271587.88216185535</v>
      </c>
      <c r="O59" s="88">
        <f>Assumptions!$D$30</f>
        <v>2756</v>
      </c>
      <c r="P59" s="23">
        <f>(Model_Renter[[#This Row],[Monthly Investment]]*-1)+Model_Renter[[#This Row],[Less Renter''s Insurance]]</f>
        <v>-1592.8146174623357</v>
      </c>
    </row>
    <row r="60" spans="1:16" x14ac:dyDescent="0.25">
      <c r="A60" s="17">
        <f t="shared" si="7"/>
        <v>58</v>
      </c>
      <c r="B60" s="17">
        <f t="shared" si="0"/>
        <v>5</v>
      </c>
      <c r="C60" s="23">
        <f>MAX(Model_30y!V60, Model_15y!V60)</f>
        <v>4791.1319846143151</v>
      </c>
      <c r="D60" s="2">
        <f>D48*(1+Assumptions!$D$52)</f>
        <v>-3192.0095929463828</v>
      </c>
      <c r="E60" s="2">
        <f>E48+(E48*Assumptions!$D$52)</f>
        <v>-26.638686733587363</v>
      </c>
      <c r="F60" s="22">
        <f t="shared" si="1"/>
        <v>1572.483704934345</v>
      </c>
      <c r="G60" s="5">
        <f t="shared" si="5"/>
        <v>271587.88216185535</v>
      </c>
      <c r="H60" s="5">
        <f t="shared" si="3"/>
        <v>1572.483704934345</v>
      </c>
      <c r="I60" s="3">
        <f>Assumptions!$E$45</f>
        <v>6.9899151946608562E-3</v>
      </c>
      <c r="J60" s="5">
        <f t="shared" si="6"/>
        <v>275058.74213099864</v>
      </c>
      <c r="K60" s="5">
        <f>J60*Assumptions!$E$43</f>
        <v>246.33587036381891</v>
      </c>
      <c r="L60" s="5">
        <f>K60*Assumptions!$D$44*-1</f>
        <v>-36.950380554572838</v>
      </c>
      <c r="M60" s="2">
        <f>J60*Assumptions!$E$46*-1</f>
        <v>-9.1669442526283493</v>
      </c>
      <c r="N60" s="5">
        <f t="shared" si="4"/>
        <v>275012.62480619142</v>
      </c>
      <c r="O60" s="88">
        <f>Assumptions!$D$30</f>
        <v>2756</v>
      </c>
      <c r="P60" s="23">
        <f>(Model_Renter[[#This Row],[Monthly Investment]]*-1)+Model_Renter[[#This Row],[Less Renter''s Insurance]]</f>
        <v>-1599.1223916679323</v>
      </c>
    </row>
    <row r="61" spans="1:16" x14ac:dyDescent="0.25">
      <c r="A61" s="17">
        <f t="shared" si="7"/>
        <v>59</v>
      </c>
      <c r="B61" s="17">
        <f t="shared" si="0"/>
        <v>5</v>
      </c>
      <c r="C61" s="23">
        <f>MAX(Model_30y!V61, Model_15y!V61)</f>
        <v>4797.4654574728238</v>
      </c>
      <c r="D61" s="2">
        <f>D49*(1+Assumptions!$D$52)</f>
        <v>-3192.0095929463828</v>
      </c>
      <c r="E61" s="2">
        <f>E49+(E49*Assumptions!$D$52)</f>
        <v>-26.638686733587363</v>
      </c>
      <c r="F61" s="22">
        <f t="shared" si="1"/>
        <v>1578.8171777928537</v>
      </c>
      <c r="G61" s="5">
        <f t="shared" si="5"/>
        <v>275012.62480619142</v>
      </c>
      <c r="H61" s="5">
        <f t="shared" si="3"/>
        <v>1578.8171777928537</v>
      </c>
      <c r="I61" s="3">
        <f>Assumptions!$E$45</f>
        <v>6.9899151946608562E-3</v>
      </c>
      <c r="J61" s="5">
        <f t="shared" si="6"/>
        <v>278513.75690884062</v>
      </c>
      <c r="K61" s="5">
        <f>J61*Assumptions!$E$43</f>
        <v>249.43009694911399</v>
      </c>
      <c r="L61" s="5">
        <f>K61*Assumptions!$D$44*-1</f>
        <v>-37.414514542367094</v>
      </c>
      <c r="M61" s="2">
        <f>J61*Assumptions!$E$46*-1</f>
        <v>-9.2820903033050453</v>
      </c>
      <c r="N61" s="5">
        <f t="shared" si="4"/>
        <v>278467.06030399492</v>
      </c>
      <c r="O61" s="88">
        <f>Assumptions!$D$30</f>
        <v>2756</v>
      </c>
      <c r="P61" s="23">
        <f>(Model_Renter[[#This Row],[Monthly Investment]]*-1)+Model_Renter[[#This Row],[Less Renter''s Insurance]]</f>
        <v>-1605.455864526441</v>
      </c>
    </row>
    <row r="62" spans="1:16" x14ac:dyDescent="0.25">
      <c r="A62" s="17">
        <f t="shared" si="7"/>
        <v>60</v>
      </c>
      <c r="B62" s="17">
        <f t="shared" si="0"/>
        <v>5</v>
      </c>
      <c r="C62" s="23">
        <f>MAX(Model_30y!V62, Model_15y!V62)</f>
        <v>4803.8247336837394</v>
      </c>
      <c r="D62" s="2">
        <f>D50*(1+Assumptions!$D$52)</f>
        <v>-3192.0095929463828</v>
      </c>
      <c r="E62" s="2">
        <f>E50+(E50*Assumptions!$D$52)</f>
        <v>-26.638686733587363</v>
      </c>
      <c r="F62" s="22">
        <f t="shared" si="1"/>
        <v>1585.1764540037693</v>
      </c>
      <c r="G62" s="5">
        <f t="shared" si="5"/>
        <v>278467.06030399492</v>
      </c>
      <c r="H62" s="5">
        <f t="shared" si="3"/>
        <v>1585.1764540037693</v>
      </c>
      <c r="I62" s="3">
        <f>Assumptions!$E$45</f>
        <v>6.9899151946608562E-3</v>
      </c>
      <c r="J62" s="5">
        <f t="shared" si="6"/>
        <v>281998.69789403013</v>
      </c>
      <c r="K62" s="5">
        <f>J62*Assumptions!$E$43</f>
        <v>252.55112471250118</v>
      </c>
      <c r="L62" s="5">
        <f>K62*Assumptions!$D$44*-1</f>
        <v>-37.882668706875172</v>
      </c>
      <c r="M62" s="2">
        <f>J62*Assumptions!$E$46*-1</f>
        <v>-9.3982337113910077</v>
      </c>
      <c r="N62" s="5">
        <f t="shared" si="4"/>
        <v>281951.41699161188</v>
      </c>
      <c r="O62" s="88">
        <f>Assumptions!$D$30</f>
        <v>2756</v>
      </c>
      <c r="P62" s="23">
        <f>(Model_Renter[[#This Row],[Monthly Investment]]*-1)+Model_Renter[[#This Row],[Less Renter''s Insurance]]</f>
        <v>-1611.8151407373566</v>
      </c>
    </row>
    <row r="63" spans="1:16" x14ac:dyDescent="0.25">
      <c r="A63" s="17">
        <f t="shared" si="7"/>
        <v>61</v>
      </c>
      <c r="B63" s="17">
        <f t="shared" si="0"/>
        <v>6</v>
      </c>
      <c r="C63" s="23">
        <f>MAX(Model_30y!V63, Model_15y!V63)</f>
        <v>4829.9568303262377</v>
      </c>
      <c r="D63" s="2">
        <f>D51*(1+Assumptions!$D$52)</f>
        <v>-3311.390751722578</v>
      </c>
      <c r="E63" s="2">
        <f>E51+(E51*Assumptions!$D$52)</f>
        <v>-27.63497361742353</v>
      </c>
      <c r="F63" s="22">
        <f t="shared" si="1"/>
        <v>1490.9311049862361</v>
      </c>
      <c r="G63" s="5">
        <f t="shared" si="5"/>
        <v>281951.41699161188</v>
      </c>
      <c r="H63" s="5">
        <f t="shared" si="3"/>
        <v>1490.9311049862361</v>
      </c>
      <c r="I63" s="3">
        <f>Assumptions!$E$45</f>
        <v>6.9899151946608562E-3</v>
      </c>
      <c r="J63" s="5">
        <f t="shared" si="6"/>
        <v>285413.16459038394</v>
      </c>
      <c r="K63" s="5">
        <f>J63*Assumptions!$E$43</f>
        <v>255.6090374294655</v>
      </c>
      <c r="L63" s="5">
        <f>K63*Assumptions!$D$44*-1</f>
        <v>-38.341355614419825</v>
      </c>
      <c r="M63" s="2">
        <f>J63*Assumptions!$E$46*-1</f>
        <v>-9.5120284070819547</v>
      </c>
      <c r="N63" s="5">
        <f t="shared" si="4"/>
        <v>285365.31120636244</v>
      </c>
      <c r="O63" s="88">
        <f>Assumptions!$D$30</f>
        <v>2756</v>
      </c>
      <c r="P63" s="23">
        <f>(Model_Renter[[#This Row],[Monthly Investment]]*-1)+Model_Renter[[#This Row],[Less Renter''s Insurance]]</f>
        <v>-1518.5660786036597</v>
      </c>
    </row>
    <row r="64" spans="1:16" x14ac:dyDescent="0.25">
      <c r="A64" s="17">
        <f t="shared" si="7"/>
        <v>62</v>
      </c>
      <c r="B64" s="17">
        <f t="shared" si="0"/>
        <v>6</v>
      </c>
      <c r="C64" s="23">
        <f>MAX(Model_30y!V64, Model_15y!V64)</f>
        <v>4836.3680290484162</v>
      </c>
      <c r="D64" s="2">
        <f>D52*(1+Assumptions!$D$52)</f>
        <v>-3311.390751722578</v>
      </c>
      <c r="E64" s="2">
        <f>E52+(E52*Assumptions!$D$52)</f>
        <v>-27.63497361742353</v>
      </c>
      <c r="F64" s="22">
        <f t="shared" si="1"/>
        <v>1497.3423037084146</v>
      </c>
      <c r="G64" s="5">
        <f t="shared" si="5"/>
        <v>285365.31120636244</v>
      </c>
      <c r="H64" s="5">
        <f t="shared" si="3"/>
        <v>1497.3423037084146</v>
      </c>
      <c r="I64" s="3">
        <f>Assumptions!$E$45</f>
        <v>6.9899151946608562E-3</v>
      </c>
      <c r="J64" s="5">
        <f t="shared" si="6"/>
        <v>288857.33283490135</v>
      </c>
      <c r="K64" s="5">
        <f>J64*Assumptions!$E$43</f>
        <v>258.69355012526108</v>
      </c>
      <c r="L64" s="5">
        <f>K64*Assumptions!$D$44*-1</f>
        <v>-38.804032518789164</v>
      </c>
      <c r="M64" s="2">
        <f>J64*Assumptions!$E$46*-1</f>
        <v>-9.6268129729152676</v>
      </c>
      <c r="N64" s="5">
        <f t="shared" si="4"/>
        <v>288808.90198940964</v>
      </c>
      <c r="O64" s="88">
        <f>Assumptions!$D$30</f>
        <v>2756</v>
      </c>
      <c r="P64" s="23">
        <f>(Model_Renter[[#This Row],[Monthly Investment]]*-1)+Model_Renter[[#This Row],[Less Renter''s Insurance]]</f>
        <v>-1524.9772773258383</v>
      </c>
    </row>
    <row r="65" spans="1:16" x14ac:dyDescent="0.25">
      <c r="A65" s="17">
        <f t="shared" si="7"/>
        <v>63</v>
      </c>
      <c r="B65" s="17">
        <f t="shared" si="0"/>
        <v>6</v>
      </c>
      <c r="C65" s="23">
        <f>MAX(Model_30y!V65, Model_15y!V65)</f>
        <v>4842.8053477877911</v>
      </c>
      <c r="D65" s="2">
        <f>D53*(1+Assumptions!$D$52)</f>
        <v>-3311.390751722578</v>
      </c>
      <c r="E65" s="2">
        <f>E53+(E53*Assumptions!$D$52)</f>
        <v>-27.63497361742353</v>
      </c>
      <c r="F65" s="22">
        <f t="shared" si="1"/>
        <v>1503.7796224477895</v>
      </c>
      <c r="G65" s="5">
        <f t="shared" si="5"/>
        <v>288808.90198940964</v>
      </c>
      <c r="H65" s="5">
        <f t="shared" si="3"/>
        <v>1503.7796224477895</v>
      </c>
      <c r="I65" s="3">
        <f>Assumptions!$E$45</f>
        <v>6.9899151946608562E-3</v>
      </c>
      <c r="J65" s="5">
        <f t="shared" si="6"/>
        <v>292331.43134422653</v>
      </c>
      <c r="K65" s="5">
        <f>J65*Assumptions!$E$43</f>
        <v>261.80486763291071</v>
      </c>
      <c r="L65" s="5">
        <f>K65*Assumptions!$D$44*-1</f>
        <v>-39.270730144936607</v>
      </c>
      <c r="M65" s="2">
        <f>J65*Assumptions!$E$46*-1</f>
        <v>-9.7425950313817307</v>
      </c>
      <c r="N65" s="5">
        <f t="shared" si="4"/>
        <v>292282.41801905021</v>
      </c>
      <c r="O65" s="88">
        <f>Assumptions!$D$30</f>
        <v>2756</v>
      </c>
      <c r="P65" s="23">
        <f>(Model_Renter[[#This Row],[Monthly Investment]]*-1)+Model_Renter[[#This Row],[Less Renter''s Insurance]]</f>
        <v>-1531.4145960652131</v>
      </c>
    </row>
    <row r="66" spans="1:16" x14ac:dyDescent="0.25">
      <c r="A66" s="17">
        <f t="shared" si="7"/>
        <v>64</v>
      </c>
      <c r="B66" s="17">
        <f t="shared" si="0"/>
        <v>6</v>
      </c>
      <c r="C66" s="23">
        <f>MAX(Model_30y!V66, Model_15y!V66)</f>
        <v>4849.2688929605447</v>
      </c>
      <c r="D66" s="2">
        <f>D54*(1+Assumptions!$D$52)</f>
        <v>-3311.390751722578</v>
      </c>
      <c r="E66" s="2">
        <f>E54+(E54*Assumptions!$D$52)</f>
        <v>-27.63497361742353</v>
      </c>
      <c r="F66" s="22">
        <f t="shared" si="1"/>
        <v>1510.2431676205431</v>
      </c>
      <c r="G66" s="5">
        <f t="shared" si="5"/>
        <v>292282.41801905021</v>
      </c>
      <c r="H66" s="5">
        <f t="shared" si="3"/>
        <v>1510.2431676205431</v>
      </c>
      <c r="I66" s="3">
        <f>Assumptions!$E$45</f>
        <v>6.9899151946608562E-3</v>
      </c>
      <c r="J66" s="5">
        <f t="shared" si="6"/>
        <v>295835.69050151436</v>
      </c>
      <c r="K66" s="5">
        <f>J66*Assumptions!$E$43</f>
        <v>264.94319627792339</v>
      </c>
      <c r="L66" s="5">
        <f>K66*Assumptions!$D$44*-1</f>
        <v>-39.741479441688504</v>
      </c>
      <c r="M66" s="2">
        <f>J66*Assumptions!$E$46*-1</f>
        <v>-9.8593822605123034</v>
      </c>
      <c r="N66" s="5">
        <f t="shared" si="4"/>
        <v>295786.08963981218</v>
      </c>
      <c r="O66" s="88">
        <f>Assumptions!$D$30</f>
        <v>2756</v>
      </c>
      <c r="P66" s="23">
        <f>(Model_Renter[[#This Row],[Monthly Investment]]*-1)+Model_Renter[[#This Row],[Less Renter''s Insurance]]</f>
        <v>-1537.8781412379667</v>
      </c>
    </row>
    <row r="67" spans="1:16" x14ac:dyDescent="0.25">
      <c r="A67" s="17">
        <f t="shared" si="7"/>
        <v>65</v>
      </c>
      <c r="B67" s="17">
        <f t="shared" ref="B67:B130" si="8">ROUNDUP(A67/12, 0)</f>
        <v>6</v>
      </c>
      <c r="C67" s="23">
        <f>MAX(Model_30y!V67, Model_15y!V67)</f>
        <v>4855.7587714164138</v>
      </c>
      <c r="D67" s="2">
        <f>D55*(1+Assumptions!$D$52)</f>
        <v>-3311.390751722578</v>
      </c>
      <c r="E67" s="2">
        <f>E55+(E55*Assumptions!$D$52)</f>
        <v>-27.63497361742353</v>
      </c>
      <c r="F67" s="22">
        <f t="shared" ref="F67:F130" si="9">SUM(C67:E67)</f>
        <v>1516.7330460764122</v>
      </c>
      <c r="G67" s="5">
        <f t="shared" si="5"/>
        <v>295786.08963981218</v>
      </c>
      <c r="H67" s="5">
        <f t="shared" si="3"/>
        <v>1516.7330460764122</v>
      </c>
      <c r="I67" s="3">
        <f>Assumptions!$E$45</f>
        <v>6.9899151946608562E-3</v>
      </c>
      <c r="J67" s="5">
        <f t="shared" si="6"/>
        <v>299370.34236823127</v>
      </c>
      <c r="K67" s="5">
        <f>J67*Assumptions!$E$43</f>
        <v>268.10874388886293</v>
      </c>
      <c r="L67" s="5">
        <f>K67*Assumptions!$D$44*-1</f>
        <v>-40.216311583329436</v>
      </c>
      <c r="M67" s="2">
        <f>J67*Assumptions!$E$46*-1</f>
        <v>-9.9771823942714075</v>
      </c>
      <c r="N67" s="5">
        <f t="shared" si="4"/>
        <v>299320.14887425367</v>
      </c>
      <c r="O67" s="88">
        <f>Assumptions!$D$30</f>
        <v>2756</v>
      </c>
      <c r="P67" s="23">
        <f>(Model_Renter[[#This Row],[Monthly Investment]]*-1)+Model_Renter[[#This Row],[Less Renter''s Insurance]]</f>
        <v>-1544.3680196938358</v>
      </c>
    </row>
    <row r="68" spans="1:16" x14ac:dyDescent="0.25">
      <c r="A68" s="17">
        <f t="shared" si="7"/>
        <v>66</v>
      </c>
      <c r="B68" s="17">
        <f t="shared" si="8"/>
        <v>6</v>
      </c>
      <c r="C68" s="23">
        <f>MAX(Model_30y!V68, Model_15y!V68)</f>
        <v>4862.2750904404529</v>
      </c>
      <c r="D68" s="2">
        <f>D56*(1+Assumptions!$D$52)</f>
        <v>-3311.390751722578</v>
      </c>
      <c r="E68" s="2">
        <f>E56+(E56*Assumptions!$D$52)</f>
        <v>-27.63497361742353</v>
      </c>
      <c r="F68" s="22">
        <f t="shared" si="9"/>
        <v>1523.2493651004513</v>
      </c>
      <c r="G68" s="5">
        <f t="shared" ref="G68:G131" si="10">N67</f>
        <v>299320.14887425367</v>
      </c>
      <c r="H68" s="5">
        <f t="shared" ref="H68:H131" si="11">F68</f>
        <v>1523.2493651004513</v>
      </c>
      <c r="I68" s="3">
        <f>Assumptions!$E$45</f>
        <v>6.9899151946608562E-3</v>
      </c>
      <c r="J68" s="5">
        <f t="shared" ref="J68:J131" si="12">(G68+H68)+(G68*I68)</f>
        <v>302935.62069603842</v>
      </c>
      <c r="K68" s="5">
        <f>J68*Assumptions!$E$43</f>
        <v>271.30171980798991</v>
      </c>
      <c r="L68" s="5">
        <f>K68*Assumptions!$D$44*-1</f>
        <v>-40.695257971198487</v>
      </c>
      <c r="M68" s="2">
        <f>J68*Assumptions!$E$46*-1</f>
        <v>-10.096003222952966</v>
      </c>
      <c r="N68" s="5">
        <f t="shared" ref="N68:N131" si="13">J68+SUM(L68:M68)</f>
        <v>302884.82943484426</v>
      </c>
      <c r="O68" s="88">
        <f>Assumptions!$D$30</f>
        <v>2756</v>
      </c>
      <c r="P68" s="23">
        <f>(Model_Renter[[#This Row],[Monthly Investment]]*-1)+Model_Renter[[#This Row],[Less Renter''s Insurance]]</f>
        <v>-1550.8843387178749</v>
      </c>
    </row>
    <row r="69" spans="1:16" x14ac:dyDescent="0.25">
      <c r="A69" s="17">
        <f t="shared" si="7"/>
        <v>67</v>
      </c>
      <c r="B69" s="17">
        <f t="shared" si="8"/>
        <v>6</v>
      </c>
      <c r="C69" s="23">
        <f>MAX(Model_30y!V69, Model_15y!V69)</f>
        <v>4868.817957754809</v>
      </c>
      <c r="D69" s="2">
        <f>D57*(1+Assumptions!$D$52)</f>
        <v>-3311.390751722578</v>
      </c>
      <c r="E69" s="2">
        <f>E57+(E57*Assumptions!$D$52)</f>
        <v>-27.63497361742353</v>
      </c>
      <c r="F69" s="22">
        <f t="shared" si="9"/>
        <v>1529.7922324148074</v>
      </c>
      <c r="G69" s="5">
        <f t="shared" si="10"/>
        <v>302884.82943484426</v>
      </c>
      <c r="H69" s="5">
        <f t="shared" si="11"/>
        <v>1529.7922324148074</v>
      </c>
      <c r="I69" s="3">
        <f>Assumptions!$E$45</f>
        <v>6.9899151946608562E-3</v>
      </c>
      <c r="J69" s="5">
        <f t="shared" si="12"/>
        <v>306531.76093875797</v>
      </c>
      <c r="K69" s="5">
        <f>J69*Assumptions!$E$43</f>
        <v>274.52233490197875</v>
      </c>
      <c r="L69" s="5">
        <f>K69*Assumptions!$D$44*-1</f>
        <v>-41.178350235296811</v>
      </c>
      <c r="M69" s="2">
        <f>J69*Assumptions!$E$46*-1</f>
        <v>-10.215852593579198</v>
      </c>
      <c r="N69" s="5">
        <f t="shared" si="13"/>
        <v>306480.3667359291</v>
      </c>
      <c r="O69" s="88">
        <f>Assumptions!$D$30</f>
        <v>2756</v>
      </c>
      <c r="P69" s="23">
        <f>(Model_Renter[[#This Row],[Monthly Investment]]*-1)+Model_Renter[[#This Row],[Less Renter''s Insurance]]</f>
        <v>-1557.427206032231</v>
      </c>
    </row>
    <row r="70" spans="1:16" x14ac:dyDescent="0.25">
      <c r="A70" s="17">
        <f t="shared" si="7"/>
        <v>68</v>
      </c>
      <c r="B70" s="17">
        <f t="shared" si="8"/>
        <v>6</v>
      </c>
      <c r="C70" s="23">
        <f>MAX(Model_30y!V70, Model_15y!V70)</f>
        <v>4875.3874815205036</v>
      </c>
      <c r="D70" s="2">
        <f>D58*(1+Assumptions!$D$52)</f>
        <v>-3311.390751722578</v>
      </c>
      <c r="E70" s="2">
        <f>E58+(E58*Assumptions!$D$52)</f>
        <v>-27.63497361742353</v>
      </c>
      <c r="F70" s="22">
        <f t="shared" si="9"/>
        <v>1536.361756180502</v>
      </c>
      <c r="G70" s="5">
        <f t="shared" si="10"/>
        <v>306480.3667359291</v>
      </c>
      <c r="H70" s="5">
        <f t="shared" si="11"/>
        <v>1536.361756180502</v>
      </c>
      <c r="I70" s="3">
        <f>Assumptions!$E$45</f>
        <v>6.9899151946608562E-3</v>
      </c>
      <c r="J70" s="5">
        <f t="shared" si="12"/>
        <v>310159.00026442233</v>
      </c>
      <c r="K70" s="5">
        <f>J70*Assumptions!$E$43</f>
        <v>277.77080157270848</v>
      </c>
      <c r="L70" s="5">
        <f>K70*Assumptions!$D$44*-1</f>
        <v>-41.665620235906268</v>
      </c>
      <c r="M70" s="2">
        <f>J70*Assumptions!$E$46*-1</f>
        <v>-10.336738410302196</v>
      </c>
      <c r="N70" s="5">
        <f t="shared" si="13"/>
        <v>310106.99790577614</v>
      </c>
      <c r="O70" s="88">
        <f>Assumptions!$D$30</f>
        <v>2756</v>
      </c>
      <c r="P70" s="23">
        <f>(Model_Renter[[#This Row],[Monthly Investment]]*-1)+Model_Renter[[#This Row],[Less Renter''s Insurance]]</f>
        <v>-1563.9967297979256</v>
      </c>
    </row>
    <row r="71" spans="1:16" x14ac:dyDescent="0.25">
      <c r="A71" s="17">
        <f t="shared" si="7"/>
        <v>69</v>
      </c>
      <c r="B71" s="17">
        <f t="shared" si="8"/>
        <v>6</v>
      </c>
      <c r="C71" s="23">
        <f>MAX(Model_30y!V71, Model_15y!V71)</f>
        <v>4881.9837703392204</v>
      </c>
      <c r="D71" s="2">
        <f>D59*(1+Assumptions!$D$52)</f>
        <v>-3311.390751722578</v>
      </c>
      <c r="E71" s="2">
        <f>E59+(E59*Assumptions!$D$52)</f>
        <v>-27.63497361742353</v>
      </c>
      <c r="F71" s="22">
        <f t="shared" si="9"/>
        <v>1542.9580449992188</v>
      </c>
      <c r="G71" s="5">
        <f t="shared" si="10"/>
        <v>310106.99790577614</v>
      </c>
      <c r="H71" s="5">
        <f t="shared" si="11"/>
        <v>1542.9580449992188</v>
      </c>
      <c r="I71" s="3">
        <f>Assumptions!$E$45</f>
        <v>6.9899151946608562E-3</v>
      </c>
      <c r="J71" s="5">
        <f t="shared" si="12"/>
        <v>313817.57756740763</v>
      </c>
      <c r="K71" s="5">
        <f>J71*Assumptions!$E$43</f>
        <v>281.04733376812942</v>
      </c>
      <c r="L71" s="5">
        <f>K71*Assumptions!$D$44*-1</f>
        <v>-42.15710006521941</v>
      </c>
      <c r="M71" s="2">
        <f>J71*Assumptions!$E$46*-1</f>
        <v>-10.458668634808296</v>
      </c>
      <c r="N71" s="5">
        <f t="shared" si="13"/>
        <v>313764.96179870761</v>
      </c>
      <c r="O71" s="88">
        <f>Assumptions!$D$30</f>
        <v>2756</v>
      </c>
      <c r="P71" s="23">
        <f>(Model_Renter[[#This Row],[Monthly Investment]]*-1)+Model_Renter[[#This Row],[Less Renter''s Insurance]]</f>
        <v>-1570.5930186166424</v>
      </c>
    </row>
    <row r="72" spans="1:16" x14ac:dyDescent="0.25">
      <c r="A72" s="17">
        <f t="shared" si="7"/>
        <v>70</v>
      </c>
      <c r="B72" s="17">
        <f t="shared" si="8"/>
        <v>6</v>
      </c>
      <c r="C72" s="23">
        <f>MAX(Model_30y!V72, Model_15y!V72)</f>
        <v>4888.6069332550969</v>
      </c>
      <c r="D72" s="2">
        <f>D60*(1+Assumptions!$D$52)</f>
        <v>-3311.390751722578</v>
      </c>
      <c r="E72" s="2">
        <f>E60+(E60*Assumptions!$D$52)</f>
        <v>-27.63497361742353</v>
      </c>
      <c r="F72" s="22">
        <f t="shared" si="9"/>
        <v>1549.5812079150953</v>
      </c>
      <c r="G72" s="5">
        <f t="shared" si="10"/>
        <v>313764.96179870761</v>
      </c>
      <c r="H72" s="5">
        <f t="shared" si="11"/>
        <v>1549.5812079150953</v>
      </c>
      <c r="I72" s="3">
        <f>Assumptions!$E$45</f>
        <v>6.9899151946608562E-3</v>
      </c>
      <c r="J72" s="5">
        <f t="shared" si="12"/>
        <v>317507.73348065169</v>
      </c>
      <c r="K72" s="5">
        <f>J72*Assumptions!$E$43</f>
        <v>284.35214699320494</v>
      </c>
      <c r="L72" s="5">
        <f>K72*Assumptions!$D$44*-1</f>
        <v>-42.652822048980738</v>
      </c>
      <c r="M72" s="2">
        <f>J72*Assumptions!$E$46*-1</f>
        <v>-10.581651286725261</v>
      </c>
      <c r="N72" s="5">
        <f t="shared" si="13"/>
        <v>317454.49900731596</v>
      </c>
      <c r="O72" s="88">
        <f>Assumptions!$D$30</f>
        <v>2756</v>
      </c>
      <c r="P72" s="23">
        <f>(Model_Renter[[#This Row],[Monthly Investment]]*-1)+Model_Renter[[#This Row],[Less Renter''s Insurance]]</f>
        <v>-1577.2161815325189</v>
      </c>
    </row>
    <row r="73" spans="1:16" x14ac:dyDescent="0.25">
      <c r="A73" s="17">
        <f t="shared" si="7"/>
        <v>71</v>
      </c>
      <c r="B73" s="17">
        <f t="shared" si="8"/>
        <v>6</v>
      </c>
      <c r="C73" s="23">
        <f>MAX(Model_30y!V73, Model_15y!V73)</f>
        <v>4895.2570797565313</v>
      </c>
      <c r="D73" s="2">
        <f>D61*(1+Assumptions!$D$52)</f>
        <v>-3311.390751722578</v>
      </c>
      <c r="E73" s="2">
        <f>E61+(E61*Assumptions!$D$52)</f>
        <v>-27.63497361742353</v>
      </c>
      <c r="F73" s="22">
        <f t="shared" si="9"/>
        <v>1556.2313544165297</v>
      </c>
      <c r="G73" s="5">
        <f t="shared" si="10"/>
        <v>317454.49900731596</v>
      </c>
      <c r="H73" s="5">
        <f t="shared" si="11"/>
        <v>1556.2313544165297</v>
      </c>
      <c r="I73" s="3">
        <f>Assumptions!$E$45</f>
        <v>6.9899151946608562E-3</v>
      </c>
      <c r="J73" s="5">
        <f t="shared" si="12"/>
        <v>321229.71038795717</v>
      </c>
      <c r="K73" s="5">
        <f>J73*Assumptions!$E$43</f>
        <v>287.68545832093025</v>
      </c>
      <c r="L73" s="5">
        <f>K73*Assumptions!$D$44*-1</f>
        <v>-43.152818748139538</v>
      </c>
      <c r="M73" s="2">
        <f>J73*Assumptions!$E$46*-1</f>
        <v>-10.705694444032329</v>
      </c>
      <c r="N73" s="5">
        <f t="shared" si="13"/>
        <v>321175.85187476501</v>
      </c>
      <c r="O73" s="88">
        <f>Assumptions!$D$30</f>
        <v>2756</v>
      </c>
      <c r="P73" s="23">
        <f>(Model_Renter[[#This Row],[Monthly Investment]]*-1)+Model_Renter[[#This Row],[Less Renter''s Insurance]]</f>
        <v>-1583.8663280339533</v>
      </c>
    </row>
    <row r="74" spans="1:16" x14ac:dyDescent="0.25">
      <c r="A74" s="17">
        <f t="shared" si="7"/>
        <v>72</v>
      </c>
      <c r="B74" s="17">
        <f t="shared" si="8"/>
        <v>6</v>
      </c>
      <c r="C74" s="23">
        <f>MAX(Model_30y!V74, Model_15y!V74)</f>
        <v>4901.9343197779926</v>
      </c>
      <c r="D74" s="2">
        <f>D62*(1+Assumptions!$D$52)</f>
        <v>-3311.390751722578</v>
      </c>
      <c r="E74" s="2">
        <f>E62+(E62*Assumptions!$D$52)</f>
        <v>-27.63497361742353</v>
      </c>
      <c r="F74" s="22">
        <f t="shared" si="9"/>
        <v>1562.908594437991</v>
      </c>
      <c r="G74" s="5">
        <f t="shared" si="10"/>
        <v>321175.85187476501</v>
      </c>
      <c r="H74" s="5">
        <f t="shared" si="11"/>
        <v>1562.908594437991</v>
      </c>
      <c r="I74" s="3">
        <f>Assumptions!$E$45</f>
        <v>6.9899151946608562E-3</v>
      </c>
      <c r="J74" s="5">
        <f t="shared" si="12"/>
        <v>324983.75243638054</v>
      </c>
      <c r="K74" s="5">
        <f>J74*Assumptions!$E$43</f>
        <v>291.04748640342734</v>
      </c>
      <c r="L74" s="5">
        <f>K74*Assumptions!$D$44*-1</f>
        <v>-43.657122960514101</v>
      </c>
      <c r="M74" s="2">
        <f>J74*Assumptions!$E$46*-1</f>
        <v>-10.830806243473083</v>
      </c>
      <c r="N74" s="5">
        <f t="shared" si="13"/>
        <v>324929.26450717653</v>
      </c>
      <c r="O74" s="88">
        <f>Assumptions!$D$30</f>
        <v>2756</v>
      </c>
      <c r="P74" s="23">
        <f>(Model_Renter[[#This Row],[Monthly Investment]]*-1)+Model_Renter[[#This Row],[Less Renter''s Insurance]]</f>
        <v>-1590.5435680554147</v>
      </c>
    </row>
    <row r="75" spans="1:16" x14ac:dyDescent="0.25">
      <c r="A75" s="17">
        <f t="shared" si="7"/>
        <v>73</v>
      </c>
      <c r="B75" s="17">
        <f t="shared" si="8"/>
        <v>7</v>
      </c>
      <c r="C75" s="23">
        <f>MAX(Model_30y!V75, Model_15y!V75)</f>
        <v>4929.3730212526152</v>
      </c>
      <c r="D75" s="2">
        <f>D63*(1+Assumptions!$D$52)</f>
        <v>-3435.2367658370026</v>
      </c>
      <c r="E75" s="2">
        <f>E63+(E63*Assumptions!$D$52)</f>
        <v>-28.668521630715169</v>
      </c>
      <c r="F75" s="22">
        <f t="shared" si="9"/>
        <v>1465.4677337848975</v>
      </c>
      <c r="G75" s="5">
        <f t="shared" si="10"/>
        <v>324929.26450717653</v>
      </c>
      <c r="H75" s="5">
        <f t="shared" si="11"/>
        <v>1465.4677337848975</v>
      </c>
      <c r="I75" s="3">
        <f>Assumptions!$E$45</f>
        <v>6.9899151946608562E-3</v>
      </c>
      <c r="J75" s="5">
        <f t="shared" si="12"/>
        <v>328665.96024413011</v>
      </c>
      <c r="K75" s="5">
        <f>J75*Assumptions!$E$43</f>
        <v>294.34518149995495</v>
      </c>
      <c r="L75" s="5">
        <f>K75*Assumptions!$D$44*-1</f>
        <v>-44.151777224993239</v>
      </c>
      <c r="M75" s="2">
        <f>J75*Assumptions!$E$46*-1</f>
        <v>-10.953524007099579</v>
      </c>
      <c r="N75" s="5">
        <f t="shared" si="13"/>
        <v>328610.85494289803</v>
      </c>
      <c r="O75" s="88">
        <f>Assumptions!$D$30</f>
        <v>2756</v>
      </c>
      <c r="P75" s="23">
        <f>(Model_Renter[[#This Row],[Monthly Investment]]*-1)+Model_Renter[[#This Row],[Less Renter''s Insurance]]</f>
        <v>-1494.1362554156126</v>
      </c>
    </row>
    <row r="76" spans="1:16" x14ac:dyDescent="0.25">
      <c r="A76" s="17">
        <f t="shared" si="7"/>
        <v>74</v>
      </c>
      <c r="B76" s="17">
        <f t="shared" si="8"/>
        <v>7</v>
      </c>
      <c r="C76" s="23">
        <f>MAX(Model_30y!V76, Model_15y!V76)</f>
        <v>4936.1047799109037</v>
      </c>
      <c r="D76" s="2">
        <f>D64*(1+Assumptions!$D$52)</f>
        <v>-3435.2367658370026</v>
      </c>
      <c r="E76" s="2">
        <f>E64+(E64*Assumptions!$D$52)</f>
        <v>-28.668521630715169</v>
      </c>
      <c r="F76" s="22">
        <f t="shared" si="9"/>
        <v>1472.199492443186</v>
      </c>
      <c r="G76" s="5">
        <f t="shared" si="10"/>
        <v>328610.85494289803</v>
      </c>
      <c r="H76" s="5">
        <f t="shared" si="11"/>
        <v>1472.199492443186</v>
      </c>
      <c r="I76" s="3">
        <f>Assumptions!$E$45</f>
        <v>6.9899151946608562E-3</v>
      </c>
      <c r="J76" s="5">
        <f t="shared" si="12"/>
        <v>332380.01644343708</v>
      </c>
      <c r="K76" s="5">
        <f>J76*Assumptions!$E$43</f>
        <v>297.67139923565844</v>
      </c>
      <c r="L76" s="5">
        <f>K76*Assumptions!$D$44*-1</f>
        <v>-44.650709885348768</v>
      </c>
      <c r="M76" s="2">
        <f>J76*Assumptions!$E$46*-1</f>
        <v>-11.077303189198656</v>
      </c>
      <c r="N76" s="5">
        <f t="shared" si="13"/>
        <v>332324.28843036253</v>
      </c>
      <c r="O76" s="88">
        <f>Assumptions!$D$30</f>
        <v>2756</v>
      </c>
      <c r="P76" s="23">
        <f>(Model_Renter[[#This Row],[Monthly Investment]]*-1)+Model_Renter[[#This Row],[Less Renter''s Insurance]]</f>
        <v>-1500.8680140739011</v>
      </c>
    </row>
    <row r="77" spans="1:16" x14ac:dyDescent="0.25">
      <c r="A77" s="17">
        <f t="shared" si="7"/>
        <v>75</v>
      </c>
      <c r="B77" s="17">
        <f t="shared" si="8"/>
        <v>7</v>
      </c>
      <c r="C77" s="23">
        <f>MAX(Model_30y!V77, Model_15y!V77)</f>
        <v>4942.8639645872472</v>
      </c>
      <c r="D77" s="2">
        <f>D65*(1+Assumptions!$D$52)</f>
        <v>-3435.2367658370026</v>
      </c>
      <c r="E77" s="2">
        <f>E65+(E65*Assumptions!$D$52)</f>
        <v>-28.668521630715169</v>
      </c>
      <c r="F77" s="22">
        <f t="shared" si="9"/>
        <v>1478.9586771195295</v>
      </c>
      <c r="G77" s="5">
        <f t="shared" si="10"/>
        <v>332324.28843036253</v>
      </c>
      <c r="H77" s="5">
        <f t="shared" si="11"/>
        <v>1478.9586771195295</v>
      </c>
      <c r="I77" s="3">
        <f>Assumptions!$E$45</f>
        <v>6.9899151946608562E-3</v>
      </c>
      <c r="J77" s="5">
        <f t="shared" si="12"/>
        <v>336126.16570073628</v>
      </c>
      <c r="K77" s="5">
        <f>J77*Assumptions!$E$43</f>
        <v>301.0263587278024</v>
      </c>
      <c r="L77" s="5">
        <f>K77*Assumptions!$D$44*-1</f>
        <v>-45.153953809170361</v>
      </c>
      <c r="M77" s="2">
        <f>J77*Assumptions!$E$46*-1</f>
        <v>-11.202151943823338</v>
      </c>
      <c r="N77" s="5">
        <f t="shared" si="13"/>
        <v>336069.80959498329</v>
      </c>
      <c r="O77" s="88">
        <f>Assumptions!$D$30</f>
        <v>2756</v>
      </c>
      <c r="P77" s="23">
        <f>(Model_Renter[[#This Row],[Monthly Investment]]*-1)+Model_Renter[[#This Row],[Less Renter''s Insurance]]</f>
        <v>-1507.6271987502446</v>
      </c>
    </row>
    <row r="78" spans="1:16" x14ac:dyDescent="0.25">
      <c r="A78" s="17">
        <f t="shared" si="7"/>
        <v>76</v>
      </c>
      <c r="B78" s="17">
        <f t="shared" si="8"/>
        <v>7</v>
      </c>
      <c r="C78" s="23">
        <f>MAX(Model_30y!V78, Model_15y!V78)</f>
        <v>4949.6506870186386</v>
      </c>
      <c r="D78" s="2">
        <f>D66*(1+Assumptions!$D$52)</f>
        <v>-3435.2367658370026</v>
      </c>
      <c r="E78" s="2">
        <f>E66+(E66*Assumptions!$D$52)</f>
        <v>-28.668521630715169</v>
      </c>
      <c r="F78" s="22">
        <f t="shared" si="9"/>
        <v>1485.7453995509209</v>
      </c>
      <c r="G78" s="5">
        <f t="shared" si="10"/>
        <v>336069.80959498329</v>
      </c>
      <c r="H78" s="5">
        <f t="shared" si="11"/>
        <v>1485.7453995509209</v>
      </c>
      <c r="I78" s="3">
        <f>Assumptions!$E$45</f>
        <v>6.9899151946608562E-3</v>
      </c>
      <c r="J78" s="5">
        <f t="shared" si="12"/>
        <v>339904.65446308901</v>
      </c>
      <c r="K78" s="5">
        <f>J78*Assumptions!$E$43</f>
        <v>304.41028068833685</v>
      </c>
      <c r="L78" s="5">
        <f>K78*Assumptions!$D$44*-1</f>
        <v>-45.661542103250525</v>
      </c>
      <c r="M78" s="2">
        <f>J78*Assumptions!$E$46*-1</f>
        <v>-11.328078484369989</v>
      </c>
      <c r="N78" s="5">
        <f t="shared" si="13"/>
        <v>339847.6648425014</v>
      </c>
      <c r="O78" s="88">
        <f>Assumptions!$D$30</f>
        <v>2756</v>
      </c>
      <c r="P78" s="23">
        <f>(Model_Renter[[#This Row],[Monthly Investment]]*-1)+Model_Renter[[#This Row],[Less Renter''s Insurance]]</f>
        <v>-1514.4139211816359</v>
      </c>
    </row>
    <row r="79" spans="1:16" x14ac:dyDescent="0.25">
      <c r="A79" s="17">
        <f t="shared" si="7"/>
        <v>77</v>
      </c>
      <c r="B79" s="17">
        <f t="shared" si="8"/>
        <v>7</v>
      </c>
      <c r="C79" s="23">
        <f>MAX(Model_30y!V79, Model_15y!V79)</f>
        <v>4956.4650593973001</v>
      </c>
      <c r="D79" s="2">
        <f>D67*(1+Assumptions!$D$52)</f>
        <v>-3435.2367658370026</v>
      </c>
      <c r="E79" s="2">
        <f>E67+(E67*Assumptions!$D$52)</f>
        <v>-28.668521630715169</v>
      </c>
      <c r="F79" s="22">
        <f t="shared" si="9"/>
        <v>1492.5597719295824</v>
      </c>
      <c r="G79" s="5">
        <f t="shared" si="10"/>
        <v>339847.6648425014</v>
      </c>
      <c r="H79" s="5">
        <f t="shared" si="11"/>
        <v>1492.5597719295824</v>
      </c>
      <c r="I79" s="3">
        <f>Assumptions!$E$45</f>
        <v>6.9899151946608562E-3</v>
      </c>
      <c r="J79" s="5">
        <f t="shared" si="12"/>
        <v>343715.73097078357</v>
      </c>
      <c r="K79" s="5">
        <f>J79*Assumptions!$E$43</f>
        <v>307.82338743518193</v>
      </c>
      <c r="L79" s="5">
        <f>K79*Assumptions!$D$44*-1</f>
        <v>-46.173508115277286</v>
      </c>
      <c r="M79" s="2">
        <f>J79*Assumptions!$E$46*-1</f>
        <v>-11.45509108399825</v>
      </c>
      <c r="N79" s="5">
        <f t="shared" si="13"/>
        <v>343658.10237158427</v>
      </c>
      <c r="O79" s="88">
        <f>Assumptions!$D$30</f>
        <v>2756</v>
      </c>
      <c r="P79" s="23">
        <f>(Model_Renter[[#This Row],[Monthly Investment]]*-1)+Model_Renter[[#This Row],[Less Renter''s Insurance]]</f>
        <v>-1521.2282935602975</v>
      </c>
    </row>
    <row r="80" spans="1:16" x14ac:dyDescent="0.25">
      <c r="A80" s="17">
        <f t="shared" si="7"/>
        <v>78</v>
      </c>
      <c r="B80" s="17">
        <f t="shared" si="8"/>
        <v>7</v>
      </c>
      <c r="C80" s="23">
        <f>MAX(Model_30y!V80, Model_15y!V80)</f>
        <v>4963.3071943725408</v>
      </c>
      <c r="D80" s="2">
        <f>D68*(1+Assumptions!$D$52)</f>
        <v>-3435.2367658370026</v>
      </c>
      <c r="E80" s="2">
        <f>E68+(E68*Assumptions!$D$52)</f>
        <v>-28.668521630715169</v>
      </c>
      <c r="F80" s="22">
        <f t="shared" si="9"/>
        <v>1499.4019069048231</v>
      </c>
      <c r="G80" s="5">
        <f t="shared" si="10"/>
        <v>343658.10237158427</v>
      </c>
      <c r="H80" s="5">
        <f t="shared" si="11"/>
        <v>1499.4019069048231</v>
      </c>
      <c r="I80" s="3">
        <f>Assumptions!$E$45</f>
        <v>6.9899151946608562E-3</v>
      </c>
      <c r="J80" s="5">
        <f t="shared" si="12"/>
        <v>347559.64527002454</v>
      </c>
      <c r="K80" s="5">
        <f>J80*Assumptions!$E$43</f>
        <v>311.26590290359229</v>
      </c>
      <c r="L80" s="5">
        <f>K80*Assumptions!$D$44*-1</f>
        <v>-46.689885435538841</v>
      </c>
      <c r="M80" s="2">
        <f>J80*Assumptions!$E$46*-1</f>
        <v>-11.583198076053936</v>
      </c>
      <c r="N80" s="5">
        <f t="shared" si="13"/>
        <v>347501.37218651298</v>
      </c>
      <c r="O80" s="88">
        <f>Assumptions!$D$30</f>
        <v>2756</v>
      </c>
      <c r="P80" s="23">
        <f>(Model_Renter[[#This Row],[Monthly Investment]]*-1)+Model_Renter[[#This Row],[Less Renter''s Insurance]]</f>
        <v>-1528.0704285355382</v>
      </c>
    </row>
    <row r="81" spans="1:16" x14ac:dyDescent="0.25">
      <c r="A81" s="17">
        <f t="shared" si="7"/>
        <v>79</v>
      </c>
      <c r="B81" s="17">
        <f t="shared" si="8"/>
        <v>7</v>
      </c>
      <c r="C81" s="23">
        <f>MAX(Model_30y!V81, Model_15y!V81)</f>
        <v>4970.1772050526151</v>
      </c>
      <c r="D81" s="2">
        <f>D69*(1+Assumptions!$D$52)</f>
        <v>-3435.2367658370026</v>
      </c>
      <c r="E81" s="2">
        <f>E69+(E69*Assumptions!$D$52)</f>
        <v>-28.668521630715169</v>
      </c>
      <c r="F81" s="22">
        <f t="shared" si="9"/>
        <v>1506.2719175848974</v>
      </c>
      <c r="G81" s="5">
        <f t="shared" si="10"/>
        <v>347501.37218651298</v>
      </c>
      <c r="H81" s="5">
        <f t="shared" si="11"/>
        <v>1506.2719175848974</v>
      </c>
      <c r="I81" s="3">
        <f>Assumptions!$E$45</f>
        <v>6.9899151946608562E-3</v>
      </c>
      <c r="J81" s="5">
        <f t="shared" si="12"/>
        <v>351436.64922570984</v>
      </c>
      <c r="K81" s="5">
        <f>J81*Assumptions!$E$43</f>
        <v>314.73805265759961</v>
      </c>
      <c r="L81" s="5">
        <f>K81*Assumptions!$D$44*-1</f>
        <v>-47.210707898639939</v>
      </c>
      <c r="M81" s="2">
        <f>J81*Assumptions!$E$46*-1</f>
        <v>-11.712407854494865</v>
      </c>
      <c r="N81" s="5">
        <f t="shared" si="13"/>
        <v>351377.72610995668</v>
      </c>
      <c r="O81" s="88">
        <f>Assumptions!$D$30</f>
        <v>2756</v>
      </c>
      <c r="P81" s="23">
        <f>(Model_Renter[[#This Row],[Monthly Investment]]*-1)+Model_Renter[[#This Row],[Less Renter''s Insurance]]</f>
        <v>-1534.9404392156125</v>
      </c>
    </row>
    <row r="82" spans="1:16" x14ac:dyDescent="0.25">
      <c r="A82" s="17">
        <f t="shared" si="7"/>
        <v>80</v>
      </c>
      <c r="B82" s="17">
        <f t="shared" si="8"/>
        <v>7</v>
      </c>
      <c r="C82" s="23">
        <f>MAX(Model_30y!V82, Model_15y!V82)</f>
        <v>4977.0752050065948</v>
      </c>
      <c r="D82" s="2">
        <f>D70*(1+Assumptions!$D$52)</f>
        <v>-3435.2367658370026</v>
      </c>
      <c r="E82" s="2">
        <f>E70+(E70*Assumptions!$D$52)</f>
        <v>-28.668521630715169</v>
      </c>
      <c r="F82" s="22">
        <f t="shared" si="9"/>
        <v>1513.1699175388771</v>
      </c>
      <c r="G82" s="5">
        <f t="shared" si="10"/>
        <v>351377.72610995668</v>
      </c>
      <c r="H82" s="5">
        <f t="shared" si="11"/>
        <v>1513.1699175388771</v>
      </c>
      <c r="I82" s="3">
        <f>Assumptions!$E$45</f>
        <v>6.9899151946608562E-3</v>
      </c>
      <c r="J82" s="5">
        <f t="shared" si="12"/>
        <v>355346.99653429695</v>
      </c>
      <c r="K82" s="5">
        <f>J82*Assumptions!$E$43</f>
        <v>318.24006390153551</v>
      </c>
      <c r="L82" s="5">
        <f>K82*Assumptions!$D$44*-1</f>
        <v>-47.736009585230327</v>
      </c>
      <c r="M82" s="2">
        <f>J82*Assumptions!$E$46*-1</f>
        <v>-11.842728874319645</v>
      </c>
      <c r="N82" s="5">
        <f t="shared" si="13"/>
        <v>355287.41779583739</v>
      </c>
      <c r="O82" s="88">
        <f>Assumptions!$D$30</f>
        <v>2756</v>
      </c>
      <c r="P82" s="23">
        <f>(Model_Renter[[#This Row],[Monthly Investment]]*-1)+Model_Renter[[#This Row],[Less Renter''s Insurance]]</f>
        <v>-1541.8384391695922</v>
      </c>
    </row>
    <row r="83" spans="1:16" x14ac:dyDescent="0.25">
      <c r="A83" s="17">
        <f t="shared" si="7"/>
        <v>81</v>
      </c>
      <c r="B83" s="17">
        <f t="shared" si="8"/>
        <v>7</v>
      </c>
      <c r="C83" s="23">
        <f>MAX(Model_30y!V83, Model_15y!V83)</f>
        <v>4984.0013082662472</v>
      </c>
      <c r="D83" s="2">
        <f>D71*(1+Assumptions!$D$52)</f>
        <v>-3435.2367658370026</v>
      </c>
      <c r="E83" s="2">
        <f>E71+(E71*Assumptions!$D$52)</f>
        <v>-28.668521630715169</v>
      </c>
      <c r="F83" s="22">
        <f t="shared" si="9"/>
        <v>1520.0960207985295</v>
      </c>
      <c r="G83" s="5">
        <f t="shared" si="10"/>
        <v>355287.41779583739</v>
      </c>
      <c r="H83" s="5">
        <f t="shared" si="11"/>
        <v>1520.0960207985295</v>
      </c>
      <c r="I83" s="3">
        <f>Assumptions!$E$45</f>
        <v>6.9899151946608562E-3</v>
      </c>
      <c r="J83" s="5">
        <f t="shared" si="12"/>
        <v>359290.94273675891</v>
      </c>
      <c r="K83" s="5">
        <f>J83*Assumptions!$E$43</f>
        <v>321.77216549163455</v>
      </c>
      <c r="L83" s="5">
        <f>K83*Assumptions!$D$44*-1</f>
        <v>-48.265824823745184</v>
      </c>
      <c r="M83" s="2">
        <f>J83*Assumptions!$E$46*-1</f>
        <v>-11.974169651999475</v>
      </c>
      <c r="N83" s="5">
        <f t="shared" si="13"/>
        <v>359230.70274228317</v>
      </c>
      <c r="O83" s="88">
        <f>Assumptions!$D$30</f>
        <v>2756</v>
      </c>
      <c r="P83" s="23">
        <f>(Model_Renter[[#This Row],[Monthly Investment]]*-1)+Model_Renter[[#This Row],[Less Renter''s Insurance]]</f>
        <v>-1548.7645424292446</v>
      </c>
    </row>
    <row r="84" spans="1:16" x14ac:dyDescent="0.25">
      <c r="A84" s="17">
        <f t="shared" si="7"/>
        <v>82</v>
      </c>
      <c r="B84" s="17">
        <f t="shared" si="8"/>
        <v>7</v>
      </c>
      <c r="C84" s="23">
        <f>MAX(Model_30y!V84, Model_15y!V84)</f>
        <v>4990.9556293279174</v>
      </c>
      <c r="D84" s="2">
        <f>D72*(1+Assumptions!$D$52)</f>
        <v>-3435.2367658370026</v>
      </c>
      <c r="E84" s="2">
        <f>E72+(E72*Assumptions!$D$52)</f>
        <v>-28.668521630715169</v>
      </c>
      <c r="F84" s="22">
        <f t="shared" si="9"/>
        <v>1527.0503418601998</v>
      </c>
      <c r="G84" s="5">
        <f t="shared" si="10"/>
        <v>359230.70274228317</v>
      </c>
      <c r="H84" s="5">
        <f t="shared" si="11"/>
        <v>1527.0503418601998</v>
      </c>
      <c r="I84" s="3">
        <f>Assumptions!$E$45</f>
        <v>6.9899151946608562E-3</v>
      </c>
      <c r="J84" s="5">
        <f t="shared" si="12"/>
        <v>363268.7452316304</v>
      </c>
      <c r="K84" s="5">
        <f>J84*Assumptions!$E$43</f>
        <v>325.33458794771803</v>
      </c>
      <c r="L84" s="5">
        <f>K84*Assumptions!$D$44*-1</f>
        <v>-48.800188192157705</v>
      </c>
      <c r="M84" s="2">
        <f>J84*Assumptions!$E$46*-1</f>
        <v>-12.106738765912919</v>
      </c>
      <c r="N84" s="5">
        <f t="shared" si="13"/>
        <v>363207.83830467233</v>
      </c>
      <c r="O84" s="88">
        <f>Assumptions!$D$30</f>
        <v>2756</v>
      </c>
      <c r="P84" s="23">
        <f>(Model_Renter[[#This Row],[Monthly Investment]]*-1)+Model_Renter[[#This Row],[Less Renter''s Insurance]]</f>
        <v>-1555.7188634909148</v>
      </c>
    </row>
    <row r="85" spans="1:16" x14ac:dyDescent="0.25">
      <c r="A85" s="17">
        <f t="shared" si="7"/>
        <v>83</v>
      </c>
      <c r="B85" s="17">
        <f t="shared" si="8"/>
        <v>7</v>
      </c>
      <c r="C85" s="23">
        <f>MAX(Model_30y!V85, Model_15y!V85)</f>
        <v>4997.9382831544244</v>
      </c>
      <c r="D85" s="2">
        <f>D73*(1+Assumptions!$D$52)</f>
        <v>-3435.2367658370026</v>
      </c>
      <c r="E85" s="2">
        <f>E73+(E73*Assumptions!$D$52)</f>
        <v>-28.668521630715169</v>
      </c>
      <c r="F85" s="22">
        <f t="shared" si="9"/>
        <v>1534.0329956867067</v>
      </c>
      <c r="G85" s="5">
        <f t="shared" si="10"/>
        <v>363207.83830467233</v>
      </c>
      <c r="H85" s="5">
        <f t="shared" si="11"/>
        <v>1534.0329956867067</v>
      </c>
      <c r="I85" s="3">
        <f>Assumptions!$E$45</f>
        <v>6.9899151946608562E-3</v>
      </c>
      <c r="J85" s="5">
        <f t="shared" si="12"/>
        <v>367280.6632881448</v>
      </c>
      <c r="K85" s="5">
        <f>J85*Assumptions!$E$43</f>
        <v>328.92756346495906</v>
      </c>
      <c r="L85" s="5">
        <f>K85*Assumptions!$D$44*-1</f>
        <v>-49.339134519743858</v>
      </c>
      <c r="M85" s="2">
        <f>J85*Assumptions!$E$46*-1</f>
        <v>-12.240444856783739</v>
      </c>
      <c r="N85" s="5">
        <f t="shared" si="13"/>
        <v>367219.0837087683</v>
      </c>
      <c r="O85" s="88">
        <f>Assumptions!$D$30</f>
        <v>2756</v>
      </c>
      <c r="P85" s="23">
        <f>(Model_Renter[[#This Row],[Monthly Investment]]*-1)+Model_Renter[[#This Row],[Less Renter''s Insurance]]</f>
        <v>-1562.7015173174218</v>
      </c>
    </row>
    <row r="86" spans="1:16" x14ac:dyDescent="0.25">
      <c r="A86" s="17">
        <f t="shared" si="7"/>
        <v>84</v>
      </c>
      <c r="B86" s="17">
        <f t="shared" si="8"/>
        <v>7</v>
      </c>
      <c r="C86" s="23">
        <f>MAX(Model_30y!V86, Model_15y!V86)</f>
        <v>5004.9493851769585</v>
      </c>
      <c r="D86" s="2">
        <f>D74*(1+Assumptions!$D$52)</f>
        <v>-3435.2367658370026</v>
      </c>
      <c r="E86" s="2">
        <f>E74+(E74*Assumptions!$D$52)</f>
        <v>-28.668521630715169</v>
      </c>
      <c r="F86" s="22">
        <f t="shared" si="9"/>
        <v>1541.0440977092408</v>
      </c>
      <c r="G86" s="5">
        <f t="shared" si="10"/>
        <v>367219.0837087683</v>
      </c>
      <c r="H86" s="5">
        <f t="shared" si="11"/>
        <v>1541.0440977092408</v>
      </c>
      <c r="I86" s="3">
        <f>Assumptions!$E$45</f>
        <v>6.9899151946608562E-3</v>
      </c>
      <c r="J86" s="5">
        <f t="shared" si="12"/>
        <v>371326.95805946289</v>
      </c>
      <c r="K86" s="5">
        <f>J86*Assumptions!$E$43</f>
        <v>332.55132592573011</v>
      </c>
      <c r="L86" s="5">
        <f>K86*Assumptions!$D$44*-1</f>
        <v>-49.882698888859515</v>
      </c>
      <c r="M86" s="2">
        <f>J86*Assumptions!$E$46*-1</f>
        <v>-12.375296628121765</v>
      </c>
      <c r="N86" s="5">
        <f t="shared" si="13"/>
        <v>371264.7000639459</v>
      </c>
      <c r="O86" s="88">
        <f>Assumptions!$D$30</f>
        <v>2756</v>
      </c>
      <c r="P86" s="23">
        <f>(Model_Renter[[#This Row],[Monthly Investment]]*-1)+Model_Renter[[#This Row],[Less Renter''s Insurance]]</f>
        <v>-1569.7126193399558</v>
      </c>
    </row>
    <row r="87" spans="1:16" x14ac:dyDescent="0.25">
      <c r="A87" s="17">
        <f t="shared" si="7"/>
        <v>85</v>
      </c>
      <c r="B87" s="17">
        <f t="shared" si="8"/>
        <v>8</v>
      </c>
      <c r="C87" s="23">
        <f>MAX(Model_30y!V87, Model_15y!V87)</f>
        <v>5033.7600217253121</v>
      </c>
      <c r="D87" s="2">
        <f>D75*(1+Assumptions!$D$52)</f>
        <v>-3563.7146208793069</v>
      </c>
      <c r="E87" s="2">
        <f>E75+(E75*Assumptions!$D$52)</f>
        <v>-29.740724339703917</v>
      </c>
      <c r="F87" s="22">
        <f t="shared" si="9"/>
        <v>1440.3046765063011</v>
      </c>
      <c r="G87" s="5">
        <f t="shared" si="10"/>
        <v>371264.7000639459</v>
      </c>
      <c r="H87" s="5">
        <f t="shared" si="11"/>
        <v>1440.3046765063011</v>
      </c>
      <c r="I87" s="3">
        <f>Assumptions!$E$45</f>
        <v>6.9899151946608562E-3</v>
      </c>
      <c r="J87" s="5">
        <f t="shared" si="12"/>
        <v>375300.11350867042</v>
      </c>
      <c r="K87" s="5">
        <f>J87*Assumptions!$E$43</f>
        <v>336.10958660157206</v>
      </c>
      <c r="L87" s="5">
        <f>K87*Assumptions!$D$44*-1</f>
        <v>-50.416437990235806</v>
      </c>
      <c r="M87" s="2">
        <f>J87*Assumptions!$E$46*-1</f>
        <v>-12.507710868904432</v>
      </c>
      <c r="N87" s="5">
        <f t="shared" si="13"/>
        <v>375237.18935981125</v>
      </c>
      <c r="O87" s="88">
        <f>Assumptions!$D$30</f>
        <v>2756</v>
      </c>
      <c r="P87" s="23">
        <f>(Model_Renter[[#This Row],[Monthly Investment]]*-1)+Model_Renter[[#This Row],[Less Renter''s Insurance]]</f>
        <v>-1470.0454008460051</v>
      </c>
    </row>
    <row r="88" spans="1:16" x14ac:dyDescent="0.25">
      <c r="A88" s="17">
        <f t="shared" si="7"/>
        <v>86</v>
      </c>
      <c r="B88" s="17">
        <f t="shared" si="8"/>
        <v>8</v>
      </c>
      <c r="C88" s="23">
        <f>MAX(Model_30y!V88, Model_15y!V88)</f>
        <v>5040.8283683165146</v>
      </c>
      <c r="D88" s="2">
        <f>D76*(1+Assumptions!$D$52)</f>
        <v>-3563.7146208793069</v>
      </c>
      <c r="E88" s="2">
        <f>E76+(E76*Assumptions!$D$52)</f>
        <v>-29.740724339703917</v>
      </c>
      <c r="F88" s="22">
        <f t="shared" si="9"/>
        <v>1447.3730230975036</v>
      </c>
      <c r="G88" s="5">
        <f t="shared" si="10"/>
        <v>375237.18935981125</v>
      </c>
      <c r="H88" s="5">
        <f t="shared" si="11"/>
        <v>1447.3730230975036</v>
      </c>
      <c r="I88" s="3">
        <f>Assumptions!$E$45</f>
        <v>6.9899151946608562E-3</v>
      </c>
      <c r="J88" s="5">
        <f t="shared" si="12"/>
        <v>379307.43851441675</v>
      </c>
      <c r="K88" s="5">
        <f>J88*Assumptions!$E$43</f>
        <v>339.69844869507745</v>
      </c>
      <c r="L88" s="5">
        <f>K88*Assumptions!$D$44*-1</f>
        <v>-50.954767304261615</v>
      </c>
      <c r="M88" s="2">
        <f>J88*Assumptions!$E$46*-1</f>
        <v>-12.641263886144456</v>
      </c>
      <c r="N88" s="5">
        <f t="shared" si="13"/>
        <v>379243.84248322633</v>
      </c>
      <c r="O88" s="88">
        <f>Assumptions!$D$30</f>
        <v>2756</v>
      </c>
      <c r="P88" s="23">
        <f>(Model_Renter[[#This Row],[Monthly Investment]]*-1)+Model_Renter[[#This Row],[Less Renter''s Insurance]]</f>
        <v>-1477.1137474372076</v>
      </c>
    </row>
    <row r="89" spans="1:16" x14ac:dyDescent="0.25">
      <c r="A89" s="17">
        <f t="shared" si="7"/>
        <v>87</v>
      </c>
      <c r="B89" s="17">
        <f t="shared" si="8"/>
        <v>8</v>
      </c>
      <c r="C89" s="23">
        <f>MAX(Model_30y!V89, Model_15y!V89)</f>
        <v>5047.925512226675</v>
      </c>
      <c r="D89" s="2">
        <f>D77*(1+Assumptions!$D$52)</f>
        <v>-3563.7146208793069</v>
      </c>
      <c r="E89" s="2">
        <f>E77+(E77*Assumptions!$D$52)</f>
        <v>-29.740724339703917</v>
      </c>
      <c r="F89" s="22">
        <f t="shared" si="9"/>
        <v>1454.470167007664</v>
      </c>
      <c r="G89" s="5">
        <f t="shared" si="10"/>
        <v>379243.84248322633</v>
      </c>
      <c r="H89" s="5">
        <f t="shared" si="11"/>
        <v>1454.470167007664</v>
      </c>
      <c r="I89" s="3">
        <f>Assumptions!$E$45</f>
        <v>6.9899151946608562E-3</v>
      </c>
      <c r="J89" s="5">
        <f t="shared" si="12"/>
        <v>383349.19494728907</v>
      </c>
      <c r="K89" s="5">
        <f>J89*Assumptions!$E$43</f>
        <v>343.31814673112819</v>
      </c>
      <c r="L89" s="5">
        <f>K89*Assumptions!$D$44*-1</f>
        <v>-51.497722009669225</v>
      </c>
      <c r="M89" s="2">
        <f>J89*Assumptions!$E$46*-1</f>
        <v>-12.775964407261494</v>
      </c>
      <c r="N89" s="5">
        <f t="shared" si="13"/>
        <v>383284.92126087216</v>
      </c>
      <c r="O89" s="88">
        <f>Assumptions!$D$30</f>
        <v>2756</v>
      </c>
      <c r="P89" s="23">
        <f>(Model_Renter[[#This Row],[Monthly Investment]]*-1)+Model_Renter[[#This Row],[Less Renter''s Insurance]]</f>
        <v>-1484.210891347368</v>
      </c>
    </row>
    <row r="90" spans="1:16" x14ac:dyDescent="0.25">
      <c r="A90" s="17">
        <f t="shared" si="7"/>
        <v>88</v>
      </c>
      <c r="B90" s="17">
        <f t="shared" si="8"/>
        <v>8</v>
      </c>
      <c r="C90" s="23">
        <f>MAX(Model_30y!V90, Model_15y!V90)</f>
        <v>5055.0515707796367</v>
      </c>
      <c r="D90" s="2">
        <f>D78*(1+Assumptions!$D$52)</f>
        <v>-3563.7146208793069</v>
      </c>
      <c r="E90" s="2">
        <f>E78+(E78*Assumptions!$D$52)</f>
        <v>-29.740724339703917</v>
      </c>
      <c r="F90" s="22">
        <f t="shared" si="9"/>
        <v>1461.5962255606257</v>
      </c>
      <c r="G90" s="5">
        <f t="shared" si="10"/>
        <v>383284.92126087216</v>
      </c>
      <c r="H90" s="5">
        <f t="shared" si="11"/>
        <v>1461.5962255606257</v>
      </c>
      <c r="I90" s="3">
        <f>Assumptions!$E$45</f>
        <v>6.9899151946608562E-3</v>
      </c>
      <c r="J90" s="5">
        <f t="shared" si="12"/>
        <v>387425.64658143854</v>
      </c>
      <c r="K90" s="5">
        <f>J90*Assumptions!$E$43</f>
        <v>346.96891693939148</v>
      </c>
      <c r="L90" s="5">
        <f>K90*Assumptions!$D$44*-1</f>
        <v>-52.045337540908719</v>
      </c>
      <c r="M90" s="2">
        <f>J90*Assumptions!$E$46*-1</f>
        <v>-12.911821223115712</v>
      </c>
      <c r="N90" s="5">
        <f t="shared" si="13"/>
        <v>387360.68942267454</v>
      </c>
      <c r="O90" s="88">
        <f>Assumptions!$D$30</f>
        <v>2756</v>
      </c>
      <c r="P90" s="23">
        <f>(Model_Renter[[#This Row],[Monthly Investment]]*-1)+Model_Renter[[#This Row],[Less Renter''s Insurance]]</f>
        <v>-1491.3369499003297</v>
      </c>
    </row>
    <row r="91" spans="1:16" x14ac:dyDescent="0.25">
      <c r="A91" s="17">
        <f t="shared" si="7"/>
        <v>89</v>
      </c>
      <c r="B91" s="17">
        <f t="shared" si="8"/>
        <v>8</v>
      </c>
      <c r="C91" s="23">
        <f>MAX(Model_30y!V91, Model_15y!V91)</f>
        <v>5062.2066617772316</v>
      </c>
      <c r="D91" s="2">
        <f>D79*(1+Assumptions!$D$52)</f>
        <v>-3563.7146208793069</v>
      </c>
      <c r="E91" s="2">
        <f>E79+(E79*Assumptions!$D$52)</f>
        <v>-29.740724339703917</v>
      </c>
      <c r="F91" s="22">
        <f t="shared" si="9"/>
        <v>1468.7513165582207</v>
      </c>
      <c r="G91" s="5">
        <f t="shared" si="10"/>
        <v>387360.68942267454</v>
      </c>
      <c r="H91" s="5">
        <f t="shared" si="11"/>
        <v>1468.7513165582207</v>
      </c>
      <c r="I91" s="3">
        <f>Assumptions!$E$45</f>
        <v>6.9899151946608562E-3</v>
      </c>
      <c r="J91" s="5">
        <f t="shared" si="12"/>
        <v>391537.05910804262</v>
      </c>
      <c r="K91" s="5">
        <f>J91*Assumptions!$E$43</f>
        <v>350.65099726637624</v>
      </c>
      <c r="L91" s="5">
        <f>K91*Assumptions!$D$44*-1</f>
        <v>-52.597649589956433</v>
      </c>
      <c r="M91" s="2">
        <f>J91*Assumptions!$E$46*-1</f>
        <v>-13.048843188456438</v>
      </c>
      <c r="N91" s="5">
        <f t="shared" si="13"/>
        <v>391471.41261526418</v>
      </c>
      <c r="O91" s="88">
        <f>Assumptions!$D$30</f>
        <v>2756</v>
      </c>
      <c r="P91" s="23">
        <f>(Model_Renter[[#This Row],[Monthly Investment]]*-1)+Model_Renter[[#This Row],[Less Renter''s Insurance]]</f>
        <v>-1498.4920408979247</v>
      </c>
    </row>
    <row r="92" spans="1:16" x14ac:dyDescent="0.25">
      <c r="A92" s="17">
        <f t="shared" si="7"/>
        <v>90</v>
      </c>
      <c r="B92" s="17">
        <f t="shared" si="8"/>
        <v>8</v>
      </c>
      <c r="C92" s="23">
        <f>MAX(Model_30y!V92, Model_15y!V92)</f>
        <v>5069.3909035012339</v>
      </c>
      <c r="D92" s="2">
        <f>D80*(1+Assumptions!$D$52)</f>
        <v>-3563.7146208793069</v>
      </c>
      <c r="E92" s="2">
        <f>E80+(E80*Assumptions!$D$52)</f>
        <v>-29.740724339703917</v>
      </c>
      <c r="F92" s="22">
        <f t="shared" si="9"/>
        <v>1475.9355582822229</v>
      </c>
      <c r="G92" s="5">
        <f t="shared" si="10"/>
        <v>391471.41261526418</v>
      </c>
      <c r="H92" s="5">
        <f t="shared" si="11"/>
        <v>1475.9355582822229</v>
      </c>
      <c r="I92" s="3">
        <f>Assumptions!$E$45</f>
        <v>6.9899151946608562E-3</v>
      </c>
      <c r="J92" s="5">
        <f t="shared" si="12"/>
        <v>395683.70014886121</v>
      </c>
      <c r="K92" s="5">
        <f>J92*Assumptions!$E$43</f>
        <v>354.36462738757376</v>
      </c>
      <c r="L92" s="5">
        <f>K92*Assumptions!$D$44*-1</f>
        <v>-53.154694108136063</v>
      </c>
      <c r="M92" s="2">
        <f>J92*Assumptions!$E$46*-1</f>
        <v>-13.187039222373954</v>
      </c>
      <c r="N92" s="5">
        <f t="shared" si="13"/>
        <v>395617.3584155307</v>
      </c>
      <c r="O92" s="88">
        <f>Assumptions!$D$30</f>
        <v>2756</v>
      </c>
      <c r="P92" s="23">
        <f>(Model_Renter[[#This Row],[Monthly Investment]]*-1)+Model_Renter[[#This Row],[Less Renter''s Insurance]]</f>
        <v>-1505.6762826219269</v>
      </c>
    </row>
    <row r="93" spans="1:16" x14ac:dyDescent="0.25">
      <c r="A93" s="17">
        <f t="shared" si="7"/>
        <v>91</v>
      </c>
      <c r="B93" s="17">
        <f t="shared" si="8"/>
        <v>8</v>
      </c>
      <c r="C93" s="23">
        <f>MAX(Model_30y!V93, Model_15y!V93)</f>
        <v>5076.6044147153116</v>
      </c>
      <c r="D93" s="2">
        <f>D81*(1+Assumptions!$D$52)</f>
        <v>-3563.7146208793069</v>
      </c>
      <c r="E93" s="2">
        <f>E81+(E81*Assumptions!$D$52)</f>
        <v>-29.740724339703917</v>
      </c>
      <c r="F93" s="22">
        <f t="shared" si="9"/>
        <v>1483.1490694963006</v>
      </c>
      <c r="G93" s="5">
        <f t="shared" si="10"/>
        <v>395617.3584155307</v>
      </c>
      <c r="H93" s="5">
        <f t="shared" si="11"/>
        <v>1483.1490694963006</v>
      </c>
      <c r="I93" s="3">
        <f>Assumptions!$E$45</f>
        <v>6.9899151946608562E-3</v>
      </c>
      <c r="J93" s="5">
        <f t="shared" si="12"/>
        <v>399865.83926988731</v>
      </c>
      <c r="K93" s="5">
        <f>J93*Assumptions!$E$43</f>
        <v>358.11004871968288</v>
      </c>
      <c r="L93" s="5">
        <f>K93*Assumptions!$D$44*-1</f>
        <v>-53.716507307952433</v>
      </c>
      <c r="M93" s="2">
        <f>J93*Assumptions!$E$46*-1</f>
        <v>-13.326418308754434</v>
      </c>
      <c r="N93" s="5">
        <f t="shared" si="13"/>
        <v>399798.79634427058</v>
      </c>
      <c r="O93" s="88">
        <f>Assumptions!$D$30</f>
        <v>2756</v>
      </c>
      <c r="P93" s="23">
        <f>(Model_Renter[[#This Row],[Monthly Investment]]*-1)+Model_Renter[[#This Row],[Less Renter''s Insurance]]</f>
        <v>-1512.8897938360046</v>
      </c>
    </row>
    <row r="94" spans="1:16" x14ac:dyDescent="0.25">
      <c r="A94" s="17">
        <f t="shared" si="7"/>
        <v>92</v>
      </c>
      <c r="B94" s="17">
        <f t="shared" si="8"/>
        <v>8</v>
      </c>
      <c r="C94" s="23">
        <f>MAX(Model_30y!V94, Model_15y!V94)</f>
        <v>5083.8473146669912</v>
      </c>
      <c r="D94" s="2">
        <f>D82*(1+Assumptions!$D$52)</f>
        <v>-3563.7146208793069</v>
      </c>
      <c r="E94" s="2">
        <f>E82+(E82*Assumptions!$D$52)</f>
        <v>-29.740724339703917</v>
      </c>
      <c r="F94" s="22">
        <f t="shared" si="9"/>
        <v>1490.3919694479803</v>
      </c>
      <c r="G94" s="5">
        <f t="shared" si="10"/>
        <v>399798.79634427058</v>
      </c>
      <c r="H94" s="5">
        <f t="shared" si="11"/>
        <v>1490.3919694479803</v>
      </c>
      <c r="I94" s="3">
        <f>Assumptions!$E$45</f>
        <v>6.9899151946608562E-3</v>
      </c>
      <c r="J94" s="5">
        <f t="shared" si="12"/>
        <v>404083.74799509248</v>
      </c>
      <c r="K94" s="5">
        <f>J94*Assumptions!$E$43</f>
        <v>361.88750443292003</v>
      </c>
      <c r="L94" s="5">
        <f>K94*Assumptions!$D$44*-1</f>
        <v>-54.283125664938005</v>
      </c>
      <c r="M94" s="2">
        <f>J94*Assumptions!$E$46*-1</f>
        <v>-13.466989496738037</v>
      </c>
      <c r="N94" s="5">
        <f t="shared" si="13"/>
        <v>404015.99787993077</v>
      </c>
      <c r="O94" s="88">
        <f>Assumptions!$D$30</f>
        <v>2756</v>
      </c>
      <c r="P94" s="23">
        <f>(Model_Renter[[#This Row],[Monthly Investment]]*-1)+Model_Renter[[#This Row],[Less Renter''s Insurance]]</f>
        <v>-1520.1326937876843</v>
      </c>
    </row>
    <row r="95" spans="1:16" x14ac:dyDescent="0.25">
      <c r="A95" s="17">
        <f t="shared" si="7"/>
        <v>93</v>
      </c>
      <c r="B95" s="17">
        <f t="shared" si="8"/>
        <v>8</v>
      </c>
      <c r="C95" s="23">
        <f>MAX(Model_30y!V95, Model_15y!V95)</f>
        <v>5091.1197230896259</v>
      </c>
      <c r="D95" s="2">
        <f>D83*(1+Assumptions!$D$52)</f>
        <v>-3563.7146208793069</v>
      </c>
      <c r="E95" s="2">
        <f>E83+(E83*Assumptions!$D$52)</f>
        <v>-29.740724339703917</v>
      </c>
      <c r="F95" s="22">
        <f t="shared" si="9"/>
        <v>1497.664377870615</v>
      </c>
      <c r="G95" s="5">
        <f t="shared" si="10"/>
        <v>404015.99787993077</v>
      </c>
      <c r="H95" s="5">
        <f t="shared" si="11"/>
        <v>1497.664377870615</v>
      </c>
      <c r="I95" s="3">
        <f>Assumptions!$E$45</f>
        <v>6.9899151946608562E-3</v>
      </c>
      <c r="J95" s="5">
        <f t="shared" si="12"/>
        <v>408337.69982026838</v>
      </c>
      <c r="K95" s="5">
        <f>J95*Assumptions!$E$43</f>
        <v>365.69723946341537</v>
      </c>
      <c r="L95" s="5">
        <f>K95*Assumptions!$D$44*-1</f>
        <v>-54.854585919512303</v>
      </c>
      <c r="M95" s="2">
        <f>J95*Assumptions!$E$46*-1</f>
        <v>-13.608761901180221</v>
      </c>
      <c r="N95" s="5">
        <f t="shared" si="13"/>
        <v>408269.23647244769</v>
      </c>
      <c r="O95" s="88">
        <f>Assumptions!$D$30</f>
        <v>2756</v>
      </c>
      <c r="P95" s="23">
        <f>(Model_Renter[[#This Row],[Monthly Investment]]*-1)+Model_Renter[[#This Row],[Less Renter''s Insurance]]</f>
        <v>-1527.405102210319</v>
      </c>
    </row>
    <row r="96" spans="1:16" x14ac:dyDescent="0.25">
      <c r="A96" s="17">
        <f t="shared" si="7"/>
        <v>94</v>
      </c>
      <c r="B96" s="17">
        <f t="shared" si="8"/>
        <v>8</v>
      </c>
      <c r="C96" s="23">
        <f>MAX(Model_30y!V96, Model_15y!V96)</f>
        <v>5098.4217602043791</v>
      </c>
      <c r="D96" s="2">
        <f>D84*(1+Assumptions!$D$52)</f>
        <v>-3563.7146208793069</v>
      </c>
      <c r="E96" s="2">
        <f>E84+(E84*Assumptions!$D$52)</f>
        <v>-29.740724339703917</v>
      </c>
      <c r="F96" s="22">
        <f t="shared" si="9"/>
        <v>1504.9664149853681</v>
      </c>
      <c r="G96" s="5">
        <f t="shared" si="10"/>
        <v>408269.23647244769</v>
      </c>
      <c r="H96" s="5">
        <f t="shared" si="11"/>
        <v>1504.9664149853681</v>
      </c>
      <c r="I96" s="3">
        <f>Assumptions!$E$45</f>
        <v>6.9899151946608562E-3</v>
      </c>
      <c r="J96" s="5">
        <f t="shared" si="12"/>
        <v>412627.97022696439</v>
      </c>
      <c r="K96" s="5">
        <f>J96*Assumptions!$E$43</f>
        <v>369.53950052569519</v>
      </c>
      <c r="L96" s="5">
        <f>K96*Assumptions!$D$44*-1</f>
        <v>-55.43092507885428</v>
      </c>
      <c r="M96" s="2">
        <f>J96*Assumptions!$E$46*-1</f>
        <v>-13.751744703116227</v>
      </c>
      <c r="N96" s="5">
        <f t="shared" si="13"/>
        <v>412558.78755718243</v>
      </c>
      <c r="O96" s="88">
        <f>Assumptions!$D$30</f>
        <v>2756</v>
      </c>
      <c r="P96" s="23">
        <f>(Model_Renter[[#This Row],[Monthly Investment]]*-1)+Model_Renter[[#This Row],[Less Renter''s Insurance]]</f>
        <v>-1534.7071393250721</v>
      </c>
    </row>
    <row r="97" spans="1:16" x14ac:dyDescent="0.25">
      <c r="A97" s="17">
        <f t="shared" si="7"/>
        <v>95</v>
      </c>
      <c r="B97" s="17">
        <f t="shared" si="8"/>
        <v>8</v>
      </c>
      <c r="C97" s="23">
        <f>MAX(Model_30y!V97, Model_15y!V97)</f>
        <v>5105.7535467222115</v>
      </c>
      <c r="D97" s="2">
        <f>D85*(1+Assumptions!$D$52)</f>
        <v>-3563.7146208793069</v>
      </c>
      <c r="E97" s="2">
        <f>E85+(E85*Assumptions!$D$52)</f>
        <v>-29.740724339703917</v>
      </c>
      <c r="F97" s="22">
        <f t="shared" si="9"/>
        <v>1512.2982015032005</v>
      </c>
      <c r="G97" s="5">
        <f t="shared" si="10"/>
        <v>412558.78755718243</v>
      </c>
      <c r="H97" s="5">
        <f t="shared" si="11"/>
        <v>1512.2982015032005</v>
      </c>
      <c r="I97" s="3">
        <f>Assumptions!$E$45</f>
        <v>6.9899151946608562E-3</v>
      </c>
      <c r="J97" s="5">
        <f t="shared" si="12"/>
        <v>416954.83669652243</v>
      </c>
      <c r="K97" s="5">
        <f>J97*Assumptions!$E$43</f>
        <v>373.41453612525078</v>
      </c>
      <c r="L97" s="5">
        <f>K97*Assumptions!$D$44*-1</f>
        <v>-56.012180418787615</v>
      </c>
      <c r="M97" s="2">
        <f>J97*Assumptions!$E$46*-1</f>
        <v>-13.895947150228833</v>
      </c>
      <c r="N97" s="5">
        <f t="shared" si="13"/>
        <v>416884.92856895342</v>
      </c>
      <c r="O97" s="88">
        <f>Assumptions!$D$30</f>
        <v>2756</v>
      </c>
      <c r="P97" s="23">
        <f>(Model_Renter[[#This Row],[Monthly Investment]]*-1)+Model_Renter[[#This Row],[Less Renter''s Insurance]]</f>
        <v>-1542.0389258429045</v>
      </c>
    </row>
    <row r="98" spans="1:16" x14ac:dyDescent="0.25">
      <c r="A98" s="17">
        <f t="shared" si="7"/>
        <v>96</v>
      </c>
      <c r="B98" s="17">
        <f t="shared" si="8"/>
        <v>8</v>
      </c>
      <c r="C98" s="23">
        <f>MAX(Model_30y!V98, Model_15y!V98)</f>
        <v>5113.1152038458722</v>
      </c>
      <c r="D98" s="2">
        <f>D86*(1+Assumptions!$D$52)</f>
        <v>-3563.7146208793069</v>
      </c>
      <c r="E98" s="2">
        <f>E86+(E86*Assumptions!$D$52)</f>
        <v>-29.740724339703917</v>
      </c>
      <c r="F98" s="22">
        <f t="shared" si="9"/>
        <v>1519.6598586268613</v>
      </c>
      <c r="G98" s="5">
        <f t="shared" si="10"/>
        <v>416884.92856895342</v>
      </c>
      <c r="H98" s="5">
        <f t="shared" si="11"/>
        <v>1519.6598586268613</v>
      </c>
      <c r="I98" s="3">
        <f>Assumptions!$E$45</f>
        <v>6.9899151946608562E-3</v>
      </c>
      <c r="J98" s="5">
        <f t="shared" si="12"/>
        <v>421318.57872420951</v>
      </c>
      <c r="K98" s="5">
        <f>J98*Assumptions!$E$43</f>
        <v>377.32259657119556</v>
      </c>
      <c r="L98" s="5">
        <f>K98*Assumptions!$D$44*-1</f>
        <v>-56.598389485679334</v>
      </c>
      <c r="M98" s="2">
        <f>J98*Assumptions!$E$46*-1</f>
        <v>-14.041378557319351</v>
      </c>
      <c r="N98" s="5">
        <f t="shared" si="13"/>
        <v>421247.9389561665</v>
      </c>
      <c r="O98" s="88">
        <f>Assumptions!$D$30</f>
        <v>2756</v>
      </c>
      <c r="P98" s="23">
        <f>(Model_Renter[[#This Row],[Monthly Investment]]*-1)+Model_Renter[[#This Row],[Less Renter''s Insurance]]</f>
        <v>-1549.4005829665653</v>
      </c>
    </row>
    <row r="99" spans="1:16" x14ac:dyDescent="0.25">
      <c r="A99" s="17">
        <f t="shared" si="7"/>
        <v>97</v>
      </c>
      <c r="B99" s="17">
        <f t="shared" si="8"/>
        <v>9</v>
      </c>
      <c r="C99" s="23">
        <f>MAX(Model_30y!V99, Model_15y!V99)</f>
        <v>5143.3663722216443</v>
      </c>
      <c r="D99" s="2">
        <f>D87*(1+Assumptions!$D$52)</f>
        <v>-3696.9975477001935</v>
      </c>
      <c r="E99" s="2">
        <f>E87+(E87*Assumptions!$D$52)</f>
        <v>-30.853027430008844</v>
      </c>
      <c r="F99" s="22">
        <f t="shared" si="9"/>
        <v>1415.515797091442</v>
      </c>
      <c r="G99" s="5">
        <f t="shared" si="10"/>
        <v>421247.9389561665</v>
      </c>
      <c r="H99" s="5">
        <f t="shared" si="11"/>
        <v>1415.515797091442</v>
      </c>
      <c r="I99" s="3">
        <f>Assumptions!$E$45</f>
        <v>6.9899151946608562E-3</v>
      </c>
      <c r="J99" s="5">
        <f t="shared" si="12"/>
        <v>425607.94212248718</v>
      </c>
      <c r="K99" s="5">
        <f>J99*Assumptions!$E$43</f>
        <v>381.16404533895809</v>
      </c>
      <c r="L99" s="5">
        <f>K99*Assumptions!$D$44*-1</f>
        <v>-57.174606800843712</v>
      </c>
      <c r="M99" s="2">
        <f>J99*Assumptions!$E$46*-1</f>
        <v>-14.184331131182825</v>
      </c>
      <c r="N99" s="5">
        <f t="shared" si="13"/>
        <v>425536.58318455517</v>
      </c>
      <c r="O99" s="88">
        <f>Assumptions!$D$30</f>
        <v>2756</v>
      </c>
      <c r="P99" s="23">
        <f>(Model_Renter[[#This Row],[Monthly Investment]]*-1)+Model_Renter[[#This Row],[Less Renter''s Insurance]]</f>
        <v>-1446.3688245214507</v>
      </c>
    </row>
    <row r="100" spans="1:16" x14ac:dyDescent="0.25">
      <c r="A100" s="17">
        <f t="shared" si="7"/>
        <v>98</v>
      </c>
      <c r="B100" s="17">
        <f t="shared" si="8"/>
        <v>9</v>
      </c>
      <c r="C100" s="23">
        <f>MAX(Model_30y!V100, Model_15y!V100)</f>
        <v>5150.788136142407</v>
      </c>
      <c r="D100" s="2">
        <f>D88*(1+Assumptions!$D$52)</f>
        <v>-3696.9975477001935</v>
      </c>
      <c r="E100" s="2">
        <f>E88+(E88*Assumptions!$D$52)</f>
        <v>-30.853027430008844</v>
      </c>
      <c r="F100" s="22">
        <f t="shared" si="9"/>
        <v>1422.9375610122047</v>
      </c>
      <c r="G100" s="5">
        <f t="shared" si="10"/>
        <v>425536.58318455517</v>
      </c>
      <c r="H100" s="5">
        <f t="shared" si="11"/>
        <v>1422.9375610122047</v>
      </c>
      <c r="I100" s="3">
        <f>Assumptions!$E$45</f>
        <v>6.9899151946608562E-3</v>
      </c>
      <c r="J100" s="5">
        <f t="shared" si="12"/>
        <v>429933.98537425319</v>
      </c>
      <c r="K100" s="5">
        <f>J100*Assumptions!$E$43</f>
        <v>385.03834368482842</v>
      </c>
      <c r="L100" s="5">
        <f>K100*Assumptions!$D$44*-1</f>
        <v>-57.755751552724263</v>
      </c>
      <c r="M100" s="2">
        <f>J100*Assumptions!$E$46*-1</f>
        <v>-14.328506142731854</v>
      </c>
      <c r="N100" s="5">
        <f t="shared" si="13"/>
        <v>429861.90111655771</v>
      </c>
      <c r="O100" s="88">
        <f>Assumptions!$D$30</f>
        <v>2756</v>
      </c>
      <c r="P100" s="23">
        <f>(Model_Renter[[#This Row],[Monthly Investment]]*-1)+Model_Renter[[#This Row],[Less Renter''s Insurance]]</f>
        <v>-1453.7905884422134</v>
      </c>
    </row>
    <row r="101" spans="1:16" x14ac:dyDescent="0.25">
      <c r="A101" s="17">
        <f t="shared" si="7"/>
        <v>99</v>
      </c>
      <c r="B101" s="17">
        <f t="shared" si="8"/>
        <v>9</v>
      </c>
      <c r="C101" s="23">
        <f>MAX(Model_30y!V101, Model_15y!V101)</f>
        <v>5158.2401372480754</v>
      </c>
      <c r="D101" s="2">
        <f>D89*(1+Assumptions!$D$52)</f>
        <v>-3696.9975477001935</v>
      </c>
      <c r="E101" s="2">
        <f>E89+(E89*Assumptions!$D$52)</f>
        <v>-30.853027430008844</v>
      </c>
      <c r="F101" s="22">
        <f t="shared" si="9"/>
        <v>1430.3895621178731</v>
      </c>
      <c r="G101" s="5">
        <f t="shared" si="10"/>
        <v>429861.90111655771</v>
      </c>
      <c r="H101" s="5">
        <f t="shared" si="11"/>
        <v>1430.3895621178731</v>
      </c>
      <c r="I101" s="3">
        <f>Assumptions!$E$45</f>
        <v>6.9899151946608562E-3</v>
      </c>
      <c r="J101" s="5">
        <f t="shared" si="12"/>
        <v>434296.98891289602</v>
      </c>
      <c r="K101" s="5">
        <f>J101*Assumptions!$E$43</f>
        <v>388.94574275807855</v>
      </c>
      <c r="L101" s="5">
        <f>K101*Assumptions!$D$44*-1</f>
        <v>-58.341861413711783</v>
      </c>
      <c r="M101" s="2">
        <f>J101*Assumptions!$E$46*-1</f>
        <v>-14.473912938032731</v>
      </c>
      <c r="N101" s="5">
        <f t="shared" si="13"/>
        <v>434224.17313854425</v>
      </c>
      <c r="O101" s="88">
        <f>Assumptions!$D$30</f>
        <v>2756</v>
      </c>
      <c r="P101" s="23">
        <f>(Model_Renter[[#This Row],[Monthly Investment]]*-1)+Model_Renter[[#This Row],[Less Renter''s Insurance]]</f>
        <v>-1461.2425895478818</v>
      </c>
    </row>
    <row r="102" spans="1:16" x14ac:dyDescent="0.25">
      <c r="A102" s="17">
        <f t="shared" si="7"/>
        <v>100</v>
      </c>
      <c r="B102" s="17">
        <f t="shared" si="8"/>
        <v>9</v>
      </c>
      <c r="C102" s="23">
        <f>MAX(Model_30y!V102, Model_15y!V102)</f>
        <v>5165.7224987286845</v>
      </c>
      <c r="D102" s="2">
        <f>D90*(1+Assumptions!$D$52)</f>
        <v>-3696.9975477001935</v>
      </c>
      <c r="E102" s="2">
        <f>E90+(E90*Assumptions!$D$52)</f>
        <v>-30.853027430008844</v>
      </c>
      <c r="F102" s="22">
        <f t="shared" si="9"/>
        <v>1437.8719235984822</v>
      </c>
      <c r="G102" s="5">
        <f t="shared" si="10"/>
        <v>434224.17313854425</v>
      </c>
      <c r="H102" s="5">
        <f t="shared" si="11"/>
        <v>1437.8719235984822</v>
      </c>
      <c r="I102" s="3">
        <f>Assumptions!$E$45</f>
        <v>6.9899151946608562E-3</v>
      </c>
      <c r="J102" s="5">
        <f t="shared" si="12"/>
        <v>438697.23520785285</v>
      </c>
      <c r="K102" s="5">
        <f>J102*Assumptions!$E$43</f>
        <v>392.88649553141568</v>
      </c>
      <c r="L102" s="5">
        <f>K102*Assumptions!$D$44*-1</f>
        <v>-58.932974329712351</v>
      </c>
      <c r="M102" s="2">
        <f>J102*Assumptions!$E$46*-1</f>
        <v>-14.620560931007603</v>
      </c>
      <c r="N102" s="5">
        <f t="shared" si="13"/>
        <v>438623.68167259212</v>
      </c>
      <c r="O102" s="88">
        <f>Assumptions!$D$30</f>
        <v>2756</v>
      </c>
      <c r="P102" s="23">
        <f>(Model_Renter[[#This Row],[Monthly Investment]]*-1)+Model_Renter[[#This Row],[Less Renter''s Insurance]]</f>
        <v>-1468.724951028491</v>
      </c>
    </row>
    <row r="103" spans="1:16" x14ac:dyDescent="0.25">
      <c r="A103" s="17">
        <f t="shared" si="7"/>
        <v>101</v>
      </c>
      <c r="B103" s="17">
        <f t="shared" si="8"/>
        <v>9</v>
      </c>
      <c r="C103" s="23">
        <f>MAX(Model_30y!V103, Model_15y!V103)</f>
        <v>5173.2353442761596</v>
      </c>
      <c r="D103" s="2">
        <f>D91*(1+Assumptions!$D$52)</f>
        <v>-3696.9975477001935</v>
      </c>
      <c r="E103" s="2">
        <f>E91+(E91*Assumptions!$D$52)</f>
        <v>-30.853027430008844</v>
      </c>
      <c r="F103" s="22">
        <f t="shared" si="9"/>
        <v>1445.3847691459573</v>
      </c>
      <c r="G103" s="5">
        <f t="shared" si="10"/>
        <v>438623.68167259212</v>
      </c>
      <c r="H103" s="5">
        <f t="shared" si="11"/>
        <v>1445.3847691459573</v>
      </c>
      <c r="I103" s="3">
        <f>Assumptions!$E$45</f>
        <v>6.9899151946608562E-3</v>
      </c>
      <c r="J103" s="5">
        <f t="shared" si="12"/>
        <v>443135.00877899944</v>
      </c>
      <c r="K103" s="5">
        <f>J103*Assumptions!$E$43</f>
        <v>396.8608568138697</v>
      </c>
      <c r="L103" s="5">
        <f>K103*Assumptions!$D$44*-1</f>
        <v>-59.529128522080455</v>
      </c>
      <c r="M103" s="2">
        <f>J103*Assumptions!$E$46*-1</f>
        <v>-14.768459603914039</v>
      </c>
      <c r="N103" s="5">
        <f t="shared" si="13"/>
        <v>443060.71119087347</v>
      </c>
      <c r="O103" s="88">
        <f>Assumptions!$D$30</f>
        <v>2756</v>
      </c>
      <c r="P103" s="23">
        <f>(Model_Renter[[#This Row],[Monthly Investment]]*-1)+Model_Renter[[#This Row],[Less Renter''s Insurance]]</f>
        <v>-1476.2377965759661</v>
      </c>
    </row>
    <row r="104" spans="1:16" x14ac:dyDescent="0.25">
      <c r="A104" s="17">
        <f t="shared" si="7"/>
        <v>102</v>
      </c>
      <c r="B104" s="17">
        <f t="shared" si="8"/>
        <v>9</v>
      </c>
      <c r="C104" s="23">
        <f>MAX(Model_30y!V104, Model_15y!V104)</f>
        <v>5180.7787980863623</v>
      </c>
      <c r="D104" s="2">
        <f>D92*(1+Assumptions!$D$52)</f>
        <v>-3696.9975477001935</v>
      </c>
      <c r="E104" s="2">
        <f>E92+(E92*Assumptions!$D$52)</f>
        <v>-30.853027430008844</v>
      </c>
      <c r="F104" s="22">
        <f t="shared" si="9"/>
        <v>1452.92822295616</v>
      </c>
      <c r="G104" s="5">
        <f t="shared" si="10"/>
        <v>443060.71119087347</v>
      </c>
      <c r="H104" s="5">
        <f t="shared" si="11"/>
        <v>1452.92822295616</v>
      </c>
      <c r="I104" s="3">
        <f>Assumptions!$E$45</f>
        <v>6.9899151946608562E-3</v>
      </c>
      <c r="J104" s="5">
        <f t="shared" si="12"/>
        <v>447610.59621113993</v>
      </c>
      <c r="K104" s="5">
        <f>J104*Assumptions!$E$43</f>
        <v>400.86908326376971</v>
      </c>
      <c r="L104" s="5">
        <f>K104*Assumptions!$D$44*-1</f>
        <v>-60.130362489565456</v>
      </c>
      <c r="M104" s="2">
        <f>J104*Assumptions!$E$46*-1</f>
        <v>-14.917618507827939</v>
      </c>
      <c r="N104" s="5">
        <f t="shared" si="13"/>
        <v>447535.54823014251</v>
      </c>
      <c r="O104" s="88">
        <f>Assumptions!$D$30</f>
        <v>2756</v>
      </c>
      <c r="P104" s="23">
        <f>(Model_Renter[[#This Row],[Monthly Investment]]*-1)+Model_Renter[[#This Row],[Less Renter''s Insurance]]</f>
        <v>-1483.7812503861687</v>
      </c>
    </row>
    <row r="105" spans="1:16" x14ac:dyDescent="0.25">
      <c r="A105" s="17">
        <f t="shared" si="7"/>
        <v>103</v>
      </c>
      <c r="B105" s="17">
        <f t="shared" si="8"/>
        <v>9</v>
      </c>
      <c r="C105" s="23">
        <f>MAX(Model_30y!V105, Model_15y!V105)</f>
        <v>5188.3529848611433</v>
      </c>
      <c r="D105" s="2">
        <f>D93*(1+Assumptions!$D$52)</f>
        <v>-3696.9975477001935</v>
      </c>
      <c r="E105" s="2">
        <f>E93+(E93*Assumptions!$D$52)</f>
        <v>-30.853027430008844</v>
      </c>
      <c r="F105" s="22">
        <f t="shared" si="9"/>
        <v>1460.5024097309411</v>
      </c>
      <c r="G105" s="5">
        <f t="shared" si="10"/>
        <v>447535.54823014251</v>
      </c>
      <c r="H105" s="5">
        <f t="shared" si="11"/>
        <v>1460.5024097309411</v>
      </c>
      <c r="I105" s="3">
        <f>Assumptions!$E$45</f>
        <v>6.9899151946608562E-3</v>
      </c>
      <c r="J105" s="5">
        <f t="shared" si="12"/>
        <v>452124.28616859816</v>
      </c>
      <c r="K105" s="5">
        <f>J105*Assumptions!$E$43</f>
        <v>404.91143340181173</v>
      </c>
      <c r="L105" s="5">
        <f>K105*Assumptions!$D$44*-1</f>
        <v>-60.736715010271759</v>
      </c>
      <c r="M105" s="2">
        <f>J105*Assumptions!$E$46*-1</f>
        <v>-15.068047263129824</v>
      </c>
      <c r="N105" s="5">
        <f t="shared" si="13"/>
        <v>452048.48140632478</v>
      </c>
      <c r="O105" s="88">
        <f>Assumptions!$D$30</f>
        <v>2756</v>
      </c>
      <c r="P105" s="23">
        <f>(Model_Renter[[#This Row],[Monthly Investment]]*-1)+Model_Renter[[#This Row],[Less Renter''s Insurance]]</f>
        <v>-1491.3554371609498</v>
      </c>
    </row>
    <row r="106" spans="1:16" x14ac:dyDescent="0.25">
      <c r="A106" s="17">
        <f t="shared" si="7"/>
        <v>104</v>
      </c>
      <c r="B106" s="17">
        <f t="shared" si="8"/>
        <v>9</v>
      </c>
      <c r="C106" s="23">
        <f>MAX(Model_30y!V106, Model_15y!V106)</f>
        <v>5195.9580298104065</v>
      </c>
      <c r="D106" s="2">
        <f>D94*(1+Assumptions!$D$52)</f>
        <v>-3696.9975477001935</v>
      </c>
      <c r="E106" s="2">
        <f>E94+(E94*Assumptions!$D$52)</f>
        <v>-30.853027430008844</v>
      </c>
      <c r="F106" s="22">
        <f t="shared" si="9"/>
        <v>1468.1074546802042</v>
      </c>
      <c r="G106" s="5">
        <f t="shared" si="10"/>
        <v>452048.48140632478</v>
      </c>
      <c r="H106" s="5">
        <f t="shared" si="11"/>
        <v>1468.1074546802042</v>
      </c>
      <c r="I106" s="3">
        <f>Assumptions!$E$45</f>
        <v>6.9899151946608562E-3</v>
      </c>
      <c r="J106" s="5">
        <f t="shared" si="12"/>
        <v>456676.3694099104</v>
      </c>
      <c r="K106" s="5">
        <f>J106*Assumptions!$E$43</f>
        <v>408.98816762421706</v>
      </c>
      <c r="L106" s="5">
        <f>K106*Assumptions!$D$44*-1</f>
        <v>-61.348225143632554</v>
      </c>
      <c r="M106" s="2">
        <f>J106*Assumptions!$E$46*-1</f>
        <v>-15.219755559994496</v>
      </c>
      <c r="N106" s="5">
        <f t="shared" si="13"/>
        <v>456599.8014292068</v>
      </c>
      <c r="O106" s="88">
        <f>Assumptions!$D$30</f>
        <v>2756</v>
      </c>
      <c r="P106" s="23">
        <f>(Model_Renter[[#This Row],[Monthly Investment]]*-1)+Model_Renter[[#This Row],[Less Renter''s Insurance]]</f>
        <v>-1498.960482110213</v>
      </c>
    </row>
    <row r="107" spans="1:16" x14ac:dyDescent="0.25">
      <c r="A107" s="17">
        <f t="shared" si="7"/>
        <v>105</v>
      </c>
      <c r="B107" s="17">
        <f t="shared" si="8"/>
        <v>9</v>
      </c>
      <c r="C107" s="23">
        <f>MAX(Model_30y!V107, Model_15y!V107)</f>
        <v>5203.5940586541728</v>
      </c>
      <c r="D107" s="2">
        <f>D95*(1+Assumptions!$D$52)</f>
        <v>-3696.9975477001935</v>
      </c>
      <c r="E107" s="2">
        <f>E95+(E95*Assumptions!$D$52)</f>
        <v>-30.853027430008844</v>
      </c>
      <c r="F107" s="22">
        <f t="shared" si="9"/>
        <v>1475.7434835239706</v>
      </c>
      <c r="G107" s="5">
        <f t="shared" si="10"/>
        <v>456599.8014292068</v>
      </c>
      <c r="H107" s="5">
        <f t="shared" si="11"/>
        <v>1475.7434835239706</v>
      </c>
      <c r="I107" s="3">
        <f>Assumptions!$E$45</f>
        <v>6.9899151946608562E-3</v>
      </c>
      <c r="J107" s="5">
        <f t="shared" si="12"/>
        <v>461267.13880261988</v>
      </c>
      <c r="K107" s="5">
        <f>J107*Assumptions!$E$43</f>
        <v>413.09954821598205</v>
      </c>
      <c r="L107" s="5">
        <f>K107*Assumptions!$D$44*-1</f>
        <v>-61.964932232397302</v>
      </c>
      <c r="M107" s="2">
        <f>J107*Assumptions!$E$46*-1</f>
        <v>-15.372753158884111</v>
      </c>
      <c r="N107" s="5">
        <f t="shared" si="13"/>
        <v>461189.80111722858</v>
      </c>
      <c r="O107" s="88">
        <f>Assumptions!$D$30</f>
        <v>2756</v>
      </c>
      <c r="P107" s="23">
        <f>(Model_Renter[[#This Row],[Monthly Investment]]*-1)+Model_Renter[[#This Row],[Less Renter''s Insurance]]</f>
        <v>-1506.5965109539793</v>
      </c>
    </row>
    <row r="108" spans="1:16" x14ac:dyDescent="0.25">
      <c r="A108" s="17">
        <f t="shared" si="7"/>
        <v>106</v>
      </c>
      <c r="B108" s="17">
        <f t="shared" si="8"/>
        <v>9</v>
      </c>
      <c r="C108" s="23">
        <f>MAX(Model_30y!V108, Model_15y!V108)</f>
        <v>5211.2611976246644</v>
      </c>
      <c r="D108" s="2">
        <f>D96*(1+Assumptions!$D$52)</f>
        <v>-3696.9975477001935</v>
      </c>
      <c r="E108" s="2">
        <f>E96+(E96*Assumptions!$D$52)</f>
        <v>-30.853027430008844</v>
      </c>
      <c r="F108" s="22">
        <f t="shared" si="9"/>
        <v>1483.4106224944621</v>
      </c>
      <c r="G108" s="5">
        <f t="shared" si="10"/>
        <v>461189.80111722858</v>
      </c>
      <c r="H108" s="5">
        <f t="shared" si="11"/>
        <v>1483.4106224944621</v>
      </c>
      <c r="I108" s="3">
        <f>Assumptions!$E$45</f>
        <v>6.9899151946608562E-3</v>
      </c>
      <c r="J108" s="5">
        <f t="shared" si="12"/>
        <v>465896.88933817501</v>
      </c>
      <c r="K108" s="5">
        <f>J108*Assumptions!$E$43</f>
        <v>417.24583936422033</v>
      </c>
      <c r="L108" s="5">
        <f>K108*Assumptions!$D$44*-1</f>
        <v>-62.586875904633047</v>
      </c>
      <c r="M108" s="2">
        <f>J108*Assumptions!$E$46*-1</f>
        <v>-15.527049891044681</v>
      </c>
      <c r="N108" s="5">
        <f t="shared" si="13"/>
        <v>465818.77541237936</v>
      </c>
      <c r="O108" s="88">
        <f>Assumptions!$D$30</f>
        <v>2756</v>
      </c>
      <c r="P108" s="23">
        <f>(Model_Renter[[#This Row],[Monthly Investment]]*-1)+Model_Renter[[#This Row],[Less Renter''s Insurance]]</f>
        <v>-1514.2636499244709</v>
      </c>
    </row>
    <row r="109" spans="1:16" x14ac:dyDescent="0.25">
      <c r="A109" s="17">
        <f t="shared" si="7"/>
        <v>107</v>
      </c>
      <c r="B109" s="17">
        <f t="shared" si="8"/>
        <v>9</v>
      </c>
      <c r="C109" s="23">
        <f>MAX(Model_30y!V109, Model_15y!V109)</f>
        <v>5218.959573468388</v>
      </c>
      <c r="D109" s="2">
        <f>D97*(1+Assumptions!$D$52)</f>
        <v>-3696.9975477001935</v>
      </c>
      <c r="E109" s="2">
        <f>E97+(E97*Assumptions!$D$52)</f>
        <v>-30.853027430008844</v>
      </c>
      <c r="F109" s="22">
        <f t="shared" si="9"/>
        <v>1491.1089983381858</v>
      </c>
      <c r="G109" s="5">
        <f t="shared" si="10"/>
        <v>465818.77541237936</v>
      </c>
      <c r="H109" s="5">
        <f t="shared" si="11"/>
        <v>1491.1089983381858</v>
      </c>
      <c r="I109" s="3">
        <f>Assumptions!$E$45</f>
        <v>6.9899151946608562E-3</v>
      </c>
      <c r="J109" s="5">
        <f t="shared" si="12"/>
        <v>470565.91814693081</v>
      </c>
      <c r="K109" s="5">
        <f>J109*Assumptions!$E$43</f>
        <v>421.42730717159816</v>
      </c>
      <c r="L109" s="5">
        <f>K109*Assumptions!$D$44*-1</f>
        <v>-63.214096075739718</v>
      </c>
      <c r="M109" s="2">
        <f>J109*Assumptions!$E$46*-1</f>
        <v>-15.682655659006043</v>
      </c>
      <c r="N109" s="5">
        <f t="shared" si="13"/>
        <v>470487.02139519609</v>
      </c>
      <c r="O109" s="88">
        <f>Assumptions!$D$30</f>
        <v>2756</v>
      </c>
      <c r="P109" s="23">
        <f>(Model_Renter[[#This Row],[Monthly Investment]]*-1)+Model_Renter[[#This Row],[Less Renter''s Insurance]]</f>
        <v>-1521.9620257681945</v>
      </c>
    </row>
    <row r="110" spans="1:16" x14ac:dyDescent="0.25">
      <c r="A110" s="17">
        <f t="shared" si="7"/>
        <v>108</v>
      </c>
      <c r="B110" s="17">
        <f t="shared" si="8"/>
        <v>9</v>
      </c>
      <c r="C110" s="23">
        <f>MAX(Model_30y!V110, Model_15y!V110)</f>
        <v>5226.6893134482325</v>
      </c>
      <c r="D110" s="2">
        <f>D98*(1+Assumptions!$D$52)</f>
        <v>-3696.9975477001935</v>
      </c>
      <c r="E110" s="2">
        <f>E98+(E98*Assumptions!$D$52)</f>
        <v>-30.853027430008844</v>
      </c>
      <c r="F110" s="22">
        <f t="shared" si="9"/>
        <v>1498.8387383180302</v>
      </c>
      <c r="G110" s="5">
        <f t="shared" si="10"/>
        <v>470487.02139519609</v>
      </c>
      <c r="H110" s="5">
        <f t="shared" si="11"/>
        <v>1498.8387383180302</v>
      </c>
      <c r="I110" s="3">
        <f>Assumptions!$E$45</f>
        <v>6.9899151946608562E-3</v>
      </c>
      <c r="J110" s="5">
        <f t="shared" si="12"/>
        <v>475274.52451325511</v>
      </c>
      <c r="K110" s="5">
        <f>J110*Assumptions!$E$43</f>
        <v>425.64421966986265</v>
      </c>
      <c r="L110" s="5">
        <f>K110*Assumptions!$D$44*-1</f>
        <v>-63.846632950479396</v>
      </c>
      <c r="M110" s="2">
        <f>J110*Assumptions!$E$46*-1</f>
        <v>-15.839580437085296</v>
      </c>
      <c r="N110" s="5">
        <f t="shared" si="13"/>
        <v>475194.83829986752</v>
      </c>
      <c r="O110" s="88">
        <f>Assumptions!$D$30</f>
        <v>2756</v>
      </c>
      <c r="P110" s="23">
        <f>(Model_Renter[[#This Row],[Monthly Investment]]*-1)+Model_Renter[[#This Row],[Less Renter''s Insurance]]</f>
        <v>-1529.691765748039</v>
      </c>
    </row>
    <row r="111" spans="1:16" x14ac:dyDescent="0.25">
      <c r="A111" s="17">
        <f t="shared" ref="A111:A174" si="14">A110+1</f>
        <v>109</v>
      </c>
      <c r="B111" s="17">
        <f t="shared" si="8"/>
        <v>10</v>
      </c>
      <c r="C111" s="23">
        <f>MAX(Model_30y!V111, Model_15y!V111)</f>
        <v>5258.4530402427918</v>
      </c>
      <c r="D111" s="2">
        <f>D99*(1+Assumptions!$D$52)</f>
        <v>-3835.2652559841813</v>
      </c>
      <c r="E111" s="2">
        <f>E99+(E99*Assumptions!$D$52)</f>
        <v>-32.006930655891175</v>
      </c>
      <c r="F111" s="22">
        <f t="shared" si="9"/>
        <v>1391.1808536027193</v>
      </c>
      <c r="G111" s="5">
        <f t="shared" si="10"/>
        <v>475194.83829986752</v>
      </c>
      <c r="H111" s="5">
        <f t="shared" si="11"/>
        <v>1391.1808536027193</v>
      </c>
      <c r="I111" s="3">
        <f>Assumptions!$E$45</f>
        <v>6.9899151946608562E-3</v>
      </c>
      <c r="J111" s="5">
        <f t="shared" si="12"/>
        <v>479907.59077412687</v>
      </c>
      <c r="K111" s="5">
        <f>J111*Assumptions!$E$43</f>
        <v>429.79348030045747</v>
      </c>
      <c r="L111" s="5">
        <f>K111*Assumptions!$D$44*-1</f>
        <v>-64.469022045068613</v>
      </c>
      <c r="M111" s="2">
        <f>J111*Assumptions!$E$46*-1</f>
        <v>-15.993987673165499</v>
      </c>
      <c r="N111" s="5">
        <f t="shared" si="13"/>
        <v>479827.12776440865</v>
      </c>
      <c r="O111" s="88">
        <f>Assumptions!$D$30</f>
        <v>2756</v>
      </c>
      <c r="P111" s="23">
        <f>(Model_Renter[[#This Row],[Monthly Investment]]*-1)+Model_Renter[[#This Row],[Less Renter''s Insurance]]</f>
        <v>-1423.1877842586105</v>
      </c>
    </row>
    <row r="112" spans="1:16" x14ac:dyDescent="0.25">
      <c r="A112" s="17">
        <f t="shared" si="14"/>
        <v>110</v>
      </c>
      <c r="B112" s="17">
        <f t="shared" si="8"/>
        <v>10</v>
      </c>
      <c r="C112" s="23">
        <f>MAX(Model_30y!V112, Model_15y!V112)</f>
        <v>5266.2458923595932</v>
      </c>
      <c r="D112" s="2">
        <f>D100*(1+Assumptions!$D$52)</f>
        <v>-3835.2652559841813</v>
      </c>
      <c r="E112" s="2">
        <f>E100+(E100*Assumptions!$D$52)</f>
        <v>-32.006930655891175</v>
      </c>
      <c r="F112" s="22">
        <f t="shared" si="9"/>
        <v>1398.9737057195207</v>
      </c>
      <c r="G112" s="5">
        <f t="shared" si="10"/>
        <v>479827.12776440865</v>
      </c>
      <c r="H112" s="5">
        <f t="shared" si="11"/>
        <v>1398.9737057195207</v>
      </c>
      <c r="I112" s="3">
        <f>Assumptions!$E$45</f>
        <v>6.9899151946608562E-3</v>
      </c>
      <c r="J112" s="5">
        <f t="shared" si="12"/>
        <v>484580.05240129906</v>
      </c>
      <c r="K112" s="5">
        <f>J112*Assumptions!$E$43</f>
        <v>433.9780224559031</v>
      </c>
      <c r="L112" s="5">
        <f>K112*Assumptions!$D$44*-1</f>
        <v>-65.096703368385462</v>
      </c>
      <c r="M112" s="2">
        <f>J112*Assumptions!$E$46*-1</f>
        <v>-16.149707847434431</v>
      </c>
      <c r="N112" s="5">
        <f t="shared" si="13"/>
        <v>484498.80599008326</v>
      </c>
      <c r="O112" s="88">
        <f>Assumptions!$D$30</f>
        <v>2756</v>
      </c>
      <c r="P112" s="23">
        <f>(Model_Renter[[#This Row],[Monthly Investment]]*-1)+Model_Renter[[#This Row],[Less Renter''s Insurance]]</f>
        <v>-1430.9806363754119</v>
      </c>
    </row>
    <row r="113" spans="1:16" x14ac:dyDescent="0.25">
      <c r="A113" s="17">
        <f t="shared" si="14"/>
        <v>111</v>
      </c>
      <c r="B113" s="17">
        <f t="shared" si="8"/>
        <v>10</v>
      </c>
      <c r="C113" s="23">
        <f>MAX(Model_30y!V113, Model_15y!V113)</f>
        <v>5274.0704935205449</v>
      </c>
      <c r="D113" s="2">
        <f>D101*(1+Assumptions!$D$52)</f>
        <v>-3835.2652559841813</v>
      </c>
      <c r="E113" s="2">
        <f>E101+(E101*Assumptions!$D$52)</f>
        <v>-32.006930655891175</v>
      </c>
      <c r="F113" s="22">
        <f t="shared" si="9"/>
        <v>1406.7983068804724</v>
      </c>
      <c r="G113" s="5">
        <f t="shared" si="10"/>
        <v>484498.80599008326</v>
      </c>
      <c r="H113" s="5">
        <f t="shared" si="11"/>
        <v>1406.7983068804724</v>
      </c>
      <c r="I113" s="3">
        <f>Assumptions!$E$45</f>
        <v>6.9899151946608562E-3</v>
      </c>
      <c r="J113" s="5">
        <f t="shared" si="12"/>
        <v>489292.20986274886</v>
      </c>
      <c r="K113" s="5">
        <f>J113*Assumptions!$E$43</f>
        <v>438.19811522795823</v>
      </c>
      <c r="L113" s="5">
        <f>K113*Assumptions!$D$44*-1</f>
        <v>-65.729717284193725</v>
      </c>
      <c r="M113" s="2">
        <f>J113*Assumptions!$E$46*-1</f>
        <v>-16.30675097365561</v>
      </c>
      <c r="N113" s="5">
        <f t="shared" si="13"/>
        <v>489210.17339449102</v>
      </c>
      <c r="O113" s="88">
        <f>Assumptions!$D$30</f>
        <v>2756</v>
      </c>
      <c r="P113" s="23">
        <f>(Model_Renter[[#This Row],[Monthly Investment]]*-1)+Model_Renter[[#This Row],[Less Renter''s Insurance]]</f>
        <v>-1438.8052375363636</v>
      </c>
    </row>
    <row r="114" spans="1:16" x14ac:dyDescent="0.25">
      <c r="A114" s="17">
        <f t="shared" si="14"/>
        <v>112</v>
      </c>
      <c r="B114" s="17">
        <f t="shared" si="8"/>
        <v>10</v>
      </c>
      <c r="C114" s="23">
        <f>MAX(Model_30y!V114, Model_15y!V114)</f>
        <v>5281.9269730751839</v>
      </c>
      <c r="D114" s="2">
        <f>D102*(1+Assumptions!$D$52)</f>
        <v>-3835.2652559841813</v>
      </c>
      <c r="E114" s="2">
        <f>E102+(E102*Assumptions!$D$52)</f>
        <v>-32.006930655891175</v>
      </c>
      <c r="F114" s="22">
        <f t="shared" si="9"/>
        <v>1414.6547864351114</v>
      </c>
      <c r="G114" s="5">
        <f t="shared" si="10"/>
        <v>489210.17339449102</v>
      </c>
      <c r="H114" s="5">
        <f t="shared" si="11"/>
        <v>1414.6547864351114</v>
      </c>
      <c r="I114" s="3">
        <f>Assumptions!$E$45</f>
        <v>6.9899151946608562E-3</v>
      </c>
      <c r="J114" s="5">
        <f t="shared" si="12"/>
        <v>494044.36580531899</v>
      </c>
      <c r="K114" s="5">
        <f>J114*Assumptions!$E$43</f>
        <v>442.45402965972016</v>
      </c>
      <c r="L114" s="5">
        <f>K114*Assumptions!$D$44*-1</f>
        <v>-66.368104448958022</v>
      </c>
      <c r="M114" s="2">
        <f>J114*Assumptions!$E$46*-1</f>
        <v>-16.465127138208089</v>
      </c>
      <c r="N114" s="5">
        <f t="shared" si="13"/>
        <v>493961.53257373185</v>
      </c>
      <c r="O114" s="88">
        <f>Assumptions!$D$30</f>
        <v>2756</v>
      </c>
      <c r="P114" s="23">
        <f>(Model_Renter[[#This Row],[Monthly Investment]]*-1)+Model_Renter[[#This Row],[Less Renter''s Insurance]]</f>
        <v>-1446.6617170910026</v>
      </c>
    </row>
    <row r="115" spans="1:16" x14ac:dyDescent="0.25">
      <c r="A115" s="17">
        <f t="shared" si="14"/>
        <v>113</v>
      </c>
      <c r="B115" s="17">
        <f t="shared" si="8"/>
        <v>10</v>
      </c>
      <c r="C115" s="23">
        <f>MAX(Model_30y!V115, Model_15y!V115)</f>
        <v>5289.815460900033</v>
      </c>
      <c r="D115" s="2">
        <f>D103*(1+Assumptions!$D$52)</f>
        <v>-3835.2652559841813</v>
      </c>
      <c r="E115" s="2">
        <f>E103+(E103*Assumptions!$D$52)</f>
        <v>-32.006930655891175</v>
      </c>
      <c r="F115" s="22">
        <f t="shared" si="9"/>
        <v>1422.5432742599605</v>
      </c>
      <c r="G115" s="5">
        <f t="shared" si="10"/>
        <v>493961.53257373185</v>
      </c>
      <c r="H115" s="5">
        <f t="shared" si="11"/>
        <v>1422.5432742599605</v>
      </c>
      <c r="I115" s="3">
        <f>Assumptions!$E$45</f>
        <v>6.9899151946608562E-3</v>
      </c>
      <c r="J115" s="5">
        <f t="shared" si="12"/>
        <v>498836.82507010689</v>
      </c>
      <c r="K115" s="5">
        <f>J115*Assumptions!$E$43</f>
        <v>446.74603875940704</v>
      </c>
      <c r="L115" s="5">
        <f>K115*Assumptions!$D$44*-1</f>
        <v>-67.011905813911056</v>
      </c>
      <c r="M115" s="2">
        <f>J115*Assumptions!$E$46*-1</f>
        <v>-16.624846500599343</v>
      </c>
      <c r="N115" s="5">
        <f t="shared" si="13"/>
        <v>498753.18831779237</v>
      </c>
      <c r="O115" s="88">
        <f>Assumptions!$D$30</f>
        <v>2756</v>
      </c>
      <c r="P115" s="23">
        <f>(Model_Renter[[#This Row],[Monthly Investment]]*-1)+Model_Renter[[#This Row],[Less Renter''s Insurance]]</f>
        <v>-1454.5502049158517</v>
      </c>
    </row>
    <row r="116" spans="1:16" x14ac:dyDescent="0.25">
      <c r="A116" s="17">
        <f t="shared" si="14"/>
        <v>114</v>
      </c>
      <c r="B116" s="17">
        <f t="shared" si="8"/>
        <v>10</v>
      </c>
      <c r="C116" s="23">
        <f>MAX(Model_30y!V116, Model_15y!V116)</f>
        <v>5297.7360874007463</v>
      </c>
      <c r="D116" s="2">
        <f>D104*(1+Assumptions!$D$52)</f>
        <v>-3835.2652559841813</v>
      </c>
      <c r="E116" s="2">
        <f>E104+(E104*Assumptions!$D$52)</f>
        <v>-32.006930655891175</v>
      </c>
      <c r="F116" s="22">
        <f t="shared" si="9"/>
        <v>1430.4639007606738</v>
      </c>
      <c r="G116" s="5">
        <f t="shared" si="10"/>
        <v>498753.18831779237</v>
      </c>
      <c r="H116" s="5">
        <f t="shared" si="11"/>
        <v>1430.4639007606738</v>
      </c>
      <c r="I116" s="3">
        <f>Assumptions!$E$45</f>
        <v>6.9899151946608562E-3</v>
      </c>
      <c r="J116" s="5">
        <f t="shared" si="12"/>
        <v>503669.89470796112</v>
      </c>
      <c r="K116" s="5">
        <f>J116*Assumptions!$E$43</f>
        <v>451.0744175142359</v>
      </c>
      <c r="L116" s="5">
        <f>K116*Assumptions!$D$44*-1</f>
        <v>-67.661162627135383</v>
      </c>
      <c r="M116" s="2">
        <f>J116*Assumptions!$E$46*-1</f>
        <v>-16.78591929398171</v>
      </c>
      <c r="N116" s="5">
        <f t="shared" si="13"/>
        <v>503585.44762604003</v>
      </c>
      <c r="O116" s="88">
        <f>Assumptions!$D$30</f>
        <v>2756</v>
      </c>
      <c r="P116" s="23">
        <f>(Model_Renter[[#This Row],[Monthly Investment]]*-1)+Model_Renter[[#This Row],[Less Renter''s Insurance]]</f>
        <v>-1462.470831416565</v>
      </c>
    </row>
    <row r="117" spans="1:16" x14ac:dyDescent="0.25">
      <c r="A117" s="17">
        <f t="shared" si="14"/>
        <v>115</v>
      </c>
      <c r="B117" s="17">
        <f t="shared" si="8"/>
        <v>10</v>
      </c>
      <c r="C117" s="23">
        <f>MAX(Model_30y!V117, Model_15y!V117)</f>
        <v>5305.6889835142674</v>
      </c>
      <c r="D117" s="2">
        <f>D105*(1+Assumptions!$D$52)</f>
        <v>-3835.2652559841813</v>
      </c>
      <c r="E117" s="2">
        <f>E105+(E105*Assumptions!$D$52)</f>
        <v>-32.006930655891175</v>
      </c>
      <c r="F117" s="22">
        <f t="shared" si="9"/>
        <v>1438.4167968741949</v>
      </c>
      <c r="G117" s="5">
        <f t="shared" si="10"/>
        <v>503585.44762604003</v>
      </c>
      <c r="H117" s="5">
        <f t="shared" si="11"/>
        <v>1438.4167968741949</v>
      </c>
      <c r="I117" s="3">
        <f>Assumptions!$E$45</f>
        <v>6.9899151946608562E-3</v>
      </c>
      <c r="J117" s="5">
        <f t="shared" si="12"/>
        <v>508543.88399508555</v>
      </c>
      <c r="K117" s="5">
        <f>J117*Assumptions!$E$43</f>
        <v>455.43944290439754</v>
      </c>
      <c r="L117" s="5">
        <f>K117*Assumptions!$D$44*-1</f>
        <v>-68.315916435659631</v>
      </c>
      <c r="M117" s="2">
        <f>J117*Assumptions!$E$46*-1</f>
        <v>-16.948355825672451</v>
      </c>
      <c r="N117" s="5">
        <f t="shared" si="13"/>
        <v>508458.61972282419</v>
      </c>
      <c r="O117" s="88">
        <f>Assumptions!$D$30</f>
        <v>2756</v>
      </c>
      <c r="P117" s="23">
        <f>(Model_Renter[[#This Row],[Monthly Investment]]*-1)+Model_Renter[[#This Row],[Less Renter''s Insurance]]</f>
        <v>-1470.4237275300861</v>
      </c>
    </row>
    <row r="118" spans="1:16" x14ac:dyDescent="0.25">
      <c r="A118" s="17">
        <f t="shared" si="14"/>
        <v>116</v>
      </c>
      <c r="B118" s="17">
        <f t="shared" si="8"/>
        <v>10</v>
      </c>
      <c r="C118" s="23">
        <f>MAX(Model_30y!V118, Model_15y!V118)</f>
        <v>5313.6742807109931</v>
      </c>
      <c r="D118" s="2">
        <f>D106*(1+Assumptions!$D$52)</f>
        <v>-3835.2652559841813</v>
      </c>
      <c r="E118" s="2">
        <f>E106+(E106*Assumptions!$D$52)</f>
        <v>-32.006930655891175</v>
      </c>
      <c r="F118" s="22">
        <f t="shared" si="9"/>
        <v>1446.4020940709206</v>
      </c>
      <c r="G118" s="5">
        <f t="shared" si="10"/>
        <v>508458.61972282419</v>
      </c>
      <c r="H118" s="5">
        <f t="shared" si="11"/>
        <v>1446.4020940709206</v>
      </c>
      <c r="I118" s="3">
        <f>Assumptions!$E$45</f>
        <v>6.9899151946608562E-3</v>
      </c>
      <c r="J118" s="5">
        <f t="shared" si="12"/>
        <v>513459.10444875195</v>
      </c>
      <c r="K118" s="5">
        <f>J118*Assumptions!$E$43</f>
        <v>459.84139391712813</v>
      </c>
      <c r="L118" s="5">
        <f>K118*Assumptions!$D$44*-1</f>
        <v>-68.976209087569217</v>
      </c>
      <c r="M118" s="2">
        <f>J118*Assumptions!$E$46*-1</f>
        <v>-17.112166477677395</v>
      </c>
      <c r="N118" s="5">
        <f t="shared" si="13"/>
        <v>513373.01607318671</v>
      </c>
      <c r="O118" s="88">
        <f>Assumptions!$D$30</f>
        <v>2756</v>
      </c>
      <c r="P118" s="23">
        <f>(Model_Renter[[#This Row],[Monthly Investment]]*-1)+Model_Renter[[#This Row],[Less Renter''s Insurance]]</f>
        <v>-1478.4090247268118</v>
      </c>
    </row>
    <row r="119" spans="1:16" x14ac:dyDescent="0.25">
      <c r="A119" s="17">
        <f t="shared" si="14"/>
        <v>117</v>
      </c>
      <c r="B119" s="17">
        <f t="shared" si="8"/>
        <v>10</v>
      </c>
      <c r="C119" s="23">
        <f>MAX(Model_30y!V119, Model_15y!V119)</f>
        <v>5321.692110996948</v>
      </c>
      <c r="D119" s="2">
        <f>D107*(1+Assumptions!$D$52)</f>
        <v>-3835.2652559841813</v>
      </c>
      <c r="E119" s="2">
        <f>E107+(E107*Assumptions!$D$52)</f>
        <v>-32.006930655891175</v>
      </c>
      <c r="F119" s="22">
        <f t="shared" si="9"/>
        <v>1454.4199243568755</v>
      </c>
      <c r="G119" s="5">
        <f t="shared" si="10"/>
        <v>513373.01607318671</v>
      </c>
      <c r="H119" s="5">
        <f t="shared" si="11"/>
        <v>1454.4199243568755</v>
      </c>
      <c r="I119" s="3">
        <f>Assumptions!$E$45</f>
        <v>6.9899151946608562E-3</v>
      </c>
      <c r="J119" s="5">
        <f t="shared" si="12"/>
        <v>518415.86984312243</v>
      </c>
      <c r="K119" s="5">
        <f>J119*Assumptions!$E$43</f>
        <v>464.2805515608797</v>
      </c>
      <c r="L119" s="5">
        <f>K119*Assumptions!$D$44*-1</f>
        <v>-69.642082734131947</v>
      </c>
      <c r="M119" s="2">
        <f>J119*Assumptions!$E$46*-1</f>
        <v>-17.277361707218258</v>
      </c>
      <c r="N119" s="5">
        <f t="shared" si="13"/>
        <v>518328.9503986811</v>
      </c>
      <c r="O119" s="88">
        <f>Assumptions!$D$30</f>
        <v>2756</v>
      </c>
      <c r="P119" s="23">
        <f>(Model_Renter[[#This Row],[Monthly Investment]]*-1)+Model_Renter[[#This Row],[Less Renter''s Insurance]]</f>
        <v>-1486.4268550127667</v>
      </c>
    </row>
    <row r="120" spans="1:16" x14ac:dyDescent="0.25">
      <c r="A120" s="17">
        <f t="shared" si="14"/>
        <v>118</v>
      </c>
      <c r="B120" s="17">
        <f t="shared" si="8"/>
        <v>10</v>
      </c>
      <c r="C120" s="23">
        <f>MAX(Model_30y!V120, Model_15y!V120)</f>
        <v>5329.7426069159646</v>
      </c>
      <c r="D120" s="2">
        <f>D108*(1+Assumptions!$D$52)</f>
        <v>-3835.2652559841813</v>
      </c>
      <c r="E120" s="2">
        <f>E108+(E108*Assumptions!$D$52)</f>
        <v>-32.006930655891175</v>
      </c>
      <c r="F120" s="22">
        <f t="shared" si="9"/>
        <v>1462.4704202758921</v>
      </c>
      <c r="G120" s="5">
        <f t="shared" si="10"/>
        <v>518328.9503986811</v>
      </c>
      <c r="H120" s="5">
        <f t="shared" si="11"/>
        <v>1462.4704202758921</v>
      </c>
      <c r="I120" s="3">
        <f>Assumptions!$E$45</f>
        <v>6.9899151946608562E-3</v>
      </c>
      <c r="J120" s="5">
        <f t="shared" si="12"/>
        <v>523414.49622518133</v>
      </c>
      <c r="K120" s="5">
        <f>J120*Assumptions!$E$43</f>
        <v>468.75719887958803</v>
      </c>
      <c r="L120" s="5">
        <f>K120*Assumptions!$D$44*-1</f>
        <v>-70.313579831938199</v>
      </c>
      <c r="M120" s="2">
        <f>J120*Assumptions!$E$46*-1</f>
        <v>-17.443952047263615</v>
      </c>
      <c r="N120" s="5">
        <f t="shared" si="13"/>
        <v>523326.73869330215</v>
      </c>
      <c r="O120" s="88">
        <f>Assumptions!$D$30</f>
        <v>2756</v>
      </c>
      <c r="P120" s="23">
        <f>(Model_Renter[[#This Row],[Monthly Investment]]*-1)+Model_Renter[[#This Row],[Less Renter''s Insurance]]</f>
        <v>-1494.4773509317833</v>
      </c>
    </row>
    <row r="121" spans="1:16" x14ac:dyDescent="0.25">
      <c r="A121" s="17">
        <f t="shared" si="14"/>
        <v>119</v>
      </c>
      <c r="B121" s="17">
        <f t="shared" si="8"/>
        <v>10</v>
      </c>
      <c r="C121" s="23">
        <f>MAX(Model_30y!V121, Model_15y!V121)</f>
        <v>5337.8259015518743</v>
      </c>
      <c r="D121" s="2">
        <f>D109*(1+Assumptions!$D$52)</f>
        <v>-3835.2652559841813</v>
      </c>
      <c r="E121" s="2">
        <f>E109+(E109*Assumptions!$D$52)</f>
        <v>-32.006930655891175</v>
      </c>
      <c r="F121" s="22">
        <f t="shared" si="9"/>
        <v>1470.5537149118018</v>
      </c>
      <c r="G121" s="5">
        <f t="shared" si="10"/>
        <v>523326.73869330215</v>
      </c>
      <c r="H121" s="5">
        <f t="shared" si="11"/>
        <v>1470.5537149118018</v>
      </c>
      <c r="I121" s="3">
        <f>Assumptions!$E$45</f>
        <v>6.9899151946608562E-3</v>
      </c>
      <c r="J121" s="5">
        <f t="shared" si="12"/>
        <v>528455.30193077854</v>
      </c>
      <c r="K121" s="5">
        <f>J121*Assumptions!$E$43</f>
        <v>473.27162096704097</v>
      </c>
      <c r="L121" s="5">
        <f>K121*Assumptions!$D$44*-1</f>
        <v>-70.990743145056143</v>
      </c>
      <c r="M121" s="2">
        <f>J121*Assumptions!$E$46*-1</f>
        <v>-17.611948107063576</v>
      </c>
      <c r="N121" s="5">
        <f t="shared" si="13"/>
        <v>528366.69923952641</v>
      </c>
      <c r="O121" s="88">
        <f>Assumptions!$D$30</f>
        <v>2756</v>
      </c>
      <c r="P121" s="23">
        <f>(Model_Renter[[#This Row],[Monthly Investment]]*-1)+Model_Renter[[#This Row],[Less Renter''s Insurance]]</f>
        <v>-1502.560645567693</v>
      </c>
    </row>
    <row r="122" spans="1:16" x14ac:dyDescent="0.25">
      <c r="A122" s="17">
        <f t="shared" si="14"/>
        <v>120</v>
      </c>
      <c r="B122" s="17">
        <f t="shared" si="8"/>
        <v>10</v>
      </c>
      <c r="C122" s="23">
        <f>MAX(Model_30y!V122, Model_15y!V122)</f>
        <v>5345.9421285307108</v>
      </c>
      <c r="D122" s="2">
        <f>D110*(1+Assumptions!$D$52)</f>
        <v>-3835.2652559841813</v>
      </c>
      <c r="E122" s="2">
        <f>E110+(E110*Assumptions!$D$52)</f>
        <v>-32.006930655891175</v>
      </c>
      <c r="F122" s="22">
        <f t="shared" si="9"/>
        <v>1478.6699418906383</v>
      </c>
      <c r="G122" s="5">
        <f t="shared" si="10"/>
        <v>528366.69923952641</v>
      </c>
      <c r="H122" s="5">
        <f t="shared" si="11"/>
        <v>1478.6699418906383</v>
      </c>
      <c r="I122" s="3">
        <f>Assumptions!$E$45</f>
        <v>6.9899151946608562E-3</v>
      </c>
      <c r="J122" s="5">
        <f t="shared" si="12"/>
        <v>533538.60760078416</v>
      </c>
      <c r="K122" s="5">
        <f>J122*Assumptions!$E$43</f>
        <v>477.82410498134578</v>
      </c>
      <c r="L122" s="5">
        <f>K122*Assumptions!$D$44*-1</f>
        <v>-71.673615747201865</v>
      </c>
      <c r="M122" s="2">
        <f>J122*Assumptions!$E$46*-1</f>
        <v>-17.781360572688165</v>
      </c>
      <c r="N122" s="5">
        <f t="shared" si="13"/>
        <v>533449.15262446424</v>
      </c>
      <c r="O122" s="88">
        <f>Assumptions!$D$30</f>
        <v>2756</v>
      </c>
      <c r="P122" s="23">
        <f>(Model_Renter[[#This Row],[Monthly Investment]]*-1)+Model_Renter[[#This Row],[Less Renter''s Insurance]]</f>
        <v>-1510.6768725465295</v>
      </c>
    </row>
    <row r="123" spans="1:16" x14ac:dyDescent="0.25">
      <c r="A123" s="17">
        <f t="shared" si="14"/>
        <v>121</v>
      </c>
      <c r="B123" s="17">
        <f t="shared" si="8"/>
        <v>11</v>
      </c>
      <c r="C123" s="23">
        <f>MAX(Model_30y!V123, Model_15y!V123)</f>
        <v>5379.2940416649981</v>
      </c>
      <c r="D123" s="2">
        <f>D111*(1+Assumptions!$D$52)</f>
        <v>-3978.7041765579902</v>
      </c>
      <c r="E123" s="2">
        <f>E111+(E111*Assumptions!$D$52)</f>
        <v>-33.203989862421508</v>
      </c>
      <c r="F123" s="22">
        <f t="shared" si="9"/>
        <v>1367.3858752445863</v>
      </c>
      <c r="G123" s="5">
        <f t="shared" si="10"/>
        <v>533449.15262446424</v>
      </c>
      <c r="H123" s="5">
        <f t="shared" si="11"/>
        <v>1367.3858752445863</v>
      </c>
      <c r="I123" s="3">
        <f>Assumptions!$E$45</f>
        <v>6.9899151946608562E-3</v>
      </c>
      <c r="J123" s="5">
        <f t="shared" si="12"/>
        <v>538545.30283721758</v>
      </c>
      <c r="K123" s="5">
        <f>J123*Assumptions!$E$43</f>
        <v>482.30797856834067</v>
      </c>
      <c r="L123" s="5">
        <f>K123*Assumptions!$D$44*-1</f>
        <v>-72.346196785251095</v>
      </c>
      <c r="M123" s="2">
        <f>J123*Assumptions!$E$46*-1</f>
        <v>-17.948219825248938</v>
      </c>
      <c r="N123" s="5">
        <f t="shared" si="13"/>
        <v>538455.00842060708</v>
      </c>
      <c r="O123" s="88">
        <f>Assumptions!$D$30</f>
        <v>2756</v>
      </c>
      <c r="P123" s="23">
        <f>(Model_Renter[[#This Row],[Monthly Investment]]*-1)+Model_Renter[[#This Row],[Less Renter''s Insurance]]</f>
        <v>-1400.5898651070079</v>
      </c>
    </row>
    <row r="124" spans="1:16" x14ac:dyDescent="0.25">
      <c r="A124" s="17">
        <f t="shared" si="14"/>
        <v>122</v>
      </c>
      <c r="B124" s="17">
        <f t="shared" si="8"/>
        <v>11</v>
      </c>
      <c r="C124" s="23">
        <f>MAX(Model_30y!V124, Model_15y!V124)</f>
        <v>5387.4765363876395</v>
      </c>
      <c r="D124" s="2">
        <f>D112*(1+Assumptions!$D$52)</f>
        <v>-3978.7041765579902</v>
      </c>
      <c r="E124" s="2">
        <f>E112+(E112*Assumptions!$D$52)</f>
        <v>-33.203989862421508</v>
      </c>
      <c r="F124" s="22">
        <f t="shared" si="9"/>
        <v>1375.5683699672277</v>
      </c>
      <c r="G124" s="5">
        <f t="shared" si="10"/>
        <v>538455.00842060708</v>
      </c>
      <c r="H124" s="5">
        <f t="shared" si="11"/>
        <v>1375.5683699672277</v>
      </c>
      <c r="I124" s="3">
        <f>Assumptions!$E$45</f>
        <v>6.9899151946608562E-3</v>
      </c>
      <c r="J124" s="5">
        <f t="shared" si="12"/>
        <v>543594.33163557481</v>
      </c>
      <c r="K124" s="5">
        <f>J124*Assumptions!$E$43</f>
        <v>486.82976505619916</v>
      </c>
      <c r="L124" s="5">
        <f>K124*Assumptions!$D$44*-1</f>
        <v>-73.024464758429872</v>
      </c>
      <c r="M124" s="2">
        <f>J124*Assumptions!$E$46*-1</f>
        <v>-18.116489937901502</v>
      </c>
      <c r="N124" s="5">
        <f t="shared" si="13"/>
        <v>543503.19068087847</v>
      </c>
      <c r="O124" s="88">
        <f>Assumptions!$D$30</f>
        <v>2756</v>
      </c>
      <c r="P124" s="23">
        <f>(Model_Renter[[#This Row],[Monthly Investment]]*-1)+Model_Renter[[#This Row],[Less Renter''s Insurance]]</f>
        <v>-1408.7723598296493</v>
      </c>
    </row>
    <row r="125" spans="1:16" x14ac:dyDescent="0.25">
      <c r="A125" s="17">
        <f t="shared" si="14"/>
        <v>123</v>
      </c>
      <c r="B125" s="17">
        <f t="shared" si="8"/>
        <v>11</v>
      </c>
      <c r="C125" s="23">
        <f>MAX(Model_30y!V125, Model_15y!V125)</f>
        <v>5395.692367606639</v>
      </c>
      <c r="D125" s="2">
        <f>D113*(1+Assumptions!$D$52)</f>
        <v>-3978.7041765579902</v>
      </c>
      <c r="E125" s="2">
        <f>E113+(E113*Assumptions!$D$52)</f>
        <v>-33.203989862421508</v>
      </c>
      <c r="F125" s="22">
        <f t="shared" si="9"/>
        <v>1383.7842011862272</v>
      </c>
      <c r="G125" s="5">
        <f t="shared" si="10"/>
        <v>543503.19068087847</v>
      </c>
      <c r="H125" s="5">
        <f t="shared" si="11"/>
        <v>1383.7842011862272</v>
      </c>
      <c r="I125" s="3">
        <f>Assumptions!$E$45</f>
        <v>6.9899151946608562E-3</v>
      </c>
      <c r="J125" s="5">
        <f t="shared" si="12"/>
        <v>548686.01609295164</v>
      </c>
      <c r="K125" s="5">
        <f>J125*Assumptions!$E$43</f>
        <v>491.38975290718884</v>
      </c>
      <c r="L125" s="5">
        <f>K125*Assumptions!$D$44*-1</f>
        <v>-73.70846293607832</v>
      </c>
      <c r="M125" s="2">
        <f>J125*Assumptions!$E$46*-1</f>
        <v>-18.286181645247851</v>
      </c>
      <c r="N125" s="5">
        <f t="shared" si="13"/>
        <v>548594.0214483703</v>
      </c>
      <c r="O125" s="88">
        <f>Assumptions!$D$30</f>
        <v>2756</v>
      </c>
      <c r="P125" s="23">
        <f>(Model_Renter[[#This Row],[Monthly Investment]]*-1)+Model_Renter[[#This Row],[Less Renter''s Insurance]]</f>
        <v>-1416.9881910486488</v>
      </c>
    </row>
    <row r="126" spans="1:16" x14ac:dyDescent="0.25">
      <c r="A126" s="17">
        <f t="shared" si="14"/>
        <v>124</v>
      </c>
      <c r="B126" s="17">
        <f t="shared" si="8"/>
        <v>11</v>
      </c>
      <c r="C126" s="23">
        <f>MAX(Model_30y!V126, Model_15y!V126)</f>
        <v>5403.9416711390104</v>
      </c>
      <c r="D126" s="2">
        <f>D114*(1+Assumptions!$D$52)</f>
        <v>-3978.7041765579902</v>
      </c>
      <c r="E126" s="2">
        <f>E114+(E114*Assumptions!$D$52)</f>
        <v>-33.203989862421508</v>
      </c>
      <c r="F126" s="22">
        <f t="shared" si="9"/>
        <v>1392.0335047185986</v>
      </c>
      <c r="G126" s="5">
        <f t="shared" si="10"/>
        <v>548594.0214483703</v>
      </c>
      <c r="H126" s="5">
        <f t="shared" si="11"/>
        <v>1392.0335047185986</v>
      </c>
      <c r="I126" s="3">
        <f>Assumptions!$E$45</f>
        <v>6.9899151946608562E-3</v>
      </c>
      <c r="J126" s="5">
        <f t="shared" si="12"/>
        <v>553820.68063931097</v>
      </c>
      <c r="K126" s="5">
        <f>J126*Assumptions!$E$43</f>
        <v>495.98823267283569</v>
      </c>
      <c r="L126" s="5">
        <f>K126*Assumptions!$D$44*-1</f>
        <v>-74.398234900925345</v>
      </c>
      <c r="M126" s="2">
        <f>J126*Assumptions!$E$46*-1</f>
        <v>-18.457305759637954</v>
      </c>
      <c r="N126" s="5">
        <f t="shared" si="13"/>
        <v>553727.82509865041</v>
      </c>
      <c r="O126" s="88">
        <f>Assumptions!$D$30</f>
        <v>2756</v>
      </c>
      <c r="P126" s="23">
        <f>(Model_Renter[[#This Row],[Monthly Investment]]*-1)+Model_Renter[[#This Row],[Less Renter''s Insurance]]</f>
        <v>-1425.2374945810202</v>
      </c>
    </row>
    <row r="127" spans="1:16" x14ac:dyDescent="0.25">
      <c r="A127" s="17">
        <f t="shared" si="14"/>
        <v>125</v>
      </c>
      <c r="B127" s="17">
        <f t="shared" si="8"/>
        <v>11</v>
      </c>
      <c r="C127" s="23">
        <f>MAX(Model_30y!V127, Model_15y!V127)</f>
        <v>5412.2245833551015</v>
      </c>
      <c r="D127" s="2">
        <f>D115*(1+Assumptions!$D$52)</f>
        <v>-3978.7041765579902</v>
      </c>
      <c r="E127" s="2">
        <f>E115+(E115*Assumptions!$D$52)</f>
        <v>-33.203989862421508</v>
      </c>
      <c r="F127" s="22">
        <f t="shared" si="9"/>
        <v>1400.3164169346896</v>
      </c>
      <c r="G127" s="5">
        <f t="shared" si="10"/>
        <v>553727.82509865041</v>
      </c>
      <c r="H127" s="5">
        <f t="shared" si="11"/>
        <v>1400.3164169346896</v>
      </c>
      <c r="I127" s="3">
        <f>Assumptions!$E$45</f>
        <v>6.9899151946608562E-3</v>
      </c>
      <c r="J127" s="5">
        <f t="shared" si="12"/>
        <v>558998.65205394872</v>
      </c>
      <c r="K127" s="5">
        <f>J127*Assumptions!$E$43</f>
        <v>500.62549700867089</v>
      </c>
      <c r="L127" s="5">
        <f>K127*Assumptions!$D$44*-1</f>
        <v>-75.093824551300628</v>
      </c>
      <c r="M127" s="2">
        <f>J127*Assumptions!$E$46*-1</f>
        <v>-18.62987317171854</v>
      </c>
      <c r="N127" s="5">
        <f t="shared" si="13"/>
        <v>558904.92835622572</v>
      </c>
      <c r="O127" s="88">
        <f>Assumptions!$D$30</f>
        <v>2756</v>
      </c>
      <c r="P127" s="23">
        <f>(Model_Renter[[#This Row],[Monthly Investment]]*-1)+Model_Renter[[#This Row],[Less Renter''s Insurance]]</f>
        <v>-1433.5204067971113</v>
      </c>
    </row>
    <row r="128" spans="1:16" x14ac:dyDescent="0.25">
      <c r="A128" s="17">
        <f t="shared" si="14"/>
        <v>126</v>
      </c>
      <c r="B128" s="17">
        <f t="shared" si="8"/>
        <v>11</v>
      </c>
      <c r="C128" s="23">
        <f>MAX(Model_30y!V128, Model_15y!V128)</f>
        <v>5420.5412411808502</v>
      </c>
      <c r="D128" s="2">
        <f>D116*(1+Assumptions!$D$52)</f>
        <v>-3978.7041765579902</v>
      </c>
      <c r="E128" s="2">
        <f>E116+(E116*Assumptions!$D$52)</f>
        <v>-33.203989862421508</v>
      </c>
      <c r="F128" s="22">
        <f t="shared" si="9"/>
        <v>1408.6330747604384</v>
      </c>
      <c r="G128" s="5">
        <f t="shared" si="10"/>
        <v>558904.92835622572</v>
      </c>
      <c r="H128" s="5">
        <f t="shared" si="11"/>
        <v>1408.6330747604384</v>
      </c>
      <c r="I128" s="3">
        <f>Assumptions!$E$45</f>
        <v>6.9899151946608562E-3</v>
      </c>
      <c r="J128" s="5">
        <f t="shared" si="12"/>
        <v>564220.25948207418</v>
      </c>
      <c r="K128" s="5">
        <f>J128*Assumptions!$E$43</f>
        <v>505.3018406890796</v>
      </c>
      <c r="L128" s="5">
        <f>K128*Assumptions!$D$44*-1</f>
        <v>-75.795276103361942</v>
      </c>
      <c r="M128" s="2">
        <f>J128*Assumptions!$E$46*-1</f>
        <v>-18.803894850985653</v>
      </c>
      <c r="N128" s="5">
        <f t="shared" si="13"/>
        <v>564125.66031111986</v>
      </c>
      <c r="O128" s="88">
        <f>Assumptions!$D$30</f>
        <v>2756</v>
      </c>
      <c r="P128" s="23">
        <f>(Model_Renter[[#This Row],[Monthly Investment]]*-1)+Model_Renter[[#This Row],[Less Renter''s Insurance]]</f>
        <v>-1441.83706462286</v>
      </c>
    </row>
    <row r="129" spans="1:16" x14ac:dyDescent="0.25">
      <c r="A129" s="17">
        <f t="shared" si="14"/>
        <v>127</v>
      </c>
      <c r="B129" s="17">
        <f t="shared" si="8"/>
        <v>11</v>
      </c>
      <c r="C129" s="23">
        <f>MAX(Model_30y!V129, Model_15y!V129)</f>
        <v>5428.8917821000468</v>
      </c>
      <c r="D129" s="2">
        <f>D117*(1+Assumptions!$D$52)</f>
        <v>-3978.7041765579902</v>
      </c>
      <c r="E129" s="2">
        <f>E117+(E117*Assumptions!$D$52)</f>
        <v>-33.203989862421508</v>
      </c>
      <c r="F129" s="22">
        <f t="shared" si="9"/>
        <v>1416.983615679635</v>
      </c>
      <c r="G129" s="5">
        <f t="shared" si="10"/>
        <v>564125.66031111986</v>
      </c>
      <c r="H129" s="5">
        <f t="shared" si="11"/>
        <v>1416.983615679635</v>
      </c>
      <c r="I129" s="3">
        <f>Assumptions!$E$45</f>
        <v>6.9899151946608562E-3</v>
      </c>
      <c r="J129" s="5">
        <f t="shared" si="12"/>
        <v>569485.83445150626</v>
      </c>
      <c r="K129" s="5">
        <f>J129*Assumptions!$E$43</f>
        <v>510.01756062225388</v>
      </c>
      <c r="L129" s="5">
        <f>K129*Assumptions!$D$44*-1</f>
        <v>-76.502634093338074</v>
      </c>
      <c r="M129" s="2">
        <f>J129*Assumptions!$E$46*-1</f>
        <v>-18.979381846341106</v>
      </c>
      <c r="N129" s="5">
        <f t="shared" si="13"/>
        <v>569390.3524355666</v>
      </c>
      <c r="O129" s="88">
        <f>Assumptions!$D$30</f>
        <v>2756</v>
      </c>
      <c r="P129" s="23">
        <f>(Model_Renter[[#This Row],[Monthly Investment]]*-1)+Model_Renter[[#This Row],[Less Renter''s Insurance]]</f>
        <v>-1450.1876055420566</v>
      </c>
    </row>
    <row r="130" spans="1:16" x14ac:dyDescent="0.25">
      <c r="A130" s="17">
        <f t="shared" si="14"/>
        <v>128</v>
      </c>
      <c r="B130" s="17">
        <f t="shared" si="8"/>
        <v>11</v>
      </c>
      <c r="C130" s="23">
        <f>MAX(Model_30y!V130, Model_15y!V130)</f>
        <v>5437.2763441566094</v>
      </c>
      <c r="D130" s="2">
        <f>D118*(1+Assumptions!$D$52)</f>
        <v>-3978.7041765579902</v>
      </c>
      <c r="E130" s="2">
        <f>E118+(E118*Assumptions!$D$52)</f>
        <v>-33.203989862421508</v>
      </c>
      <c r="F130" s="22">
        <f t="shared" si="9"/>
        <v>1425.3681777361976</v>
      </c>
      <c r="G130" s="5">
        <f t="shared" si="10"/>
        <v>569390.3524355666</v>
      </c>
      <c r="H130" s="5">
        <f t="shared" si="11"/>
        <v>1425.3681777361976</v>
      </c>
      <c r="I130" s="3">
        <f>Assumptions!$E$45</f>
        <v>6.9899151946608562E-3</v>
      </c>
      <c r="J130" s="5">
        <f t="shared" si="12"/>
        <v>574795.71088948543</v>
      </c>
      <c r="K130" s="5">
        <f>J130*Assumptions!$E$43</f>
        <v>514.77295586524883</v>
      </c>
      <c r="L130" s="5">
        <f>K130*Assumptions!$D$44*-1</f>
        <v>-77.215943379787319</v>
      </c>
      <c r="M130" s="2">
        <f>J130*Assumptions!$E$46*-1</f>
        <v>-19.156345286652765</v>
      </c>
      <c r="N130" s="5">
        <f t="shared" si="13"/>
        <v>574699.338600819</v>
      </c>
      <c r="O130" s="88">
        <f>Assumptions!$D$30</f>
        <v>2756</v>
      </c>
      <c r="P130" s="23">
        <f>(Model_Renter[[#This Row],[Monthly Investment]]*-1)+Model_Renter[[#This Row],[Less Renter''s Insurance]]</f>
        <v>-1458.5721675986192</v>
      </c>
    </row>
    <row r="131" spans="1:16" x14ac:dyDescent="0.25">
      <c r="A131" s="17">
        <f t="shared" si="14"/>
        <v>129</v>
      </c>
      <c r="B131" s="17">
        <f t="shared" ref="B131:B194" si="15">ROUNDUP(A131/12, 0)</f>
        <v>11</v>
      </c>
      <c r="C131" s="23">
        <f>MAX(Model_30y!V131, Model_15y!V131)</f>
        <v>5445.6950659568611</v>
      </c>
      <c r="D131" s="2">
        <f>D119*(1+Assumptions!$D$52)</f>
        <v>-3978.7041765579902</v>
      </c>
      <c r="E131" s="2">
        <f>E119+(E119*Assumptions!$D$52)</f>
        <v>-33.203989862421508</v>
      </c>
      <c r="F131" s="22">
        <f t="shared" ref="F131:F194" si="16">SUM(C131:E131)</f>
        <v>1433.7868995364493</v>
      </c>
      <c r="G131" s="5">
        <f t="shared" si="10"/>
        <v>574699.338600819</v>
      </c>
      <c r="H131" s="5">
        <f t="shared" si="11"/>
        <v>1433.7868995364493</v>
      </c>
      <c r="I131" s="3">
        <f>Assumptions!$E$45</f>
        <v>6.9899151946608562E-3</v>
      </c>
      <c r="J131" s="5">
        <f t="shared" si="12"/>
        <v>580150.2251396029</v>
      </c>
      <c r="K131" s="5">
        <f>J131*Assumptions!$E$43</f>
        <v>519.56832763914417</v>
      </c>
      <c r="L131" s="5">
        <f>K131*Assumptions!$D$44*-1</f>
        <v>-77.935249145871623</v>
      </c>
      <c r="M131" s="2">
        <f>J131*Assumptions!$E$46*-1</f>
        <v>-19.334796381318771</v>
      </c>
      <c r="N131" s="5">
        <f t="shared" si="13"/>
        <v>580052.95509407576</v>
      </c>
      <c r="O131" s="88">
        <f>Assumptions!$D$30</f>
        <v>2756</v>
      </c>
      <c r="P131" s="23">
        <f>(Model_Renter[[#This Row],[Monthly Investment]]*-1)+Model_Renter[[#This Row],[Less Renter''s Insurance]]</f>
        <v>-1466.9908893988709</v>
      </c>
    </row>
    <row r="132" spans="1:16" x14ac:dyDescent="0.25">
      <c r="A132" s="17">
        <f t="shared" si="14"/>
        <v>130</v>
      </c>
      <c r="B132" s="17">
        <f t="shared" si="15"/>
        <v>11</v>
      </c>
      <c r="C132" s="23">
        <f>MAX(Model_30y!V132, Model_15y!V132)</f>
        <v>5454.1480866718284</v>
      </c>
      <c r="D132" s="2">
        <f>D120*(1+Assumptions!$D$52)</f>
        <v>-3978.7041765579902</v>
      </c>
      <c r="E132" s="2">
        <f>E120+(E120*Assumptions!$D$52)</f>
        <v>-33.203989862421508</v>
      </c>
      <c r="F132" s="22">
        <f t="shared" si="16"/>
        <v>1442.2399202514166</v>
      </c>
      <c r="G132" s="5">
        <f t="shared" ref="G132:G195" si="17">N131</f>
        <v>580052.95509407576</v>
      </c>
      <c r="H132" s="5">
        <f t="shared" ref="H132:H195" si="18">F132</f>
        <v>1442.2399202514166</v>
      </c>
      <c r="I132" s="3">
        <f>Assumptions!$E$45</f>
        <v>6.9899151946608562E-3</v>
      </c>
      <c r="J132" s="5">
        <f t="shared" ref="J132:J195" si="19">(G132+H132)+(G132*I132)</f>
        <v>585549.71597884723</v>
      </c>
      <c r="K132" s="5">
        <f>J132*Assumptions!$E$43</f>
        <v>524.40397934431076</v>
      </c>
      <c r="L132" s="5">
        <f>K132*Assumptions!$D$44*-1</f>
        <v>-78.660596901646613</v>
      </c>
      <c r="M132" s="2">
        <f>J132*Assumptions!$E$46*-1</f>
        <v>-19.514746420835628</v>
      </c>
      <c r="N132" s="5">
        <f t="shared" ref="N132:N195" si="20">J132+SUM(L132:M132)</f>
        <v>585451.54063552478</v>
      </c>
      <c r="O132" s="88">
        <f>Assumptions!$D$30</f>
        <v>2756</v>
      </c>
      <c r="P132" s="23">
        <f>(Model_Renter[[#This Row],[Monthly Investment]]*-1)+Model_Renter[[#This Row],[Less Renter''s Insurance]]</f>
        <v>-1475.4439101138382</v>
      </c>
    </row>
    <row r="133" spans="1:16" x14ac:dyDescent="0.25">
      <c r="A133" s="17">
        <f t="shared" si="14"/>
        <v>131</v>
      </c>
      <c r="B133" s="17">
        <f t="shared" si="15"/>
        <v>11</v>
      </c>
      <c r="C133" s="23">
        <f>MAX(Model_30y!V133, Model_15y!V133)</f>
        <v>5462.6355460395334</v>
      </c>
      <c r="D133" s="2">
        <f>D121*(1+Assumptions!$D$52)</f>
        <v>-3978.7041765579902</v>
      </c>
      <c r="E133" s="2">
        <f>E121+(E121*Assumptions!$D$52)</f>
        <v>-33.203989862421508</v>
      </c>
      <c r="F133" s="22">
        <f t="shared" si="16"/>
        <v>1450.7273796191216</v>
      </c>
      <c r="G133" s="5">
        <f t="shared" si="17"/>
        <v>585451.54063552478</v>
      </c>
      <c r="H133" s="5">
        <f t="shared" si="18"/>
        <v>1450.7273796191216</v>
      </c>
      <c r="I133" s="3">
        <f>Assumptions!$E$45</f>
        <v>6.9899151946608562E-3</v>
      </c>
      <c r="J133" s="5">
        <f t="shared" si="19"/>
        <v>590994.52463476977</v>
      </c>
      <c r="K133" s="5">
        <f>J133*Assumptions!$E$43</f>
        <v>529.28021657578313</v>
      </c>
      <c r="L133" s="5">
        <f>K133*Assumptions!$D$44*-1</f>
        <v>-79.392032486367469</v>
      </c>
      <c r="M133" s="2">
        <f>J133*Assumptions!$E$46*-1</f>
        <v>-19.696206777370303</v>
      </c>
      <c r="N133" s="5">
        <f t="shared" si="20"/>
        <v>590895.43639550603</v>
      </c>
      <c r="O133" s="88">
        <f>Assumptions!$D$30</f>
        <v>2756</v>
      </c>
      <c r="P133" s="23">
        <f>(Model_Renter[[#This Row],[Monthly Investment]]*-1)+Model_Renter[[#This Row],[Less Renter''s Insurance]]</f>
        <v>-1483.9313694815432</v>
      </c>
    </row>
    <row r="134" spans="1:16" x14ac:dyDescent="0.25">
      <c r="A134" s="17">
        <f t="shared" si="14"/>
        <v>132</v>
      </c>
      <c r="B134" s="17">
        <f t="shared" si="15"/>
        <v>11</v>
      </c>
      <c r="C134" s="23">
        <f>MAX(Model_30y!V134, Model_15y!V134)</f>
        <v>5471.1575843673108</v>
      </c>
      <c r="D134" s="2">
        <f>D122*(1+Assumptions!$D$52)</f>
        <v>-3978.7041765579902</v>
      </c>
      <c r="E134" s="2">
        <f>E122+(E122*Assumptions!$D$52)</f>
        <v>-33.203989862421508</v>
      </c>
      <c r="F134" s="22">
        <f t="shared" si="16"/>
        <v>1459.249417946899</v>
      </c>
      <c r="G134" s="5">
        <f t="shared" si="17"/>
        <v>590895.43639550603</v>
      </c>
      <c r="H134" s="5">
        <f t="shared" si="18"/>
        <v>1459.249417946899</v>
      </c>
      <c r="I134" s="3">
        <f>Assumptions!$E$45</f>
        <v>6.9899151946608562E-3</v>
      </c>
      <c r="J134" s="5">
        <f t="shared" si="19"/>
        <v>596484.99480276962</v>
      </c>
      <c r="K134" s="5">
        <f>J134*Assumptions!$E$43</f>
        <v>534.19734713874004</v>
      </c>
      <c r="L134" s="5">
        <f>K134*Assumptions!$D$44*-1</f>
        <v>-80.129602070811004</v>
      </c>
      <c r="M134" s="2">
        <f>J134*Assumptions!$E$46*-1</f>
        <v>-19.879188905336274</v>
      </c>
      <c r="N134" s="5">
        <f t="shared" si="20"/>
        <v>596384.98601179349</v>
      </c>
      <c r="O134" s="88">
        <f>Assumptions!$D$30</f>
        <v>2756</v>
      </c>
      <c r="P134" s="23">
        <f>(Model_Renter[[#This Row],[Monthly Investment]]*-1)+Model_Renter[[#This Row],[Less Renter''s Insurance]]</f>
        <v>-1492.4534078093207</v>
      </c>
    </row>
    <row r="135" spans="1:16" x14ac:dyDescent="0.25">
      <c r="A135" s="17">
        <f t="shared" si="14"/>
        <v>133</v>
      </c>
      <c r="B135" s="17">
        <f t="shared" si="15"/>
        <v>12</v>
      </c>
      <c r="C135" s="23">
        <f>MAX(Model_30y!V135, Model_15y!V135)</f>
        <v>5506.1770931583142</v>
      </c>
      <c r="D135" s="2">
        <f>D123*(1+Assumptions!$D$52)</f>
        <v>-4127.5077127612594</v>
      </c>
      <c r="E135" s="2">
        <f>E123+(E123*Assumptions!$D$52)</f>
        <v>-34.445819083276071</v>
      </c>
      <c r="F135" s="22">
        <f t="shared" si="16"/>
        <v>1344.2235613137786</v>
      </c>
      <c r="G135" s="5">
        <f t="shared" si="17"/>
        <v>596384.98601179349</v>
      </c>
      <c r="H135" s="5">
        <f t="shared" si="18"/>
        <v>1344.2235613137786</v>
      </c>
      <c r="I135" s="3">
        <f>Assumptions!$E$45</f>
        <v>6.9899151946608562E-3</v>
      </c>
      <c r="J135" s="5">
        <f t="shared" si="19"/>
        <v>601897.89004869875</v>
      </c>
      <c r="K135" s="5">
        <f>J135*Assumptions!$E$43</f>
        <v>539.04500350211822</v>
      </c>
      <c r="L135" s="5">
        <f>K135*Assumptions!$D$44*-1</f>
        <v>-80.856750525317736</v>
      </c>
      <c r="M135" s="2">
        <f>J135*Assumptions!$E$46*-1</f>
        <v>-20.059585676514402</v>
      </c>
      <c r="N135" s="5">
        <f t="shared" si="20"/>
        <v>601796.97371249693</v>
      </c>
      <c r="O135" s="88">
        <f>Assumptions!$D$30</f>
        <v>2756</v>
      </c>
      <c r="P135" s="23">
        <f>(Model_Renter[[#This Row],[Monthly Investment]]*-1)+Model_Renter[[#This Row],[Less Renter''s Insurance]]</f>
        <v>-1378.6693803970547</v>
      </c>
    </row>
    <row r="136" spans="1:16" x14ac:dyDescent="0.25">
      <c r="A136" s="17">
        <f t="shared" si="14"/>
        <v>134</v>
      </c>
      <c r="B136" s="17">
        <f t="shared" si="15"/>
        <v>12</v>
      </c>
      <c r="C136" s="23">
        <f>MAX(Model_30y!V136, Model_15y!V136)</f>
        <v>5514.7687126170877</v>
      </c>
      <c r="D136" s="2">
        <f>D124*(1+Assumptions!$D$52)</f>
        <v>-4127.5077127612594</v>
      </c>
      <c r="E136" s="2">
        <f>E124+(E124*Assumptions!$D$52)</f>
        <v>-34.445819083276071</v>
      </c>
      <c r="F136" s="22">
        <f t="shared" si="16"/>
        <v>1352.8151807725521</v>
      </c>
      <c r="G136" s="5">
        <f t="shared" si="17"/>
        <v>601796.97371249693</v>
      </c>
      <c r="H136" s="5">
        <f t="shared" si="18"/>
        <v>1352.8151807725521</v>
      </c>
      <c r="I136" s="3">
        <f>Assumptions!$E$45</f>
        <v>6.9899151946608562E-3</v>
      </c>
      <c r="J136" s="5">
        <f t="shared" si="19"/>
        <v>607356.29870392336</v>
      </c>
      <c r="K136" s="5">
        <f>J136*Assumptions!$E$43</f>
        <v>543.93342055975813</v>
      </c>
      <c r="L136" s="5">
        <f>K136*Assumptions!$D$44*-1</f>
        <v>-81.590013083963711</v>
      </c>
      <c r="M136" s="2">
        <f>J136*Assumptions!$E$46*-1</f>
        <v>-20.241499283269274</v>
      </c>
      <c r="N136" s="5">
        <f t="shared" si="20"/>
        <v>607254.46719155612</v>
      </c>
      <c r="O136" s="88">
        <f>Assumptions!$D$30</f>
        <v>2756</v>
      </c>
      <c r="P136" s="23">
        <f>(Model_Renter[[#This Row],[Monthly Investment]]*-1)+Model_Renter[[#This Row],[Less Renter''s Insurance]]</f>
        <v>-1387.2609998558282</v>
      </c>
    </row>
    <row r="137" spans="1:16" x14ac:dyDescent="0.25">
      <c r="A137" s="17">
        <f t="shared" si="14"/>
        <v>135</v>
      </c>
      <c r="B137" s="17">
        <f t="shared" si="15"/>
        <v>12</v>
      </c>
      <c r="C137" s="23">
        <f>MAX(Model_30y!V137, Model_15y!V137)</f>
        <v>5523.3953353970373</v>
      </c>
      <c r="D137" s="2">
        <f>D125*(1+Assumptions!$D$52)</f>
        <v>-4127.5077127612594</v>
      </c>
      <c r="E137" s="2">
        <f>E125+(E125*Assumptions!$D$52)</f>
        <v>-34.445819083276071</v>
      </c>
      <c r="F137" s="22">
        <f t="shared" si="16"/>
        <v>1361.4418035525018</v>
      </c>
      <c r="G137" s="5">
        <f t="shared" si="17"/>
        <v>607254.46719155612</v>
      </c>
      <c r="H137" s="5">
        <f t="shared" si="18"/>
        <v>1361.4418035525018</v>
      </c>
      <c r="I137" s="3">
        <f>Assumptions!$E$45</f>
        <v>6.9899151946608562E-3</v>
      </c>
      <c r="J137" s="5">
        <f t="shared" si="19"/>
        <v>612860.56622235663</v>
      </c>
      <c r="K137" s="5">
        <f>J137*Assumptions!$E$43</f>
        <v>548.86290769172069</v>
      </c>
      <c r="L137" s="5">
        <f>K137*Assumptions!$D$44*-1</f>
        <v>-82.329436153758095</v>
      </c>
      <c r="M137" s="2">
        <f>J137*Assumptions!$E$46*-1</f>
        <v>-20.424941238620761</v>
      </c>
      <c r="N137" s="5">
        <f t="shared" si="20"/>
        <v>612757.81184496428</v>
      </c>
      <c r="O137" s="88">
        <f>Assumptions!$D$30</f>
        <v>2756</v>
      </c>
      <c r="P137" s="23">
        <f>(Model_Renter[[#This Row],[Monthly Investment]]*-1)+Model_Renter[[#This Row],[Less Renter''s Insurance]]</f>
        <v>-1395.8876226357779</v>
      </c>
    </row>
    <row r="138" spans="1:16" x14ac:dyDescent="0.25">
      <c r="A138" s="17">
        <f t="shared" si="14"/>
        <v>136</v>
      </c>
      <c r="B138" s="17">
        <f t="shared" si="15"/>
        <v>12</v>
      </c>
      <c r="C138" s="23">
        <f>MAX(Model_30y!V138, Model_15y!V138)</f>
        <v>5532.0571041060266</v>
      </c>
      <c r="D138" s="2">
        <f>D126*(1+Assumptions!$D$52)</f>
        <v>-4127.5077127612594</v>
      </c>
      <c r="E138" s="2">
        <f>E126+(E126*Assumptions!$D$52)</f>
        <v>-34.445819083276071</v>
      </c>
      <c r="F138" s="22">
        <f t="shared" si="16"/>
        <v>1370.1035722614911</v>
      </c>
      <c r="G138" s="5">
        <f t="shared" si="17"/>
        <v>612757.81184496428</v>
      </c>
      <c r="H138" s="5">
        <f t="shared" si="18"/>
        <v>1370.1035722614911</v>
      </c>
      <c r="I138" s="3">
        <f>Assumptions!$E$45</f>
        <v>6.9899151946608562E-3</v>
      </c>
      <c r="J138" s="5">
        <f t="shared" si="19"/>
        <v>618411.0405568881</v>
      </c>
      <c r="K138" s="5">
        <f>J138*Assumptions!$E$43</f>
        <v>553.83377651608862</v>
      </c>
      <c r="L138" s="5">
        <f>K138*Assumptions!$D$44*-1</f>
        <v>-83.075066477413287</v>
      </c>
      <c r="M138" s="2">
        <f>J138*Assumptions!$E$46*-1</f>
        <v>-20.609923138872677</v>
      </c>
      <c r="N138" s="5">
        <f t="shared" si="20"/>
        <v>618307.35556727182</v>
      </c>
      <c r="O138" s="88">
        <f>Assumptions!$D$30</f>
        <v>2756</v>
      </c>
      <c r="P138" s="23">
        <f>(Model_Renter[[#This Row],[Monthly Investment]]*-1)+Model_Renter[[#This Row],[Less Renter''s Insurance]]</f>
        <v>-1404.5493913447672</v>
      </c>
    </row>
    <row r="139" spans="1:16" x14ac:dyDescent="0.25">
      <c r="A139" s="17">
        <f t="shared" si="14"/>
        <v>137</v>
      </c>
      <c r="B139" s="17">
        <f t="shared" si="15"/>
        <v>12</v>
      </c>
      <c r="C139" s="23">
        <f>MAX(Model_30y!V139, Model_15y!V139)</f>
        <v>5540.7541619329222</v>
      </c>
      <c r="D139" s="2">
        <f>D127*(1+Assumptions!$D$52)</f>
        <v>-4127.5077127612594</v>
      </c>
      <c r="E139" s="2">
        <f>E127+(E127*Assumptions!$D$52)</f>
        <v>-34.445819083276071</v>
      </c>
      <c r="F139" s="22">
        <f t="shared" si="16"/>
        <v>1378.8006300883867</v>
      </c>
      <c r="G139" s="5">
        <f t="shared" si="17"/>
        <v>618307.35556727182</v>
      </c>
      <c r="H139" s="5">
        <f t="shared" si="18"/>
        <v>1378.8006300883867</v>
      </c>
      <c r="I139" s="3">
        <f>Assumptions!$E$45</f>
        <v>6.9899151946608562E-3</v>
      </c>
      <c r="J139" s="5">
        <f t="shared" si="19"/>
        <v>624008.07217701047</v>
      </c>
      <c r="K139" s="5">
        <f>J139*Assumptions!$E$43</f>
        <v>558.84634090475299</v>
      </c>
      <c r="L139" s="5">
        <f>K139*Assumptions!$D$44*-1</f>
        <v>-83.826951135712946</v>
      </c>
      <c r="M139" s="2">
        <f>J139*Assumptions!$E$46*-1</f>
        <v>-20.796456664200239</v>
      </c>
      <c r="N139" s="5">
        <f t="shared" si="20"/>
        <v>623903.4487692106</v>
      </c>
      <c r="O139" s="88">
        <f>Assumptions!$D$30</f>
        <v>2756</v>
      </c>
      <c r="P139" s="23">
        <f>(Model_Renter[[#This Row],[Monthly Investment]]*-1)+Model_Renter[[#This Row],[Less Renter''s Insurance]]</f>
        <v>-1413.2464491716628</v>
      </c>
    </row>
    <row r="140" spans="1:16" x14ac:dyDescent="0.25">
      <c r="A140" s="17">
        <f t="shared" si="14"/>
        <v>138</v>
      </c>
      <c r="B140" s="17">
        <f t="shared" si="15"/>
        <v>12</v>
      </c>
      <c r="C140" s="23">
        <f>MAX(Model_30y!V140, Model_15y!V140)</f>
        <v>5549.4866526499591</v>
      </c>
      <c r="D140" s="2">
        <f>D128*(1+Assumptions!$D$52)</f>
        <v>-4127.5077127612594</v>
      </c>
      <c r="E140" s="2">
        <f>E128+(E128*Assumptions!$D$52)</f>
        <v>-34.445819083276071</v>
      </c>
      <c r="F140" s="22">
        <f t="shared" si="16"/>
        <v>1387.5331208054236</v>
      </c>
      <c r="G140" s="5">
        <f t="shared" si="17"/>
        <v>623903.4487692106</v>
      </c>
      <c r="H140" s="5">
        <f t="shared" si="18"/>
        <v>1387.5331208054236</v>
      </c>
      <c r="I140" s="3">
        <f>Assumptions!$E$45</f>
        <v>6.9899151946608562E-3</v>
      </c>
      <c r="J140" s="5">
        <f t="shared" si="19"/>
        <v>629652.01408656919</v>
      </c>
      <c r="K140" s="5">
        <f>J140*Assumptions!$E$43</f>
        <v>563.90091699930895</v>
      </c>
      <c r="L140" s="5">
        <f>K140*Assumptions!$D$44*-1</f>
        <v>-84.585137549896345</v>
      </c>
      <c r="M140" s="2">
        <f>J140*Assumptions!$E$46*-1</f>
        <v>-20.984553579241599</v>
      </c>
      <c r="N140" s="5">
        <f t="shared" si="20"/>
        <v>629546.44439544005</v>
      </c>
      <c r="O140" s="88">
        <f>Assumptions!$D$30</f>
        <v>2756</v>
      </c>
      <c r="P140" s="23">
        <f>(Model_Renter[[#This Row],[Monthly Investment]]*-1)+Model_Renter[[#This Row],[Less Renter''s Insurance]]</f>
        <v>-1421.9789398886996</v>
      </c>
    </row>
    <row r="141" spans="1:16" x14ac:dyDescent="0.25">
      <c r="A141" s="17">
        <f t="shared" si="14"/>
        <v>139</v>
      </c>
      <c r="B141" s="17">
        <f t="shared" si="15"/>
        <v>12</v>
      </c>
      <c r="C141" s="23">
        <f>MAX(Model_30y!V141, Model_15y!V141)</f>
        <v>5558.2547206151157</v>
      </c>
      <c r="D141" s="2">
        <f>D129*(1+Assumptions!$D$52)</f>
        <v>-4127.5077127612594</v>
      </c>
      <c r="E141" s="2">
        <f>E129+(E129*Assumptions!$D$52)</f>
        <v>-34.445819083276071</v>
      </c>
      <c r="F141" s="22">
        <f t="shared" si="16"/>
        <v>1396.3011887705802</v>
      </c>
      <c r="G141" s="5">
        <f t="shared" si="17"/>
        <v>629546.44439544005</v>
      </c>
      <c r="H141" s="5">
        <f t="shared" si="18"/>
        <v>1396.3011887705802</v>
      </c>
      <c r="I141" s="3">
        <f>Assumptions!$E$45</f>
        <v>6.9899151946608562E-3</v>
      </c>
      <c r="J141" s="5">
        <f t="shared" si="19"/>
        <v>635343.22184163507</v>
      </c>
      <c r="K141" s="5">
        <f>J141*Assumptions!$E$43</f>
        <v>568.99782322706221</v>
      </c>
      <c r="L141" s="5">
        <f>K141*Assumptions!$D$44*-1</f>
        <v>-85.349673484059323</v>
      </c>
      <c r="M141" s="2">
        <f>J141*Assumptions!$E$46*-1</f>
        <v>-21.174225733693497</v>
      </c>
      <c r="N141" s="5">
        <f t="shared" si="20"/>
        <v>635236.69794241735</v>
      </c>
      <c r="O141" s="88">
        <f>Assumptions!$D$30</f>
        <v>2756</v>
      </c>
      <c r="P141" s="23">
        <f>(Model_Renter[[#This Row],[Monthly Investment]]*-1)+Model_Renter[[#This Row],[Less Renter''s Insurance]]</f>
        <v>-1430.7470078538563</v>
      </c>
    </row>
    <row r="142" spans="1:16" x14ac:dyDescent="0.25">
      <c r="A142" s="17">
        <f t="shared" si="14"/>
        <v>140</v>
      </c>
      <c r="B142" s="17">
        <f t="shared" si="15"/>
        <v>12</v>
      </c>
      <c r="C142" s="23">
        <f>MAX(Model_30y!V142, Model_15y!V142)</f>
        <v>5567.0585107745064</v>
      </c>
      <c r="D142" s="2">
        <f>D130*(1+Assumptions!$D$52)</f>
        <v>-4127.5077127612594</v>
      </c>
      <c r="E142" s="2">
        <f>E130+(E130*Assumptions!$D$52)</f>
        <v>-34.445819083276071</v>
      </c>
      <c r="F142" s="22">
        <f t="shared" si="16"/>
        <v>1405.1049789299709</v>
      </c>
      <c r="G142" s="5">
        <f t="shared" si="17"/>
        <v>635236.69794241735</v>
      </c>
      <c r="H142" s="5">
        <f t="shared" si="18"/>
        <v>1405.1049789299709</v>
      </c>
      <c r="I142" s="3">
        <f>Assumptions!$E$45</f>
        <v>6.9899151946608562E-3</v>
      </c>
      <c r="J142" s="5">
        <f t="shared" si="19"/>
        <v>641082.05356850126</v>
      </c>
      <c r="K142" s="5">
        <f>J142*Assumptions!$E$43</f>
        <v>574.13738031714672</v>
      </c>
      <c r="L142" s="5">
        <f>K142*Assumptions!$D$44*-1</f>
        <v>-86.120607047572008</v>
      </c>
      <c r="M142" s="2">
        <f>J142*Assumptions!$E$46*-1</f>
        <v>-21.365485062911045</v>
      </c>
      <c r="N142" s="5">
        <f t="shared" si="20"/>
        <v>640974.56747639074</v>
      </c>
      <c r="O142" s="88">
        <f>Assumptions!$D$30</f>
        <v>2756</v>
      </c>
      <c r="P142" s="23">
        <f>(Model_Renter[[#This Row],[Monthly Investment]]*-1)+Model_Renter[[#This Row],[Less Renter''s Insurance]]</f>
        <v>-1439.550798013247</v>
      </c>
    </row>
    <row r="143" spans="1:16" x14ac:dyDescent="0.25">
      <c r="A143" s="17">
        <f t="shared" si="14"/>
        <v>141</v>
      </c>
      <c r="B143" s="17">
        <f t="shared" si="15"/>
        <v>12</v>
      </c>
      <c r="C143" s="23">
        <f>MAX(Model_30y!V143, Model_15y!V143)</f>
        <v>5575.8981686647712</v>
      </c>
      <c r="D143" s="2">
        <f>D131*(1+Assumptions!$D$52)</f>
        <v>-4127.5077127612594</v>
      </c>
      <c r="E143" s="2">
        <f>E131+(E131*Assumptions!$D$52)</f>
        <v>-34.445819083276071</v>
      </c>
      <c r="F143" s="22">
        <f t="shared" si="16"/>
        <v>1413.9446368202357</v>
      </c>
      <c r="G143" s="5">
        <f t="shared" si="17"/>
        <v>640974.56747639074</v>
      </c>
      <c r="H143" s="5">
        <f t="shared" si="18"/>
        <v>1413.9446368202357</v>
      </c>
      <c r="I143" s="3">
        <f>Assumptions!$E$45</f>
        <v>6.9899151946608562E-3</v>
      </c>
      <c r="J143" s="5">
        <f t="shared" si="19"/>
        <v>646868.86998180533</v>
      </c>
      <c r="K143" s="5">
        <f>J143*Assumptions!$E$43</f>
        <v>579.31991131675397</v>
      </c>
      <c r="L143" s="5">
        <f>K143*Assumptions!$D$44*-1</f>
        <v>-86.89798669751309</v>
      </c>
      <c r="M143" s="2">
        <f>J143*Assumptions!$E$46*-1</f>
        <v>-21.55834358851169</v>
      </c>
      <c r="N143" s="5">
        <f t="shared" si="20"/>
        <v>646760.41365151934</v>
      </c>
      <c r="O143" s="88">
        <f>Assumptions!$D$30</f>
        <v>2756</v>
      </c>
      <c r="P143" s="23">
        <f>(Model_Renter[[#This Row],[Monthly Investment]]*-1)+Model_Renter[[#This Row],[Less Renter''s Insurance]]</f>
        <v>-1448.3904559035118</v>
      </c>
    </row>
    <row r="144" spans="1:16" x14ac:dyDescent="0.25">
      <c r="A144" s="17">
        <f t="shared" si="14"/>
        <v>142</v>
      </c>
      <c r="B144" s="17">
        <f t="shared" si="15"/>
        <v>12</v>
      </c>
      <c r="C144" s="23">
        <f>MAX(Model_30y!V144, Model_15y!V144)</f>
        <v>5584.7738404154861</v>
      </c>
      <c r="D144" s="2">
        <f>D132*(1+Assumptions!$D$52)</f>
        <v>-4127.5077127612594</v>
      </c>
      <c r="E144" s="2">
        <f>E132+(E132*Assumptions!$D$52)</f>
        <v>-34.445819083276071</v>
      </c>
      <c r="F144" s="22">
        <f t="shared" si="16"/>
        <v>1422.8203085709506</v>
      </c>
      <c r="G144" s="5">
        <f t="shared" si="17"/>
        <v>646760.41365151934</v>
      </c>
      <c r="H144" s="5">
        <f t="shared" si="18"/>
        <v>1422.8203085709506</v>
      </c>
      <c r="I144" s="3">
        <f>Assumptions!$E$45</f>
        <v>6.9899151946608562E-3</v>
      </c>
      <c r="J144" s="5">
        <f t="shared" si="19"/>
        <v>652704.03440277826</v>
      </c>
      <c r="K144" s="5">
        <f>J144*Assumptions!$E$43</f>
        <v>584.545741607477</v>
      </c>
      <c r="L144" s="5">
        <f>K144*Assumptions!$D$44*-1</f>
        <v>-87.681861241121553</v>
      </c>
      <c r="M144" s="2">
        <f>J144*Assumptions!$E$46*-1</f>
        <v>-21.752813418983408</v>
      </c>
      <c r="N144" s="5">
        <f t="shared" si="20"/>
        <v>652594.59972811816</v>
      </c>
      <c r="O144" s="88">
        <f>Assumptions!$D$30</f>
        <v>2756</v>
      </c>
      <c r="P144" s="23">
        <f>(Model_Renter[[#This Row],[Monthly Investment]]*-1)+Model_Renter[[#This Row],[Less Renter''s Insurance]]</f>
        <v>-1457.2661276542267</v>
      </c>
    </row>
    <row r="145" spans="1:16" x14ac:dyDescent="0.25">
      <c r="A145" s="17">
        <f t="shared" si="14"/>
        <v>143</v>
      </c>
      <c r="B145" s="17">
        <f t="shared" si="15"/>
        <v>12</v>
      </c>
      <c r="C145" s="23">
        <f>MAX(Model_30y!V145, Model_15y!V145)</f>
        <v>5593.6856727515769</v>
      </c>
      <c r="D145" s="2">
        <f>D133*(1+Assumptions!$D$52)</f>
        <v>-4127.5077127612594</v>
      </c>
      <c r="E145" s="2">
        <f>E133+(E133*Assumptions!$D$52)</f>
        <v>-34.445819083276071</v>
      </c>
      <c r="F145" s="22">
        <f t="shared" si="16"/>
        <v>1431.7321409070414</v>
      </c>
      <c r="G145" s="5">
        <f t="shared" si="17"/>
        <v>652594.59972811816</v>
      </c>
      <c r="H145" s="5">
        <f t="shared" si="18"/>
        <v>1431.7321409070414</v>
      </c>
      <c r="I145" s="3">
        <f>Assumptions!$E$45</f>
        <v>6.9899151946608562E-3</v>
      </c>
      <c r="J145" s="5">
        <f t="shared" si="19"/>
        <v>658587.91277761839</v>
      </c>
      <c r="K145" s="5">
        <f>J145*Assumptions!$E$43</f>
        <v>589.81519892176516</v>
      </c>
      <c r="L145" s="5">
        <f>K145*Assumptions!$D$44*-1</f>
        <v>-88.472279838264768</v>
      </c>
      <c r="M145" s="2">
        <f>J145*Assumptions!$E$46*-1</f>
        <v>-21.948906750297041</v>
      </c>
      <c r="N145" s="5">
        <f t="shared" si="20"/>
        <v>658477.4915910298</v>
      </c>
      <c r="O145" s="88">
        <f>Assumptions!$D$30</f>
        <v>2756</v>
      </c>
      <c r="P145" s="23">
        <f>(Model_Renter[[#This Row],[Monthly Investment]]*-1)+Model_Renter[[#This Row],[Less Renter''s Insurance]]</f>
        <v>-1466.1779599903175</v>
      </c>
    </row>
    <row r="146" spans="1:16" x14ac:dyDescent="0.25">
      <c r="A146" s="17">
        <f t="shared" si="14"/>
        <v>144</v>
      </c>
      <c r="B146" s="17">
        <f t="shared" si="15"/>
        <v>12</v>
      </c>
      <c r="C146" s="23">
        <f>MAX(Model_30y!V146, Model_15y!V146)</f>
        <v>5602.6338129957439</v>
      </c>
      <c r="D146" s="2">
        <f>D134*(1+Assumptions!$D$52)</f>
        <v>-4127.5077127612594</v>
      </c>
      <c r="E146" s="2">
        <f>E134+(E134*Assumptions!$D$52)</f>
        <v>-34.445819083276071</v>
      </c>
      <c r="F146" s="22">
        <f t="shared" si="16"/>
        <v>1440.6802811512084</v>
      </c>
      <c r="G146" s="5">
        <f t="shared" si="17"/>
        <v>658477.4915910298</v>
      </c>
      <c r="H146" s="5">
        <f t="shared" si="18"/>
        <v>1440.6802811512084</v>
      </c>
      <c r="I146" s="3">
        <f>Assumptions!$E$45</f>
        <v>6.9899151946608562E-3</v>
      </c>
      <c r="J146" s="5">
        <f t="shared" si="19"/>
        <v>664520.87369599531</v>
      </c>
      <c r="K146" s="5">
        <f>J146*Assumptions!$E$43</f>
        <v>595.12861335949594</v>
      </c>
      <c r="L146" s="5">
        <f>K146*Assumptions!$D$44*-1</f>
        <v>-89.269292003924392</v>
      </c>
      <c r="M146" s="2">
        <f>J146*Assumptions!$E$46*-1</f>
        <v>-22.146635866522992</v>
      </c>
      <c r="N146" s="5">
        <f t="shared" si="20"/>
        <v>664409.45776812488</v>
      </c>
      <c r="O146" s="88">
        <f>Assumptions!$D$30</f>
        <v>2756</v>
      </c>
      <c r="P146" s="23">
        <f>(Model_Renter[[#This Row],[Monthly Investment]]*-1)+Model_Renter[[#This Row],[Less Renter''s Insurance]]</f>
        <v>-1475.1261002344845</v>
      </c>
    </row>
    <row r="147" spans="1:16" x14ac:dyDescent="0.25">
      <c r="A147" s="17">
        <f t="shared" si="14"/>
        <v>145</v>
      </c>
      <c r="B147" s="17">
        <f t="shared" si="15"/>
        <v>13</v>
      </c>
      <c r="C147" s="23">
        <f>MAX(Model_30y!V147, Model_15y!V147)</f>
        <v>5639.404297226296</v>
      </c>
      <c r="D147" s="2">
        <f>D135*(1+Assumptions!$D$52)</f>
        <v>-4281.8765012185313</v>
      </c>
      <c r="E147" s="2">
        <f>E135+(E135*Assumptions!$D$52)</f>
        <v>-35.734092716990595</v>
      </c>
      <c r="F147" s="22">
        <f t="shared" si="16"/>
        <v>1321.7937032907741</v>
      </c>
      <c r="G147" s="5">
        <f t="shared" si="17"/>
        <v>664409.45776812488</v>
      </c>
      <c r="H147" s="5">
        <f t="shared" si="18"/>
        <v>1321.7937032907741</v>
      </c>
      <c r="I147" s="3">
        <f>Assumptions!$E$45</f>
        <v>6.9899151946608562E-3</v>
      </c>
      <c r="J147" s="5">
        <f t="shared" si="19"/>
        <v>670375.41723574547</v>
      </c>
      <c r="K147" s="5">
        <f>J147*Assumptions!$E$43</f>
        <v>600.37179911419696</v>
      </c>
      <c r="L147" s="5">
        <f>K147*Assumptions!$D$44*-1</f>
        <v>-90.055769867129541</v>
      </c>
      <c r="M147" s="2">
        <f>J147*Assumptions!$E$46*-1</f>
        <v>-22.341751549222927</v>
      </c>
      <c r="N147" s="5">
        <f t="shared" si="20"/>
        <v>670263.01971432916</v>
      </c>
      <c r="O147" s="88">
        <f>Assumptions!$D$30</f>
        <v>2756</v>
      </c>
      <c r="P147" s="23">
        <f>(Model_Renter[[#This Row],[Monthly Investment]]*-1)+Model_Renter[[#This Row],[Less Renter''s Insurance]]</f>
        <v>-1357.5277960077647</v>
      </c>
    </row>
    <row r="148" spans="1:16" x14ac:dyDescent="0.25">
      <c r="A148" s="17">
        <f t="shared" si="14"/>
        <v>146</v>
      </c>
      <c r="B148" s="17">
        <f t="shared" si="15"/>
        <v>13</v>
      </c>
      <c r="C148" s="23">
        <f>MAX(Model_30y!V148, Model_15y!V148)</f>
        <v>5648.4254976580078</v>
      </c>
      <c r="D148" s="2">
        <f>D136*(1+Assumptions!$D$52)</f>
        <v>-4281.8765012185313</v>
      </c>
      <c r="E148" s="2">
        <f>E136+(E136*Assumptions!$D$52)</f>
        <v>-35.734092716990595</v>
      </c>
      <c r="F148" s="22">
        <f t="shared" si="16"/>
        <v>1330.814903722486</v>
      </c>
      <c r="G148" s="5">
        <f t="shared" si="17"/>
        <v>670263.01971432916</v>
      </c>
      <c r="H148" s="5">
        <f t="shared" si="18"/>
        <v>1330.814903722486</v>
      </c>
      <c r="I148" s="3">
        <f>Assumptions!$E$45</f>
        <v>6.9899151946608562E-3</v>
      </c>
      <c r="J148" s="5">
        <f t="shared" si="19"/>
        <v>676278.9162839721</v>
      </c>
      <c r="K148" s="5">
        <f>J148*Assumptions!$E$43</f>
        <v>605.65882822285289</v>
      </c>
      <c r="L148" s="5">
        <f>K148*Assumptions!$D$44*-1</f>
        <v>-90.848824233427933</v>
      </c>
      <c r="M148" s="2">
        <f>J148*Assumptions!$E$46*-1</f>
        <v>-22.538498783109297</v>
      </c>
      <c r="N148" s="5">
        <f t="shared" si="20"/>
        <v>676165.52896095556</v>
      </c>
      <c r="O148" s="88">
        <f>Assumptions!$D$30</f>
        <v>2756</v>
      </c>
      <c r="P148" s="23">
        <f>(Model_Renter[[#This Row],[Monthly Investment]]*-1)+Model_Renter[[#This Row],[Less Renter''s Insurance]]</f>
        <v>-1366.5489964394765</v>
      </c>
    </row>
    <row r="149" spans="1:16" x14ac:dyDescent="0.25">
      <c r="A149" s="17">
        <f t="shared" si="14"/>
        <v>147</v>
      </c>
      <c r="B149" s="17">
        <f t="shared" si="15"/>
        <v>13</v>
      </c>
      <c r="C149" s="23">
        <f>MAX(Model_30y!V149, Model_15y!V149)</f>
        <v>5657.4834515769544</v>
      </c>
      <c r="D149" s="2">
        <f>D137*(1+Assumptions!$D$52)</f>
        <v>-4281.8765012185313</v>
      </c>
      <c r="E149" s="2">
        <f>E137+(E137*Assumptions!$D$52)</f>
        <v>-35.734092716990595</v>
      </c>
      <c r="F149" s="22">
        <f t="shared" si="16"/>
        <v>1339.8728576414326</v>
      </c>
      <c r="G149" s="5">
        <f t="shared" si="17"/>
        <v>676165.52896095556</v>
      </c>
      <c r="H149" s="5">
        <f t="shared" si="18"/>
        <v>1339.8728576414326</v>
      </c>
      <c r="I149" s="3">
        <f>Assumptions!$E$45</f>
        <v>6.9899151946608562E-3</v>
      </c>
      <c r="J149" s="5">
        <f t="shared" si="19"/>
        <v>682231.74152358703</v>
      </c>
      <c r="K149" s="5">
        <f>J149*Assumptions!$E$43</f>
        <v>610.99003265999772</v>
      </c>
      <c r="L149" s="5">
        <f>K149*Assumptions!$D$44*-1</f>
        <v>-91.648504898999661</v>
      </c>
      <c r="M149" s="2">
        <f>J149*Assumptions!$E$46*-1</f>
        <v>-22.736889922014456</v>
      </c>
      <c r="N149" s="5">
        <f t="shared" si="20"/>
        <v>682117.35612876597</v>
      </c>
      <c r="O149" s="88">
        <f>Assumptions!$D$30</f>
        <v>2756</v>
      </c>
      <c r="P149" s="23">
        <f>(Model_Renter[[#This Row],[Monthly Investment]]*-1)+Model_Renter[[#This Row],[Less Renter''s Insurance]]</f>
        <v>-1375.6069503584231</v>
      </c>
    </row>
    <row r="150" spans="1:16" x14ac:dyDescent="0.25">
      <c r="A150" s="17">
        <f t="shared" si="14"/>
        <v>148</v>
      </c>
      <c r="B150" s="17">
        <f t="shared" si="15"/>
        <v>13</v>
      </c>
      <c r="C150" s="23">
        <f>MAX(Model_30y!V150, Model_15y!V150)</f>
        <v>5666.5783087213949</v>
      </c>
      <c r="D150" s="2">
        <f>D138*(1+Assumptions!$D$52)</f>
        <v>-4281.8765012185313</v>
      </c>
      <c r="E150" s="2">
        <f>E138+(E138*Assumptions!$D$52)</f>
        <v>-35.734092716990595</v>
      </c>
      <c r="F150" s="22">
        <f t="shared" si="16"/>
        <v>1348.9677147858731</v>
      </c>
      <c r="G150" s="5">
        <f t="shared" si="17"/>
        <v>682117.35612876597</v>
      </c>
      <c r="H150" s="5">
        <f t="shared" si="18"/>
        <v>1348.9677147858731</v>
      </c>
      <c r="I150" s="3">
        <f>Assumptions!$E$45</f>
        <v>6.9899151946608562E-3</v>
      </c>
      <c r="J150" s="5">
        <f t="shared" si="19"/>
        <v>688234.26631569816</v>
      </c>
      <c r="K150" s="5">
        <f>J150*Assumptions!$E$43</f>
        <v>616.36574679869204</v>
      </c>
      <c r="L150" s="5">
        <f>K150*Assumptions!$D$44*-1</f>
        <v>-92.454862019803798</v>
      </c>
      <c r="M150" s="2">
        <f>J150*Assumptions!$E$46*-1</f>
        <v>-22.936937409027596</v>
      </c>
      <c r="N150" s="5">
        <f t="shared" si="20"/>
        <v>688118.87451626931</v>
      </c>
      <c r="O150" s="88">
        <f>Assumptions!$D$30</f>
        <v>2756</v>
      </c>
      <c r="P150" s="23">
        <f>(Model_Renter[[#This Row],[Monthly Investment]]*-1)+Model_Renter[[#This Row],[Less Renter''s Insurance]]</f>
        <v>-1384.7018075028636</v>
      </c>
    </row>
    <row r="151" spans="1:16" x14ac:dyDescent="0.25">
      <c r="A151" s="17">
        <f t="shared" si="14"/>
        <v>149</v>
      </c>
      <c r="B151" s="17">
        <f t="shared" si="15"/>
        <v>13</v>
      </c>
      <c r="C151" s="23">
        <f>MAX(Model_30y!V151, Model_15y!V151)</f>
        <v>5675.7102194396357</v>
      </c>
      <c r="D151" s="2">
        <f>D139*(1+Assumptions!$D$52)</f>
        <v>-4281.8765012185313</v>
      </c>
      <c r="E151" s="2">
        <f>E139+(E139*Assumptions!$D$52)</f>
        <v>-35.734092716990595</v>
      </c>
      <c r="F151" s="22">
        <f t="shared" si="16"/>
        <v>1358.0996255041139</v>
      </c>
      <c r="G151" s="5">
        <f t="shared" si="17"/>
        <v>688118.87451626931</v>
      </c>
      <c r="H151" s="5">
        <f t="shared" si="18"/>
        <v>1358.0996255041139</v>
      </c>
      <c r="I151" s="3">
        <f>Assumptions!$E$45</f>
        <v>6.9899151946608562E-3</v>
      </c>
      <c r="J151" s="5">
        <f t="shared" si="19"/>
        <v>694286.86671848758</v>
      </c>
      <c r="K151" s="5">
        <f>J151*Assumptions!$E$43</f>
        <v>621.7863074274303</v>
      </c>
      <c r="L151" s="5">
        <f>K151*Assumptions!$D$44*-1</f>
        <v>-93.267946114114537</v>
      </c>
      <c r="M151" s="2">
        <f>J151*Assumptions!$E$46*-1</f>
        <v>-23.138653777123913</v>
      </c>
      <c r="N151" s="5">
        <f t="shared" si="20"/>
        <v>694170.46011859633</v>
      </c>
      <c r="O151" s="88">
        <f>Assumptions!$D$30</f>
        <v>2756</v>
      </c>
      <c r="P151" s="23">
        <f>(Model_Renter[[#This Row],[Monthly Investment]]*-1)+Model_Renter[[#This Row],[Less Renter''s Insurance]]</f>
        <v>-1393.8337182211044</v>
      </c>
    </row>
    <row r="152" spans="1:16" x14ac:dyDescent="0.25">
      <c r="A152" s="17">
        <f t="shared" si="14"/>
        <v>150</v>
      </c>
      <c r="B152" s="17">
        <f t="shared" si="15"/>
        <v>13</v>
      </c>
      <c r="C152" s="23">
        <f>MAX(Model_30y!V152, Model_15y!V152)</f>
        <v>5684.8793346925231</v>
      </c>
      <c r="D152" s="2">
        <f>D140*(1+Assumptions!$D$52)</f>
        <v>-4281.8765012185313</v>
      </c>
      <c r="E152" s="2">
        <f>E140+(E140*Assumptions!$D$52)</f>
        <v>-35.734092716990595</v>
      </c>
      <c r="F152" s="22">
        <f t="shared" si="16"/>
        <v>1367.2687407570013</v>
      </c>
      <c r="G152" s="5">
        <f t="shared" si="17"/>
        <v>694170.46011859633</v>
      </c>
      <c r="H152" s="5">
        <f t="shared" si="18"/>
        <v>1367.2687407570013</v>
      </c>
      <c r="I152" s="3">
        <f>Assumptions!$E$45</f>
        <v>6.9899151946608562E-3</v>
      </c>
      <c r="J152" s="5">
        <f t="shared" si="19"/>
        <v>700389.92150622106</v>
      </c>
      <c r="K152" s="5">
        <f>J152*Assumptions!$E$43</f>
        <v>627.2520537671644</v>
      </c>
      <c r="L152" s="5">
        <f>K152*Assumptions!$D$44*-1</f>
        <v>-94.087808065074654</v>
      </c>
      <c r="M152" s="2">
        <f>J152*Assumptions!$E$46*-1</f>
        <v>-23.342051649798123</v>
      </c>
      <c r="N152" s="5">
        <f t="shared" si="20"/>
        <v>700272.49164650624</v>
      </c>
      <c r="O152" s="88">
        <f>Assumptions!$D$30</f>
        <v>2756</v>
      </c>
      <c r="P152" s="23">
        <f>(Model_Renter[[#This Row],[Monthly Investment]]*-1)+Model_Renter[[#This Row],[Less Renter''s Insurance]]</f>
        <v>-1403.0028334739918</v>
      </c>
    </row>
    <row r="153" spans="1:16" x14ac:dyDescent="0.25">
      <c r="A153" s="17">
        <f t="shared" si="14"/>
        <v>151</v>
      </c>
      <c r="B153" s="17">
        <f t="shared" si="15"/>
        <v>13</v>
      </c>
      <c r="C153" s="23">
        <f>MAX(Model_30y!V153, Model_15y!V153)</f>
        <v>5694.0858060559385</v>
      </c>
      <c r="D153" s="2">
        <f>D141*(1+Assumptions!$D$52)</f>
        <v>-4281.8765012185313</v>
      </c>
      <c r="E153" s="2">
        <f>E141+(E141*Assumptions!$D$52)</f>
        <v>-35.734092716990595</v>
      </c>
      <c r="F153" s="22">
        <f t="shared" si="16"/>
        <v>1376.4752121204167</v>
      </c>
      <c r="G153" s="5">
        <f t="shared" si="17"/>
        <v>700272.49164650624</v>
      </c>
      <c r="H153" s="5">
        <f t="shared" si="18"/>
        <v>1376.4752121204167</v>
      </c>
      <c r="I153" s="3">
        <f>Assumptions!$E$45</f>
        <v>6.9899151946608562E-3</v>
      </c>
      <c r="J153" s="5">
        <f t="shared" si="19"/>
        <v>706543.81218838959</v>
      </c>
      <c r="K153" s="5">
        <f>J153*Assumptions!$E$43</f>
        <v>632.76332748844766</v>
      </c>
      <c r="L153" s="5">
        <f>K153*Assumptions!$D$44*-1</f>
        <v>-94.914499123267149</v>
      </c>
      <c r="M153" s="2">
        <f>J153*Assumptions!$E$46*-1</f>
        <v>-23.54714374170241</v>
      </c>
      <c r="N153" s="5">
        <f t="shared" si="20"/>
        <v>706425.35054552462</v>
      </c>
      <c r="O153" s="88">
        <f>Assumptions!$D$30</f>
        <v>2756</v>
      </c>
      <c r="P153" s="23">
        <f>(Model_Renter[[#This Row],[Monthly Investment]]*-1)+Model_Renter[[#This Row],[Less Renter''s Insurance]]</f>
        <v>-1412.2093048374072</v>
      </c>
    </row>
    <row r="154" spans="1:16" x14ac:dyDescent="0.25">
      <c r="A154" s="17">
        <f t="shared" si="14"/>
        <v>152</v>
      </c>
      <c r="B154" s="17">
        <f t="shared" si="15"/>
        <v>13</v>
      </c>
      <c r="C154" s="23">
        <f>MAX(Model_30y!V154, Model_15y!V154)</f>
        <v>5703.3297857232974</v>
      </c>
      <c r="D154" s="2">
        <f>D142*(1+Assumptions!$D$52)</f>
        <v>-4281.8765012185313</v>
      </c>
      <c r="E154" s="2">
        <f>E142+(E142*Assumptions!$D$52)</f>
        <v>-35.734092716990595</v>
      </c>
      <c r="F154" s="22">
        <f t="shared" si="16"/>
        <v>1385.7191917877756</v>
      </c>
      <c r="G154" s="5">
        <f t="shared" si="17"/>
        <v>706425.35054552462</v>
      </c>
      <c r="H154" s="5">
        <f t="shared" si="18"/>
        <v>1385.7191917877756</v>
      </c>
      <c r="I154" s="3">
        <f>Assumptions!$E$45</f>
        <v>6.9899151946608562E-3</v>
      </c>
      <c r="J154" s="5">
        <f t="shared" si="19"/>
        <v>712748.92302898422</v>
      </c>
      <c r="K154" s="5">
        <f>J154*Assumptions!$E$43</f>
        <v>638.32047272869545</v>
      </c>
      <c r="L154" s="5">
        <f>K154*Assumptions!$D$44*-1</f>
        <v>-95.748070909304317</v>
      </c>
      <c r="M154" s="2">
        <f>J154*Assumptions!$E$46*-1</f>
        <v>-23.753942859288792</v>
      </c>
      <c r="N154" s="5">
        <f t="shared" si="20"/>
        <v>712629.42101521569</v>
      </c>
      <c r="O154" s="88">
        <f>Assumptions!$D$30</f>
        <v>2756</v>
      </c>
      <c r="P154" s="23">
        <f>(Model_Renter[[#This Row],[Monthly Investment]]*-1)+Model_Renter[[#This Row],[Less Renter''s Insurance]]</f>
        <v>-1421.4532845047661</v>
      </c>
    </row>
    <row r="155" spans="1:16" x14ac:dyDescent="0.25">
      <c r="A155" s="17">
        <f t="shared" si="14"/>
        <v>153</v>
      </c>
      <c r="B155" s="17">
        <f t="shared" si="15"/>
        <v>13</v>
      </c>
      <c r="C155" s="23">
        <f>MAX(Model_30y!V155, Model_15y!V155)</f>
        <v>5712.611426508076</v>
      </c>
      <c r="D155" s="2">
        <f>D143*(1+Assumptions!$D$52)</f>
        <v>-4281.8765012185313</v>
      </c>
      <c r="E155" s="2">
        <f>E143+(E143*Assumptions!$D$52)</f>
        <v>-35.734092716990595</v>
      </c>
      <c r="F155" s="22">
        <f t="shared" si="16"/>
        <v>1395.0008325725541</v>
      </c>
      <c r="G155" s="5">
        <f t="shared" si="17"/>
        <v>712629.42101521569</v>
      </c>
      <c r="H155" s="5">
        <f t="shared" si="18"/>
        <v>1395.0008325725541</v>
      </c>
      <c r="I155" s="3">
        <f>Assumptions!$E$45</f>
        <v>6.9899151946608562E-3</v>
      </c>
      <c r="J155" s="5">
        <f t="shared" si="19"/>
        <v>719005.64106590487</v>
      </c>
      <c r="K155" s="5">
        <f>J155*Assumptions!$E$43</f>
        <v>643.92383610956858</v>
      </c>
      <c r="L155" s="5">
        <f>K155*Assumptions!$D$44*-1</f>
        <v>-96.58857541643529</v>
      </c>
      <c r="M155" s="2">
        <f>J155*Assumptions!$E$46*-1</f>
        <v>-23.962461901455974</v>
      </c>
      <c r="N155" s="5">
        <f t="shared" si="20"/>
        <v>718885.09002858703</v>
      </c>
      <c r="O155" s="88">
        <f>Assumptions!$D$30</f>
        <v>2756</v>
      </c>
      <c r="P155" s="23">
        <f>(Model_Renter[[#This Row],[Monthly Investment]]*-1)+Model_Renter[[#This Row],[Less Renter''s Insurance]]</f>
        <v>-1430.7349252895447</v>
      </c>
    </row>
    <row r="156" spans="1:16" x14ac:dyDescent="0.25">
      <c r="A156" s="17">
        <f t="shared" si="14"/>
        <v>154</v>
      </c>
      <c r="B156" s="17">
        <f t="shared" si="15"/>
        <v>13</v>
      </c>
      <c r="C156" s="23">
        <f>MAX(Model_30y!V156, Model_15y!V156)</f>
        <v>5721.9308818463269</v>
      </c>
      <c r="D156" s="2">
        <f>D144*(1+Assumptions!$D$52)</f>
        <v>-4281.8765012185313</v>
      </c>
      <c r="E156" s="2">
        <f>E144+(E144*Assumptions!$D$52)</f>
        <v>-35.734092716990595</v>
      </c>
      <c r="F156" s="22">
        <f t="shared" si="16"/>
        <v>1404.3202879108051</v>
      </c>
      <c r="G156" s="5">
        <f t="shared" si="17"/>
        <v>718885.09002858703</v>
      </c>
      <c r="H156" s="5">
        <f t="shared" si="18"/>
        <v>1404.3202879108051</v>
      </c>
      <c r="I156" s="3">
        <f>Assumptions!$E$45</f>
        <v>6.9899151946608562E-3</v>
      </c>
      <c r="J156" s="5">
        <f t="shared" si="19"/>
        <v>725314.3561305037</v>
      </c>
      <c r="K156" s="5">
        <f>J156*Assumptions!$E$43</f>
        <v>649.57376675447483</v>
      </c>
      <c r="L156" s="5">
        <f>K156*Assumptions!$D$44*-1</f>
        <v>-97.436065013171216</v>
      </c>
      <c r="M156" s="2">
        <f>J156*Assumptions!$E$46*-1</f>
        <v>-24.17271386020067</v>
      </c>
      <c r="N156" s="5">
        <f t="shared" si="20"/>
        <v>725192.74735163036</v>
      </c>
      <c r="O156" s="88">
        <f>Assumptions!$D$30</f>
        <v>2756</v>
      </c>
      <c r="P156" s="23">
        <f>(Model_Renter[[#This Row],[Monthly Investment]]*-1)+Model_Renter[[#This Row],[Less Renter''s Insurance]]</f>
        <v>-1440.0543806277956</v>
      </c>
    </row>
    <row r="157" spans="1:16" x14ac:dyDescent="0.25">
      <c r="A157" s="17">
        <f t="shared" si="14"/>
        <v>155</v>
      </c>
      <c r="B157" s="17">
        <f t="shared" si="15"/>
        <v>13</v>
      </c>
      <c r="C157" s="23">
        <f>MAX(Model_30y!V157, Model_15y!V157)</f>
        <v>5731.2883057992221</v>
      </c>
      <c r="D157" s="2">
        <f>D145*(1+Assumptions!$D$52)</f>
        <v>-4281.8765012185313</v>
      </c>
      <c r="E157" s="2">
        <f>E145+(E145*Assumptions!$D$52)</f>
        <v>-35.734092716990595</v>
      </c>
      <c r="F157" s="22">
        <f t="shared" si="16"/>
        <v>1413.6777118637003</v>
      </c>
      <c r="G157" s="5">
        <f t="shared" si="17"/>
        <v>725192.74735163036</v>
      </c>
      <c r="H157" s="5">
        <f t="shared" si="18"/>
        <v>1413.6777118637003</v>
      </c>
      <c r="I157" s="3">
        <f>Assumptions!$E$45</f>
        <v>6.9899151946608562E-3</v>
      </c>
      <c r="J157" s="5">
        <f t="shared" si="19"/>
        <v>731675.46086726501</v>
      </c>
      <c r="K157" s="5">
        <f>J157*Assumptions!$E$43</f>
        <v>655.27061630619437</v>
      </c>
      <c r="L157" s="5">
        <f>K157*Assumptions!$D$44*-1</f>
        <v>-98.29059244592915</v>
      </c>
      <c r="M157" s="2">
        <f>J157*Assumptions!$E$46*-1</f>
        <v>-24.38471182127347</v>
      </c>
      <c r="N157" s="5">
        <f t="shared" si="20"/>
        <v>731552.7855629978</v>
      </c>
      <c r="O157" s="88">
        <f>Assumptions!$D$30</f>
        <v>2756</v>
      </c>
      <c r="P157" s="23">
        <f>(Model_Renter[[#This Row],[Monthly Investment]]*-1)+Model_Renter[[#This Row],[Less Renter''s Insurance]]</f>
        <v>-1449.4118045806908</v>
      </c>
    </row>
    <row r="158" spans="1:16" x14ac:dyDescent="0.25">
      <c r="A158" s="17">
        <f t="shared" si="14"/>
        <v>156</v>
      </c>
      <c r="B158" s="17">
        <f t="shared" si="15"/>
        <v>13</v>
      </c>
      <c r="C158" s="23">
        <f>MAX(Model_30y!V158, Model_15y!V158)</f>
        <v>5740.6838530555979</v>
      </c>
      <c r="D158" s="2">
        <f>D146*(1+Assumptions!$D$52)</f>
        <v>-4281.8765012185313</v>
      </c>
      <c r="E158" s="2">
        <f>E146+(E146*Assumptions!$D$52)</f>
        <v>-35.734092716990595</v>
      </c>
      <c r="F158" s="22">
        <f t="shared" si="16"/>
        <v>1423.073259120076</v>
      </c>
      <c r="G158" s="5">
        <f t="shared" si="17"/>
        <v>731552.7855629978</v>
      </c>
      <c r="H158" s="5">
        <f t="shared" si="18"/>
        <v>1423.073259120076</v>
      </c>
      <c r="I158" s="3">
        <f>Assumptions!$E$45</f>
        <v>6.9899151946608562E-3</v>
      </c>
      <c r="J158" s="5">
        <f t="shared" si="19"/>
        <v>738089.3507536212</v>
      </c>
      <c r="K158" s="5">
        <f>J158*Assumptions!$E$43</f>
        <v>661.01473894462617</v>
      </c>
      <c r="L158" s="5">
        <f>K158*Assumptions!$D$44*-1</f>
        <v>-99.152210841693929</v>
      </c>
      <c r="M158" s="2">
        <f>J158*Assumptions!$E$46*-1</f>
        <v>-24.59846896483927</v>
      </c>
      <c r="N158" s="5">
        <f t="shared" si="20"/>
        <v>737965.60007381462</v>
      </c>
      <c r="O158" s="88">
        <f>Assumptions!$D$30</f>
        <v>2756</v>
      </c>
      <c r="P158" s="23">
        <f>(Model_Renter[[#This Row],[Monthly Investment]]*-1)+Model_Renter[[#This Row],[Less Renter''s Insurance]]</f>
        <v>-1458.8073518370666</v>
      </c>
    </row>
    <row r="159" spans="1:16" x14ac:dyDescent="0.25">
      <c r="A159" s="17">
        <f t="shared" si="14"/>
        <v>157</v>
      </c>
      <c r="B159" s="17">
        <f t="shared" si="15"/>
        <v>14</v>
      </c>
      <c r="C159" s="23">
        <f>MAX(Model_30y!V159, Model_15y!V159)</f>
        <v>5779.2928614976772</v>
      </c>
      <c r="D159" s="2">
        <f>D147*(1+Assumptions!$D$52)</f>
        <v>-4442.0186823641052</v>
      </c>
      <c r="E159" s="2">
        <f>E147+(E147*Assumptions!$D$52)</f>
        <v>-37.070547784606042</v>
      </c>
      <c r="F159" s="22">
        <f t="shared" si="16"/>
        <v>1300.2036313489659</v>
      </c>
      <c r="G159" s="5">
        <f t="shared" si="17"/>
        <v>737965.60007381462</v>
      </c>
      <c r="H159" s="5">
        <f t="shared" si="18"/>
        <v>1300.2036313489659</v>
      </c>
      <c r="I159" s="3">
        <f>Assumptions!$E$45</f>
        <v>6.9899151946608562E-3</v>
      </c>
      <c r="J159" s="5">
        <f t="shared" si="19"/>
        <v>744424.12066625652</v>
      </c>
      <c r="K159" s="5">
        <f>J159*Assumptions!$E$43</f>
        <v>666.68800367307585</v>
      </c>
      <c r="L159" s="5">
        <f>K159*Assumptions!$D$44*-1</f>
        <v>-100.00320055096138</v>
      </c>
      <c r="M159" s="2">
        <f>J159*Assumptions!$E$46*-1</f>
        <v>-24.809589259335123</v>
      </c>
      <c r="N159" s="5">
        <f t="shared" si="20"/>
        <v>744299.30787644628</v>
      </c>
      <c r="O159" s="88">
        <f>Assumptions!$D$30</f>
        <v>2756</v>
      </c>
      <c r="P159" s="23">
        <f>(Model_Renter[[#This Row],[Monthly Investment]]*-1)+Model_Renter[[#This Row],[Less Renter''s Insurance]]</f>
        <v>-1337.274179133572</v>
      </c>
    </row>
    <row r="160" spans="1:16" x14ac:dyDescent="0.25">
      <c r="A160" s="17">
        <f t="shared" si="14"/>
        <v>158</v>
      </c>
      <c r="B160" s="17">
        <f t="shared" si="15"/>
        <v>14</v>
      </c>
      <c r="C160" s="23">
        <f>MAX(Model_30y!V160, Model_15y!V160)</f>
        <v>5788.7651219509744</v>
      </c>
      <c r="D160" s="2">
        <f>D148*(1+Assumptions!$D$52)</f>
        <v>-4442.0186823641052</v>
      </c>
      <c r="E160" s="2">
        <f>E148+(E148*Assumptions!$D$52)</f>
        <v>-37.070547784606042</v>
      </c>
      <c r="F160" s="22">
        <f t="shared" si="16"/>
        <v>1309.6758918022631</v>
      </c>
      <c r="G160" s="5">
        <f t="shared" si="17"/>
        <v>744299.30787644628</v>
      </c>
      <c r="H160" s="5">
        <f t="shared" si="18"/>
        <v>1309.6758918022631</v>
      </c>
      <c r="I160" s="3">
        <f>Assumptions!$E$45</f>
        <v>6.9899151946608562E-3</v>
      </c>
      <c r="J160" s="5">
        <f t="shared" si="19"/>
        <v>750811.57280974975</v>
      </c>
      <c r="K160" s="5">
        <f>J160*Assumptions!$E$43</f>
        <v>672.40844931673871</v>
      </c>
      <c r="L160" s="5">
        <f>K160*Assumptions!$D$44*-1</f>
        <v>-100.8612673975108</v>
      </c>
      <c r="M160" s="2">
        <f>J160*Assumptions!$E$46*-1</f>
        <v>-25.022465306328193</v>
      </c>
      <c r="N160" s="5">
        <f t="shared" si="20"/>
        <v>750685.68907704588</v>
      </c>
      <c r="O160" s="88">
        <f>Assumptions!$D$30</f>
        <v>2756</v>
      </c>
      <c r="P160" s="23">
        <f>(Model_Renter[[#This Row],[Monthly Investment]]*-1)+Model_Renter[[#This Row],[Less Renter''s Insurance]]</f>
        <v>-1346.7464395868692</v>
      </c>
    </row>
    <row r="161" spans="1:16" x14ac:dyDescent="0.25">
      <c r="A161" s="17">
        <f t="shared" si="14"/>
        <v>159</v>
      </c>
      <c r="B161" s="17">
        <f t="shared" si="15"/>
        <v>14</v>
      </c>
      <c r="C161" s="23">
        <f>MAX(Model_30y!V161, Model_15y!V161)</f>
        <v>5798.2759735658692</v>
      </c>
      <c r="D161" s="2">
        <f>D149*(1+Assumptions!$D$52)</f>
        <v>-4442.0186823641052</v>
      </c>
      <c r="E161" s="2">
        <f>E149+(E149*Assumptions!$D$52)</f>
        <v>-37.070547784606042</v>
      </c>
      <c r="F161" s="22">
        <f t="shared" si="16"/>
        <v>1319.1867434171579</v>
      </c>
      <c r="G161" s="5">
        <f t="shared" si="17"/>
        <v>750685.68907704588</v>
      </c>
      <c r="H161" s="5">
        <f t="shared" si="18"/>
        <v>1319.1867434171579</v>
      </c>
      <c r="I161" s="3">
        <f>Assumptions!$E$45</f>
        <v>6.9899151946608562E-3</v>
      </c>
      <c r="J161" s="5">
        <f t="shared" si="19"/>
        <v>757252.10512495716</v>
      </c>
      <c r="K161" s="5">
        <f>J161*Assumptions!$E$43</f>
        <v>678.17643226169571</v>
      </c>
      <c r="L161" s="5">
        <f>K161*Assumptions!$D$44*-1</f>
        <v>-101.72646483925435</v>
      </c>
      <c r="M161" s="2">
        <f>J161*Assumptions!$E$46*-1</f>
        <v>-25.237110368082455</v>
      </c>
      <c r="N161" s="5">
        <f t="shared" si="20"/>
        <v>757125.14154974988</v>
      </c>
      <c r="O161" s="88">
        <f>Assumptions!$D$30</f>
        <v>2756</v>
      </c>
      <c r="P161" s="23">
        <f>(Model_Renter[[#This Row],[Monthly Investment]]*-1)+Model_Renter[[#This Row],[Less Renter''s Insurance]]</f>
        <v>-1356.257291201764</v>
      </c>
    </row>
    <row r="162" spans="1:16" x14ac:dyDescent="0.25">
      <c r="A162" s="17">
        <f t="shared" si="14"/>
        <v>160</v>
      </c>
      <c r="B162" s="17">
        <f t="shared" si="15"/>
        <v>14</v>
      </c>
      <c r="C162" s="23">
        <f>MAX(Model_30y!V162, Model_15y!V162)</f>
        <v>5807.8255735675302</v>
      </c>
      <c r="D162" s="2">
        <f>D150*(1+Assumptions!$D$52)</f>
        <v>-4442.0186823641052</v>
      </c>
      <c r="E162" s="2">
        <f>E150+(E150*Assumptions!$D$52)</f>
        <v>-37.070547784606042</v>
      </c>
      <c r="F162" s="22">
        <f t="shared" si="16"/>
        <v>1328.7363434188189</v>
      </c>
      <c r="G162" s="5">
        <f t="shared" si="17"/>
        <v>757125.14154974988</v>
      </c>
      <c r="H162" s="5">
        <f t="shared" si="18"/>
        <v>1328.7363434188189</v>
      </c>
      <c r="I162" s="3">
        <f>Assumptions!$E$45</f>
        <v>6.9899151946608562E-3</v>
      </c>
      <c r="J162" s="5">
        <f t="shared" si="19"/>
        <v>763746.11842434702</v>
      </c>
      <c r="K162" s="5">
        <f>J162*Assumptions!$E$43</f>
        <v>683.99231146577324</v>
      </c>
      <c r="L162" s="5">
        <f>K162*Assumptions!$D$44*-1</f>
        <v>-102.59884671986599</v>
      </c>
      <c r="M162" s="2">
        <f>J162*Assumptions!$E$46*-1</f>
        <v>-25.453537802564732</v>
      </c>
      <c r="N162" s="5">
        <f t="shared" si="20"/>
        <v>763618.06603982463</v>
      </c>
      <c r="O162" s="88">
        <f>Assumptions!$D$30</f>
        <v>2756</v>
      </c>
      <c r="P162" s="23">
        <f>(Model_Renter[[#This Row],[Monthly Investment]]*-1)+Model_Renter[[#This Row],[Less Renter''s Insurance]]</f>
        <v>-1365.806891203425</v>
      </c>
    </row>
    <row r="163" spans="1:16" x14ac:dyDescent="0.25">
      <c r="A163" s="17">
        <f t="shared" si="14"/>
        <v>161</v>
      </c>
      <c r="B163" s="17">
        <f t="shared" si="15"/>
        <v>14</v>
      </c>
      <c r="C163" s="23">
        <f>MAX(Model_30y!V163, Model_15y!V163)</f>
        <v>5817.4140798216831</v>
      </c>
      <c r="D163" s="2">
        <f>D151*(1+Assumptions!$D$52)</f>
        <v>-4442.0186823641052</v>
      </c>
      <c r="E163" s="2">
        <f>E151+(E151*Assumptions!$D$52)</f>
        <v>-37.070547784606042</v>
      </c>
      <c r="F163" s="22">
        <f t="shared" si="16"/>
        <v>1338.3248496729718</v>
      </c>
      <c r="G163" s="5">
        <f t="shared" si="17"/>
        <v>763618.06603982463</v>
      </c>
      <c r="H163" s="5">
        <f t="shared" si="18"/>
        <v>1338.3248496729718</v>
      </c>
      <c r="I163" s="3">
        <f>Assumptions!$E$45</f>
        <v>6.9899151946608562E-3</v>
      </c>
      <c r="J163" s="5">
        <f t="shared" si="19"/>
        <v>770294.01641222695</v>
      </c>
      <c r="K163" s="5">
        <f>J163*Assumptions!$E$43</f>
        <v>689.85644847665844</v>
      </c>
      <c r="L163" s="5">
        <f>K163*Assumptions!$D$44*-1</f>
        <v>-103.47846727149876</v>
      </c>
      <c r="M163" s="2">
        <f>J163*Assumptions!$E$46*-1</f>
        <v>-25.671761064118826</v>
      </c>
      <c r="N163" s="5">
        <f t="shared" si="20"/>
        <v>770164.86618389131</v>
      </c>
      <c r="O163" s="88">
        <f>Assumptions!$D$30</f>
        <v>2756</v>
      </c>
      <c r="P163" s="23">
        <f>(Model_Renter[[#This Row],[Monthly Investment]]*-1)+Model_Renter[[#This Row],[Less Renter''s Insurance]]</f>
        <v>-1375.3953974575779</v>
      </c>
    </row>
    <row r="164" spans="1:16" x14ac:dyDescent="0.25">
      <c r="A164" s="17">
        <f t="shared" si="14"/>
        <v>162</v>
      </c>
      <c r="B164" s="17">
        <f t="shared" si="15"/>
        <v>14</v>
      </c>
      <c r="C164" s="23">
        <f>MAX(Model_30y!V164, Model_15y!V164)</f>
        <v>5827.0416508372164</v>
      </c>
      <c r="D164" s="2">
        <f>D152*(1+Assumptions!$D$52)</f>
        <v>-4442.0186823641052</v>
      </c>
      <c r="E164" s="2">
        <f>E152+(E152*Assumptions!$D$52)</f>
        <v>-37.070547784606042</v>
      </c>
      <c r="F164" s="22">
        <f t="shared" si="16"/>
        <v>1347.9524206885051</v>
      </c>
      <c r="G164" s="5">
        <f t="shared" si="17"/>
        <v>770164.86618389131</v>
      </c>
      <c r="H164" s="5">
        <f t="shared" si="18"/>
        <v>1347.9524206885051</v>
      </c>
      <c r="I164" s="3">
        <f>Assumptions!$E$45</f>
        <v>6.9899151946608562E-3</v>
      </c>
      <c r="J164" s="5">
        <f t="shared" si="19"/>
        <v>776896.20570511254</v>
      </c>
      <c r="K164" s="5">
        <f>J164*Assumptions!$E$43</f>
        <v>695.76920745014013</v>
      </c>
      <c r="L164" s="5">
        <f>K164*Assumptions!$D$44*-1</f>
        <v>-104.36538111752101</v>
      </c>
      <c r="M164" s="2">
        <f>J164*Assumptions!$E$46*-1</f>
        <v>-25.891793704144344</v>
      </c>
      <c r="N164" s="5">
        <f t="shared" si="20"/>
        <v>776765.94853029086</v>
      </c>
      <c r="O164" s="88">
        <f>Assumptions!$D$30</f>
        <v>2756</v>
      </c>
      <c r="P164" s="23">
        <f>(Model_Renter[[#This Row],[Monthly Investment]]*-1)+Model_Renter[[#This Row],[Less Renter''s Insurance]]</f>
        <v>-1385.0229684731112</v>
      </c>
    </row>
    <row r="165" spans="1:16" x14ac:dyDescent="0.25">
      <c r="A165" s="17">
        <f t="shared" si="14"/>
        <v>163</v>
      </c>
      <c r="B165" s="17">
        <f t="shared" si="15"/>
        <v>14</v>
      </c>
      <c r="C165" s="23">
        <f>MAX(Model_30y!V165, Model_15y!V165)</f>
        <v>5836.7084457688015</v>
      </c>
      <c r="D165" s="2">
        <f>D153*(1+Assumptions!$D$52)</f>
        <v>-4442.0186823641052</v>
      </c>
      <c r="E165" s="2">
        <f>E153+(E153*Assumptions!$D$52)</f>
        <v>-37.070547784606042</v>
      </c>
      <c r="F165" s="22">
        <f t="shared" si="16"/>
        <v>1357.6192156200902</v>
      </c>
      <c r="G165" s="5">
        <f t="shared" si="17"/>
        <v>776765.94853029086</v>
      </c>
      <c r="H165" s="5">
        <f t="shared" si="18"/>
        <v>1357.6192156200902</v>
      </c>
      <c r="I165" s="3">
        <f>Assumptions!$E$45</f>
        <v>6.9899151946608562E-3</v>
      </c>
      <c r="J165" s="5">
        <f t="shared" si="19"/>
        <v>783553.09585223801</v>
      </c>
      <c r="K165" s="5">
        <f>J165*Assumptions!$E$43</f>
        <v>701.73095516847843</v>
      </c>
      <c r="L165" s="5">
        <f>K165*Assumptions!$D$44*-1</f>
        <v>-105.25964327527176</v>
      </c>
      <c r="M165" s="2">
        <f>J165*Assumptions!$E$46*-1</f>
        <v>-26.113649371780266</v>
      </c>
      <c r="N165" s="5">
        <f t="shared" si="20"/>
        <v>783421.72255959094</v>
      </c>
      <c r="O165" s="88">
        <f>Assumptions!$D$30</f>
        <v>2756</v>
      </c>
      <c r="P165" s="23">
        <f>(Model_Renter[[#This Row],[Monthly Investment]]*-1)+Model_Renter[[#This Row],[Less Renter''s Insurance]]</f>
        <v>-1394.6897634046964</v>
      </c>
    </row>
    <row r="166" spans="1:16" x14ac:dyDescent="0.25">
      <c r="A166" s="17">
        <f t="shared" si="14"/>
        <v>164</v>
      </c>
      <c r="B166" s="17">
        <f t="shared" si="15"/>
        <v>14</v>
      </c>
      <c r="C166" s="23">
        <f>MAX(Model_30y!V166, Model_15y!V166)</f>
        <v>5846.414624419529</v>
      </c>
      <c r="D166" s="2">
        <f>D154*(1+Assumptions!$D$52)</f>
        <v>-4442.0186823641052</v>
      </c>
      <c r="E166" s="2">
        <f>E154+(E154*Assumptions!$D$52)</f>
        <v>-37.070547784606042</v>
      </c>
      <c r="F166" s="22">
        <f t="shared" si="16"/>
        <v>1367.3253942708177</v>
      </c>
      <c r="G166" s="5">
        <f t="shared" si="17"/>
        <v>783421.72255959094</v>
      </c>
      <c r="H166" s="5">
        <f t="shared" si="18"/>
        <v>1367.3253942708177</v>
      </c>
      <c r="I166" s="3">
        <f>Assumptions!$E$45</f>
        <v>6.9899151946608562E-3</v>
      </c>
      <c r="J166" s="5">
        <f t="shared" si="19"/>
        <v>790265.09935620846</v>
      </c>
      <c r="K166" s="5">
        <f>J166*Assumptions!$E$43</f>
        <v>707.74206105889994</v>
      </c>
      <c r="L166" s="5">
        <f>K166*Assumptions!$D$44*-1</f>
        <v>-106.16130915883498</v>
      </c>
      <c r="M166" s="2">
        <f>J166*Assumptions!$E$46*-1</f>
        <v>-26.337341814593227</v>
      </c>
      <c r="N166" s="5">
        <f t="shared" si="20"/>
        <v>790132.60070523503</v>
      </c>
      <c r="O166" s="88">
        <f>Assumptions!$D$30</f>
        <v>2756</v>
      </c>
      <c r="P166" s="23">
        <f>(Model_Renter[[#This Row],[Monthly Investment]]*-1)+Model_Renter[[#This Row],[Less Renter''s Insurance]]</f>
        <v>-1404.3959420554238</v>
      </c>
    </row>
    <row r="167" spans="1:16" x14ac:dyDescent="0.25">
      <c r="A167" s="17">
        <f t="shared" si="14"/>
        <v>165</v>
      </c>
      <c r="B167" s="17">
        <f t="shared" si="15"/>
        <v>14</v>
      </c>
      <c r="C167" s="23">
        <f>MAX(Model_30y!V167, Model_15y!V167)</f>
        <v>5856.1603472435463</v>
      </c>
      <c r="D167" s="2">
        <f>D155*(1+Assumptions!$D$52)</f>
        <v>-4442.0186823641052</v>
      </c>
      <c r="E167" s="2">
        <f>E155+(E155*Assumptions!$D$52)</f>
        <v>-37.070547784606042</v>
      </c>
      <c r="F167" s="22">
        <f t="shared" si="16"/>
        <v>1377.071117094835</v>
      </c>
      <c r="G167" s="5">
        <f t="shared" si="17"/>
        <v>790132.60070523503</v>
      </c>
      <c r="H167" s="5">
        <f t="shared" si="18"/>
        <v>1377.071117094835</v>
      </c>
      <c r="I167" s="3">
        <f>Assumptions!$E$45</f>
        <v>6.9899151946608562E-3</v>
      </c>
      <c r="J167" s="5">
        <f t="shared" si="19"/>
        <v>797032.63169379625</v>
      </c>
      <c r="K167" s="5">
        <f>J167*Assumptions!$E$43</f>
        <v>713.80289721222243</v>
      </c>
      <c r="L167" s="5">
        <f>K167*Assumptions!$D$44*-1</f>
        <v>-107.07043458183337</v>
      </c>
      <c r="M167" s="2">
        <f>J167*Assumptions!$E$46*-1</f>
        <v>-26.562884879270594</v>
      </c>
      <c r="N167" s="5">
        <f t="shared" si="20"/>
        <v>796898.99837433512</v>
      </c>
      <c r="O167" s="88">
        <f>Assumptions!$D$30</f>
        <v>2756</v>
      </c>
      <c r="P167" s="23">
        <f>(Model_Renter[[#This Row],[Monthly Investment]]*-1)+Model_Renter[[#This Row],[Less Renter''s Insurance]]</f>
        <v>-1414.1416648794411</v>
      </c>
    </row>
    <row r="168" spans="1:16" x14ac:dyDescent="0.25">
      <c r="A168" s="17">
        <f t="shared" si="14"/>
        <v>166</v>
      </c>
      <c r="B168" s="17">
        <f t="shared" si="15"/>
        <v>14</v>
      </c>
      <c r="C168" s="23">
        <f>MAX(Model_30y!V168, Model_15y!V168)</f>
        <v>5865.9457753487095</v>
      </c>
      <c r="D168" s="2">
        <f>D156*(1+Assumptions!$D$52)</f>
        <v>-4442.0186823641052</v>
      </c>
      <c r="E168" s="2">
        <f>E156+(E156*Assumptions!$D$52)</f>
        <v>-37.070547784606042</v>
      </c>
      <c r="F168" s="22">
        <f t="shared" si="16"/>
        <v>1386.8565451999982</v>
      </c>
      <c r="G168" s="5">
        <f t="shared" si="17"/>
        <v>796898.99837433512</v>
      </c>
      <c r="H168" s="5">
        <f t="shared" si="18"/>
        <v>1386.8565451999982</v>
      </c>
      <c r="I168" s="3">
        <f>Assumptions!$E$45</f>
        <v>6.9899151946608562E-3</v>
      </c>
      <c r="J168" s="5">
        <f t="shared" si="19"/>
        <v>803856.11133688188</v>
      </c>
      <c r="K168" s="5">
        <f>J168*Assumptions!$E$43</f>
        <v>719.9138384016095</v>
      </c>
      <c r="L168" s="5">
        <f>K168*Assumptions!$D$44*-1</f>
        <v>-107.98707576024142</v>
      </c>
      <c r="M168" s="2">
        <f>J168*Assumptions!$E$46*-1</f>
        <v>-26.790292512318373</v>
      </c>
      <c r="N168" s="5">
        <f t="shared" si="20"/>
        <v>803721.33396860934</v>
      </c>
      <c r="O168" s="88">
        <f>Assumptions!$D$30</f>
        <v>2756</v>
      </c>
      <c r="P168" s="23">
        <f>(Model_Renter[[#This Row],[Monthly Investment]]*-1)+Model_Renter[[#This Row],[Less Renter''s Insurance]]</f>
        <v>-1423.9270929846043</v>
      </c>
    </row>
    <row r="169" spans="1:16" x14ac:dyDescent="0.25">
      <c r="A169" s="17">
        <f t="shared" si="14"/>
        <v>167</v>
      </c>
      <c r="B169" s="17">
        <f t="shared" si="15"/>
        <v>14</v>
      </c>
      <c r="C169" s="23">
        <f>MAX(Model_30y!V169, Model_15y!V169)</f>
        <v>5875.7710704992496</v>
      </c>
      <c r="D169" s="2">
        <f>D157*(1+Assumptions!$D$52)</f>
        <v>-4442.0186823641052</v>
      </c>
      <c r="E169" s="2">
        <f>E157+(E157*Assumptions!$D$52)</f>
        <v>-37.070547784606042</v>
      </c>
      <c r="F169" s="22">
        <f t="shared" si="16"/>
        <v>1396.6818403505383</v>
      </c>
      <c r="G169" s="5">
        <f t="shared" si="17"/>
        <v>803721.33396860934</v>
      </c>
      <c r="H169" s="5">
        <f t="shared" si="18"/>
        <v>1396.6818403505383</v>
      </c>
      <c r="I169" s="3">
        <f>Assumptions!$E$45</f>
        <v>6.9899151946608562E-3</v>
      </c>
      <c r="J169" s="5">
        <f t="shared" si="19"/>
        <v>810735.95977354015</v>
      </c>
      <c r="K169" s="5">
        <f>J169*Assumptions!$E$43</f>
        <v>726.07526210145409</v>
      </c>
      <c r="L169" s="5">
        <f>K169*Assumptions!$D$44*-1</f>
        <v>-108.91128931521811</v>
      </c>
      <c r="M169" s="2">
        <f>J169*Assumptions!$E$46*-1</f>
        <v>-27.019578760763963</v>
      </c>
      <c r="N169" s="5">
        <f t="shared" si="20"/>
        <v>810600.02890546422</v>
      </c>
      <c r="O169" s="88">
        <f>Assumptions!$D$30</f>
        <v>2756</v>
      </c>
      <c r="P169" s="23">
        <f>(Model_Renter[[#This Row],[Monthly Investment]]*-1)+Model_Renter[[#This Row],[Less Renter''s Insurance]]</f>
        <v>-1433.7523881351444</v>
      </c>
    </row>
    <row r="170" spans="1:16" x14ac:dyDescent="0.25">
      <c r="A170" s="17">
        <f t="shared" si="14"/>
        <v>168</v>
      </c>
      <c r="B170" s="17">
        <f t="shared" si="15"/>
        <v>14</v>
      </c>
      <c r="C170" s="23">
        <f>MAX(Model_30y!V170, Model_15y!V170)</f>
        <v>5885.6363951184439</v>
      </c>
      <c r="D170" s="2">
        <f>D158*(1+Assumptions!$D$52)</f>
        <v>-4442.0186823641052</v>
      </c>
      <c r="E170" s="2">
        <f>E158+(E158*Assumptions!$D$52)</f>
        <v>-37.070547784606042</v>
      </c>
      <c r="F170" s="22">
        <f t="shared" si="16"/>
        <v>1406.5471649697326</v>
      </c>
      <c r="G170" s="5">
        <f t="shared" si="17"/>
        <v>810600.02890546422</v>
      </c>
      <c r="H170" s="5">
        <f t="shared" si="18"/>
        <v>1406.5471649697326</v>
      </c>
      <c r="I170" s="3">
        <f>Assumptions!$E$45</f>
        <v>6.9899151946608562E-3</v>
      </c>
      <c r="J170" s="5">
        <f t="shared" si="19"/>
        <v>817672.60152927274</v>
      </c>
      <c r="K170" s="5">
        <f>J170*Assumptions!$E$43</f>
        <v>732.28754850639439</v>
      </c>
      <c r="L170" s="5">
        <f>K170*Assumptions!$D$44*-1</f>
        <v>-109.84313227595915</v>
      </c>
      <c r="M170" s="2">
        <f>J170*Assumptions!$E$46*-1</f>
        <v>-27.25075777286375</v>
      </c>
      <c r="N170" s="5">
        <f t="shared" si="20"/>
        <v>817535.50763922394</v>
      </c>
      <c r="O170" s="88">
        <f>Assumptions!$D$30</f>
        <v>2756</v>
      </c>
      <c r="P170" s="23">
        <f>(Model_Renter[[#This Row],[Monthly Investment]]*-1)+Model_Renter[[#This Row],[Less Renter''s Insurance]]</f>
        <v>-1443.6177127543388</v>
      </c>
    </row>
    <row r="171" spans="1:16" x14ac:dyDescent="0.25">
      <c r="A171" s="17">
        <f t="shared" si="14"/>
        <v>169</v>
      </c>
      <c r="B171" s="17">
        <f t="shared" si="15"/>
        <v>15</v>
      </c>
      <c r="C171" s="23">
        <f>MAX(Model_30y!V171, Model_15y!V171)</f>
        <v>5926.1758539826278</v>
      </c>
      <c r="D171" s="2">
        <f>D159*(1+Assumptions!$D$52)</f>
        <v>-4608.150181084523</v>
      </c>
      <c r="E171" s="2">
        <f>E159+(E159*Assumptions!$D$52)</f>
        <v>-38.45698627175031</v>
      </c>
      <c r="F171" s="22">
        <f t="shared" si="16"/>
        <v>1279.5686866263545</v>
      </c>
      <c r="G171" s="5">
        <f t="shared" si="17"/>
        <v>817535.50763922394</v>
      </c>
      <c r="H171" s="5">
        <f t="shared" si="18"/>
        <v>1279.5686866263545</v>
      </c>
      <c r="I171" s="3">
        <f>Assumptions!$E$45</f>
        <v>6.9899151946608562E-3</v>
      </c>
      <c r="J171" s="5">
        <f t="shared" si="19"/>
        <v>824529.58019287256</v>
      </c>
      <c r="K171" s="5">
        <f>J171*Assumptions!$E$43</f>
        <v>738.42849059780974</v>
      </c>
      <c r="L171" s="5">
        <f>K171*Assumptions!$D$44*-1</f>
        <v>-110.76427358967146</v>
      </c>
      <c r="M171" s="2">
        <f>J171*Assumptions!$E$46*-1</f>
        <v>-27.479281835264736</v>
      </c>
      <c r="N171" s="5">
        <f t="shared" si="20"/>
        <v>824391.33663744759</v>
      </c>
      <c r="O171" s="88">
        <f>Assumptions!$D$30</f>
        <v>2756</v>
      </c>
      <c r="P171" s="23">
        <f>(Model_Renter[[#This Row],[Monthly Investment]]*-1)+Model_Renter[[#This Row],[Less Renter''s Insurance]]</f>
        <v>-1318.0256728981049</v>
      </c>
    </row>
    <row r="172" spans="1:16" x14ac:dyDescent="0.25">
      <c r="A172" s="17">
        <f t="shared" si="14"/>
        <v>170</v>
      </c>
      <c r="B172" s="17">
        <f t="shared" si="15"/>
        <v>15</v>
      </c>
      <c r="C172" s="23">
        <f>MAX(Model_30y!V172, Model_15y!V172)</f>
        <v>5936.1217274585906</v>
      </c>
      <c r="D172" s="2">
        <f>D160*(1+Assumptions!$D$52)</f>
        <v>-4608.150181084523</v>
      </c>
      <c r="E172" s="2">
        <f>E160+(E160*Assumptions!$D$52)</f>
        <v>-38.45698627175031</v>
      </c>
      <c r="F172" s="22">
        <f t="shared" si="16"/>
        <v>1289.5145601023173</v>
      </c>
      <c r="G172" s="5">
        <f t="shared" si="17"/>
        <v>824391.33663744759</v>
      </c>
      <c r="H172" s="5">
        <f t="shared" si="18"/>
        <v>1289.5145601023173</v>
      </c>
      <c r="I172" s="3">
        <f>Assumptions!$E$45</f>
        <v>6.9899151946608562E-3</v>
      </c>
      <c r="J172" s="5">
        <f t="shared" si="19"/>
        <v>831443.27672785881</v>
      </c>
      <c r="K172" s="5">
        <f>J172*Assumptions!$E$43</f>
        <v>744.62022782522001</v>
      </c>
      <c r="L172" s="5">
        <f>K172*Assumptions!$D$44*-1</f>
        <v>-111.693034173783</v>
      </c>
      <c r="M172" s="2">
        <f>J172*Assumptions!$E$46*-1</f>
        <v>-27.709696146857951</v>
      </c>
      <c r="N172" s="5">
        <f t="shared" si="20"/>
        <v>831303.87399753812</v>
      </c>
      <c r="O172" s="88">
        <f>Assumptions!$D$30</f>
        <v>2756</v>
      </c>
      <c r="P172" s="23">
        <f>(Model_Renter[[#This Row],[Monthly Investment]]*-1)+Model_Renter[[#This Row],[Less Renter''s Insurance]]</f>
        <v>-1327.9715463740677</v>
      </c>
    </row>
    <row r="173" spans="1:16" x14ac:dyDescent="0.25">
      <c r="A173" s="17">
        <f t="shared" si="14"/>
        <v>171</v>
      </c>
      <c r="B173" s="17">
        <f t="shared" si="15"/>
        <v>15</v>
      </c>
      <c r="C173" s="23">
        <f>MAX(Model_30y!V173, Model_15y!V173)</f>
        <v>5946.1081216542298</v>
      </c>
      <c r="D173" s="2">
        <f>D161*(1+Assumptions!$D$52)</f>
        <v>-4608.150181084523</v>
      </c>
      <c r="E173" s="2">
        <f>E161+(E161*Assumptions!$D$52)</f>
        <v>-38.45698627175031</v>
      </c>
      <c r="F173" s="22">
        <f t="shared" si="16"/>
        <v>1299.5009542979565</v>
      </c>
      <c r="G173" s="5">
        <f t="shared" si="17"/>
        <v>831303.87399753812</v>
      </c>
      <c r="H173" s="5">
        <f t="shared" si="18"/>
        <v>1299.5009542979565</v>
      </c>
      <c r="I173" s="3">
        <f>Assumptions!$E$45</f>
        <v>6.9899151946608562E-3</v>
      </c>
      <c r="J173" s="5">
        <f t="shared" si="19"/>
        <v>838414.11853207194</v>
      </c>
      <c r="K173" s="5">
        <f>J173*Assumptions!$E$43</f>
        <v>750.86314295565978</v>
      </c>
      <c r="L173" s="5">
        <f>K173*Assumptions!$D$44*-1</f>
        <v>-112.62947144334896</v>
      </c>
      <c r="M173" s="2">
        <f>J173*Assumptions!$E$46*-1</f>
        <v>-27.942014951626856</v>
      </c>
      <c r="N173" s="5">
        <f t="shared" si="20"/>
        <v>838273.54704567697</v>
      </c>
      <c r="O173" s="88">
        <f>Assumptions!$D$30</f>
        <v>2756</v>
      </c>
      <c r="P173" s="23">
        <f>(Model_Renter[[#This Row],[Monthly Investment]]*-1)+Model_Renter[[#This Row],[Less Renter''s Insurance]]</f>
        <v>-1337.9579405697068</v>
      </c>
    </row>
    <row r="174" spans="1:16" x14ac:dyDescent="0.25">
      <c r="A174" s="17">
        <f t="shared" si="14"/>
        <v>172</v>
      </c>
      <c r="B174" s="17">
        <f t="shared" si="15"/>
        <v>15</v>
      </c>
      <c r="C174" s="23">
        <f>MAX(Model_30y!V174, Model_15y!V174)</f>
        <v>5956.135201655974</v>
      </c>
      <c r="D174" s="2">
        <f>D162*(1+Assumptions!$D$52)</f>
        <v>-4608.150181084523</v>
      </c>
      <c r="E174" s="2">
        <f>E162+(E162*Assumptions!$D$52)</f>
        <v>-38.45698627175031</v>
      </c>
      <c r="F174" s="22">
        <f t="shared" si="16"/>
        <v>1309.5280342997007</v>
      </c>
      <c r="G174" s="5">
        <f t="shared" si="17"/>
        <v>838273.54704567697</v>
      </c>
      <c r="H174" s="5">
        <f t="shared" si="18"/>
        <v>1309.5280342997007</v>
      </c>
      <c r="I174" s="3">
        <f>Assumptions!$E$45</f>
        <v>6.9899151946608562E-3</v>
      </c>
      <c r="J174" s="5">
        <f t="shared" si="19"/>
        <v>845442.53608375357</v>
      </c>
      <c r="K174" s="5">
        <f>J174*Assumptions!$E$43</f>
        <v>757.15762151489514</v>
      </c>
      <c r="L174" s="5">
        <f>K174*Assumptions!$D$44*-1</f>
        <v>-113.57364322723427</v>
      </c>
      <c r="M174" s="2">
        <f>J174*Assumptions!$E$46*-1</f>
        <v>-28.176252596216155</v>
      </c>
      <c r="N174" s="5">
        <f t="shared" si="20"/>
        <v>845300.78618793015</v>
      </c>
      <c r="O174" s="88">
        <f>Assumptions!$D$30</f>
        <v>2756</v>
      </c>
      <c r="P174" s="23">
        <f>(Model_Renter[[#This Row],[Monthly Investment]]*-1)+Model_Renter[[#This Row],[Less Renter''s Insurance]]</f>
        <v>-1347.9850205714511</v>
      </c>
    </row>
    <row r="175" spans="1:16" x14ac:dyDescent="0.25">
      <c r="A175" s="17">
        <f t="shared" ref="A175:A238" si="21">A174+1</f>
        <v>173</v>
      </c>
      <c r="B175" s="17">
        <f t="shared" si="15"/>
        <v>15</v>
      </c>
      <c r="C175" s="23">
        <f>MAX(Model_30y!V175, Model_15y!V175)</f>
        <v>5966.2031332228344</v>
      </c>
      <c r="D175" s="2">
        <f>D163*(1+Assumptions!$D$52)</f>
        <v>-4608.150181084523</v>
      </c>
      <c r="E175" s="2">
        <f>E163+(E163*Assumptions!$D$52)</f>
        <v>-38.45698627175031</v>
      </c>
      <c r="F175" s="22">
        <f t="shared" si="16"/>
        <v>1319.5959658665611</v>
      </c>
      <c r="G175" s="5">
        <f t="shared" si="17"/>
        <v>845300.78618793015</v>
      </c>
      <c r="H175" s="5">
        <f t="shared" si="18"/>
        <v>1319.5959658665611</v>
      </c>
      <c r="I175" s="3">
        <f>Assumptions!$E$45</f>
        <v>6.9899151946608562E-3</v>
      </c>
      <c r="J175" s="5">
        <f t="shared" si="19"/>
        <v>852528.96296323056</v>
      </c>
      <c r="K175" s="5">
        <f>J175*Assumptions!$E$43</f>
        <v>763.50405180684402</v>
      </c>
      <c r="L175" s="5">
        <f>K175*Assumptions!$D$44*-1</f>
        <v>-114.5256077710266</v>
      </c>
      <c r="M175" s="2">
        <f>J175*Assumptions!$E$46*-1</f>
        <v>-28.412423530654422</v>
      </c>
      <c r="N175" s="5">
        <f t="shared" si="20"/>
        <v>852386.02493192884</v>
      </c>
      <c r="O175" s="88">
        <f>Assumptions!$D$30</f>
        <v>2756</v>
      </c>
      <c r="P175" s="23">
        <f>(Model_Renter[[#This Row],[Monthly Investment]]*-1)+Model_Renter[[#This Row],[Less Renter''s Insurance]]</f>
        <v>-1358.0529521383114</v>
      </c>
    </row>
    <row r="176" spans="1:16" x14ac:dyDescent="0.25">
      <c r="A176" s="17">
        <f t="shared" si="21"/>
        <v>174</v>
      </c>
      <c r="B176" s="17">
        <f t="shared" si="15"/>
        <v>15</v>
      </c>
      <c r="C176" s="23">
        <f>MAX(Model_30y!V176, Model_15y!V176)</f>
        <v>5976.3120827891435</v>
      </c>
      <c r="D176" s="2">
        <f>D164*(1+Assumptions!$D$52)</f>
        <v>-4608.150181084523</v>
      </c>
      <c r="E176" s="2">
        <f>E164+(E164*Assumptions!$D$52)</f>
        <v>-38.45698627175031</v>
      </c>
      <c r="F176" s="22">
        <f t="shared" si="16"/>
        <v>1329.7049154328702</v>
      </c>
      <c r="G176" s="5">
        <f t="shared" si="17"/>
        <v>852386.02493192884</v>
      </c>
      <c r="H176" s="5">
        <f t="shared" si="18"/>
        <v>1329.7049154328702</v>
      </c>
      <c r="I176" s="3">
        <f>Assumptions!$E$45</f>
        <v>6.9899151946608562E-3</v>
      </c>
      <c r="J176" s="5">
        <f t="shared" si="19"/>
        <v>859673.83587474993</v>
      </c>
      <c r="K176" s="5">
        <f>J176*Assumptions!$E$43</f>
        <v>769.90282493313055</v>
      </c>
      <c r="L176" s="5">
        <f>K176*Assumptions!$D$44*-1</f>
        <v>-115.48542373996958</v>
      </c>
      <c r="M176" s="2">
        <f>J176*Assumptions!$E$46*-1</f>
        <v>-28.650542309081832</v>
      </c>
      <c r="N176" s="5">
        <f t="shared" si="20"/>
        <v>859529.69990870089</v>
      </c>
      <c r="O176" s="88">
        <f>Assumptions!$D$30</f>
        <v>2756</v>
      </c>
      <c r="P176" s="23">
        <f>(Model_Renter[[#This Row],[Monthly Investment]]*-1)+Model_Renter[[#This Row],[Less Renter''s Insurance]]</f>
        <v>-1368.1619017046205</v>
      </c>
    </row>
    <row r="177" spans="1:16" x14ac:dyDescent="0.25">
      <c r="A177" s="17">
        <f t="shared" si="21"/>
        <v>175</v>
      </c>
      <c r="B177" s="17">
        <f t="shared" si="15"/>
        <v>15</v>
      </c>
      <c r="C177" s="23">
        <f>MAX(Model_30y!V177, Model_15y!V177)</f>
        <v>5986.4622174673077</v>
      </c>
      <c r="D177" s="2">
        <f>D165*(1+Assumptions!$D$52)</f>
        <v>-4608.150181084523</v>
      </c>
      <c r="E177" s="2">
        <f>E165+(E165*Assumptions!$D$52)</f>
        <v>-38.45698627175031</v>
      </c>
      <c r="F177" s="22">
        <f t="shared" si="16"/>
        <v>1339.8550501110344</v>
      </c>
      <c r="G177" s="5">
        <f t="shared" si="17"/>
        <v>859529.69990870089</v>
      </c>
      <c r="H177" s="5">
        <f t="shared" si="18"/>
        <v>1339.8550501110344</v>
      </c>
      <c r="I177" s="3">
        <f>Assumptions!$E$45</f>
        <v>6.9899151946608562E-3</v>
      </c>
      <c r="J177" s="5">
        <f t="shared" si="19"/>
        <v>866877.59466846613</v>
      </c>
      <c r="K177" s="5">
        <f>J177*Assumptions!$E$43</f>
        <v>776.35433481277641</v>
      </c>
      <c r="L177" s="5">
        <f>K177*Assumptions!$D$44*-1</f>
        <v>-116.45315022191646</v>
      </c>
      <c r="M177" s="2">
        <f>J177*Assumptions!$E$46*-1</f>
        <v>-28.890623590482903</v>
      </c>
      <c r="N177" s="5">
        <f t="shared" si="20"/>
        <v>866732.25089465373</v>
      </c>
      <c r="O177" s="88">
        <f>Assumptions!$D$30</f>
        <v>2756</v>
      </c>
      <c r="P177" s="23">
        <f>(Model_Renter[[#This Row],[Monthly Investment]]*-1)+Model_Renter[[#This Row],[Less Renter''s Insurance]]</f>
        <v>-1378.3120363827848</v>
      </c>
    </row>
    <row r="178" spans="1:16" x14ac:dyDescent="0.25">
      <c r="A178" s="17">
        <f t="shared" si="21"/>
        <v>176</v>
      </c>
      <c r="B178" s="17">
        <f t="shared" si="15"/>
        <v>15</v>
      </c>
      <c r="C178" s="23">
        <f>MAX(Model_30y!V178, Model_15y!V178)</f>
        <v>5996.6537050505722</v>
      </c>
      <c r="D178" s="2">
        <f>D166*(1+Assumptions!$D$52)</f>
        <v>-4608.150181084523</v>
      </c>
      <c r="E178" s="2">
        <f>E166+(E166*Assumptions!$D$52)</f>
        <v>-38.45698627175031</v>
      </c>
      <c r="F178" s="22">
        <f t="shared" si="16"/>
        <v>1350.0465376942989</v>
      </c>
      <c r="G178" s="5">
        <f t="shared" si="17"/>
        <v>866732.25089465373</v>
      </c>
      <c r="H178" s="5">
        <f t="shared" si="18"/>
        <v>1350.0465376942989</v>
      </c>
      <c r="I178" s="3">
        <f>Assumptions!$E$45</f>
        <v>6.9899151946608562E-3</v>
      </c>
      <c r="J178" s="5">
        <f t="shared" si="19"/>
        <v>874140.68236257916</v>
      </c>
      <c r="K178" s="5">
        <f>J178*Assumptions!$E$43</f>
        <v>782.85897820202729</v>
      </c>
      <c r="L178" s="5">
        <f>K178*Assumptions!$D$44*-1</f>
        <v>-117.42884673030409</v>
      </c>
      <c r="M178" s="2">
        <f>J178*Assumptions!$E$46*-1</f>
        <v>-29.132682139424336</v>
      </c>
      <c r="N178" s="5">
        <f t="shared" si="20"/>
        <v>873994.12083370949</v>
      </c>
      <c r="O178" s="88">
        <f>Assumptions!$D$30</f>
        <v>2756</v>
      </c>
      <c r="P178" s="23">
        <f>(Model_Renter[[#This Row],[Monthly Investment]]*-1)+Model_Renter[[#This Row],[Less Renter''s Insurance]]</f>
        <v>-1388.5035239660492</v>
      </c>
    </row>
    <row r="179" spans="1:16" x14ac:dyDescent="0.25">
      <c r="A179" s="17">
        <f t="shared" si="21"/>
        <v>177</v>
      </c>
      <c r="B179" s="17">
        <f t="shared" si="15"/>
        <v>15</v>
      </c>
      <c r="C179" s="23">
        <f>MAX(Model_30y!V179, Model_15y!V179)</f>
        <v>6006.8867140157909</v>
      </c>
      <c r="D179" s="2">
        <f>D167*(1+Assumptions!$D$52)</f>
        <v>-4608.150181084523</v>
      </c>
      <c r="E179" s="2">
        <f>E167+(E167*Assumptions!$D$52)</f>
        <v>-38.45698627175031</v>
      </c>
      <c r="F179" s="22">
        <f t="shared" si="16"/>
        <v>1360.2795466595176</v>
      </c>
      <c r="G179" s="5">
        <f t="shared" si="17"/>
        <v>873994.12083370949</v>
      </c>
      <c r="H179" s="5">
        <f t="shared" si="18"/>
        <v>1360.2795466595176</v>
      </c>
      <c r="I179" s="3">
        <f>Assumptions!$E$45</f>
        <v>6.9899151946608562E-3</v>
      </c>
      <c r="J179" s="5">
        <f t="shared" si="19"/>
        <v>881463.54516562889</v>
      </c>
      <c r="K179" s="5">
        <f>J179*Assumptions!$E$43</f>
        <v>789.41715471431928</v>
      </c>
      <c r="L179" s="5">
        <f>K179*Assumptions!$D$44*-1</f>
        <v>-118.41257320714789</v>
      </c>
      <c r="M179" s="2">
        <f>J179*Assumptions!$E$46*-1</f>
        <v>-29.376732826797991</v>
      </c>
      <c r="N179" s="5">
        <f t="shared" si="20"/>
        <v>881315.75585959491</v>
      </c>
      <c r="O179" s="88">
        <f>Assumptions!$D$30</f>
        <v>2756</v>
      </c>
      <c r="P179" s="23">
        <f>(Model_Renter[[#This Row],[Monthly Investment]]*-1)+Model_Renter[[#This Row],[Less Renter''s Insurance]]</f>
        <v>-1398.7365329312679</v>
      </c>
    </row>
    <row r="180" spans="1:16" x14ac:dyDescent="0.25">
      <c r="A180" s="17">
        <f t="shared" si="21"/>
        <v>178</v>
      </c>
      <c r="B180" s="17">
        <f t="shared" si="15"/>
        <v>15</v>
      </c>
      <c r="C180" s="23">
        <f>MAX(Model_30y!V180, Model_15y!V180)</f>
        <v>6017.1614135262116</v>
      </c>
      <c r="D180" s="2">
        <f>D168*(1+Assumptions!$D$52)</f>
        <v>-4608.150181084523</v>
      </c>
      <c r="E180" s="2">
        <f>E168+(E168*Assumptions!$D$52)</f>
        <v>-38.45698627175031</v>
      </c>
      <c r="F180" s="22">
        <f t="shared" si="16"/>
        <v>1370.5542461699383</v>
      </c>
      <c r="G180" s="5">
        <f t="shared" si="17"/>
        <v>881315.75585959491</v>
      </c>
      <c r="H180" s="5">
        <f t="shared" si="18"/>
        <v>1370.5542461699383</v>
      </c>
      <c r="I180" s="3">
        <f>Assumptions!$E$45</f>
        <v>6.9899151946608562E-3</v>
      </c>
      <c r="J180" s="5">
        <f t="shared" si="19"/>
        <v>888846.63249894185</v>
      </c>
      <c r="K180" s="5">
        <f>J180*Assumptions!$E$43</f>
        <v>796.0292668403813</v>
      </c>
      <c r="L180" s="5">
        <f>K180*Assumptions!$D$44*-1</f>
        <v>-119.40439002605719</v>
      </c>
      <c r="M180" s="2">
        <f>J180*Assumptions!$E$46*-1</f>
        <v>-29.622790630568986</v>
      </c>
      <c r="N180" s="5">
        <f t="shared" si="20"/>
        <v>888697.60531828518</v>
      </c>
      <c r="O180" s="88">
        <f>Assumptions!$D$30</f>
        <v>2756</v>
      </c>
      <c r="P180" s="23">
        <f>(Model_Renter[[#This Row],[Monthly Investment]]*-1)+Model_Renter[[#This Row],[Less Renter''s Insurance]]</f>
        <v>-1409.0112324416887</v>
      </c>
    </row>
    <row r="181" spans="1:16" x14ac:dyDescent="0.25">
      <c r="A181" s="17">
        <f t="shared" si="21"/>
        <v>179</v>
      </c>
      <c r="B181" s="17">
        <f t="shared" si="15"/>
        <v>15</v>
      </c>
      <c r="C181" s="23">
        <f>MAX(Model_30y!V181, Model_15y!V181)</f>
        <v>6027.4779734342792</v>
      </c>
      <c r="D181" s="2">
        <f>D169*(1+Assumptions!$D$52)</f>
        <v>-4608.150181084523</v>
      </c>
      <c r="E181" s="2">
        <f>E169+(E169*Assumptions!$D$52)</f>
        <v>-38.45698627175031</v>
      </c>
      <c r="F181" s="22">
        <f t="shared" si="16"/>
        <v>1380.8708060780059</v>
      </c>
      <c r="G181" s="5">
        <f t="shared" si="17"/>
        <v>888697.60531828518</v>
      </c>
      <c r="H181" s="5">
        <f t="shared" si="18"/>
        <v>1380.8708060780059</v>
      </c>
      <c r="I181" s="3">
        <f>Assumptions!$E$45</f>
        <v>6.9899151946608562E-3</v>
      </c>
      <c r="J181" s="5">
        <f t="shared" si="19"/>
        <v>896290.39701923612</v>
      </c>
      <c r="K181" s="5">
        <f>J181*Assumptions!$E$43</f>
        <v>802.69571996847969</v>
      </c>
      <c r="L181" s="5">
        <f>K181*Assumptions!$D$44*-1</f>
        <v>-120.40435799527195</v>
      </c>
      <c r="M181" s="2">
        <f>J181*Assumptions!$E$46*-1</f>
        <v>-29.870870636529066</v>
      </c>
      <c r="N181" s="5">
        <f t="shared" si="20"/>
        <v>896140.12179060432</v>
      </c>
      <c r="O181" s="88">
        <f>Assumptions!$D$30</f>
        <v>2756</v>
      </c>
      <c r="P181" s="23">
        <f>(Model_Renter[[#This Row],[Monthly Investment]]*-1)+Model_Renter[[#This Row],[Less Renter''s Insurance]]</f>
        <v>-1419.3277923497562</v>
      </c>
    </row>
    <row r="182" spans="1:16" x14ac:dyDescent="0.25">
      <c r="A182" s="17">
        <f t="shared" si="21"/>
        <v>180</v>
      </c>
      <c r="B182" s="17">
        <f t="shared" si="15"/>
        <v>15</v>
      </c>
      <c r="C182" s="23">
        <f>MAX(Model_30y!V182, Model_15y!V182)</f>
        <v>6037.8365642844328</v>
      </c>
      <c r="D182" s="2">
        <f>D170*(1+Assumptions!$D$52)</f>
        <v>-4608.150181084523</v>
      </c>
      <c r="E182" s="2">
        <f>E170+(E170*Assumptions!$D$52)</f>
        <v>-38.45698627175031</v>
      </c>
      <c r="F182" s="22">
        <f t="shared" si="16"/>
        <v>1391.2293969281595</v>
      </c>
      <c r="G182" s="5">
        <f t="shared" si="17"/>
        <v>896140.12179060432</v>
      </c>
      <c r="H182" s="5">
        <f t="shared" si="18"/>
        <v>1391.2293969281595</v>
      </c>
      <c r="I182" s="3">
        <f>Assumptions!$E$45</f>
        <v>6.9899151946608562E-3</v>
      </c>
      <c r="J182" s="5">
        <f t="shared" si="19"/>
        <v>903795.29464138183</v>
      </c>
      <c r="K182" s="5">
        <f>J182*Assumptions!$E$43</f>
        <v>809.41692240480199</v>
      </c>
      <c r="L182" s="5">
        <f>K182*Assumptions!$D$44*-1</f>
        <v>-121.41253836072029</v>
      </c>
      <c r="M182" s="2">
        <f>J182*Assumptions!$E$46*-1</f>
        <v>-30.120988039055135</v>
      </c>
      <c r="N182" s="5">
        <f t="shared" si="20"/>
        <v>903643.76111498207</v>
      </c>
      <c r="O182" s="88">
        <f>Assumptions!$D$30</f>
        <v>2756</v>
      </c>
      <c r="P182" s="23">
        <f>(Model_Renter[[#This Row],[Monthly Investment]]*-1)+Model_Renter[[#This Row],[Less Renter''s Insurance]]</f>
        <v>-1429.6863831999099</v>
      </c>
    </row>
    <row r="183" spans="1:16" x14ac:dyDescent="0.25">
      <c r="A183" s="17">
        <f t="shared" si="21"/>
        <v>181</v>
      </c>
      <c r="B183" s="17">
        <f t="shared" si="15"/>
        <v>16</v>
      </c>
      <c r="C183" s="23">
        <f>MAX(Model_30y!V183, Model_15y!V183)</f>
        <v>6080.4029960918269</v>
      </c>
      <c r="D183" s="2">
        <f>D171*(1+Assumptions!$D$52)</f>
        <v>-4780.4949978570849</v>
      </c>
      <c r="E183" s="2">
        <f>E171+(E171*Assumptions!$D$52)</f>
        <v>-39.895277558313772</v>
      </c>
      <c r="F183" s="22">
        <f t="shared" si="16"/>
        <v>1260.0127206764282</v>
      </c>
      <c r="G183" s="5">
        <f t="shared" si="17"/>
        <v>903643.76111498207</v>
      </c>
      <c r="H183" s="5">
        <f t="shared" si="18"/>
        <v>1260.0127206764282</v>
      </c>
      <c r="I183" s="3">
        <f>Assumptions!$E$45</f>
        <v>6.9899151946608562E-3</v>
      </c>
      <c r="J183" s="5">
        <f t="shared" si="19"/>
        <v>911220.16709203657</v>
      </c>
      <c r="K183" s="5">
        <f>J183*Assumptions!$E$43</f>
        <v>816.06645625819715</v>
      </c>
      <c r="L183" s="5">
        <f>K183*Assumptions!$D$44*-1</f>
        <v>-122.40996843872956</v>
      </c>
      <c r="M183" s="2">
        <f>J183*Assumptions!$E$46*-1</f>
        <v>-30.368438424782603</v>
      </c>
      <c r="N183" s="5">
        <f t="shared" si="20"/>
        <v>911067.38868517301</v>
      </c>
      <c r="O183" s="88">
        <f>Assumptions!$D$30</f>
        <v>2756</v>
      </c>
      <c r="P183" s="23">
        <f>(Model_Renter[[#This Row],[Monthly Investment]]*-1)+Model_Renter[[#This Row],[Less Renter''s Insurance]]</f>
        <v>-1299.9079982347421</v>
      </c>
    </row>
    <row r="184" spans="1:16" x14ac:dyDescent="0.25">
      <c r="A184" s="17">
        <f t="shared" si="21"/>
        <v>182</v>
      </c>
      <c r="B184" s="17">
        <f t="shared" si="15"/>
        <v>16</v>
      </c>
      <c r="C184" s="23">
        <f>MAX(Model_30y!V184, Model_15y!V184)</f>
        <v>6090.8461632415856</v>
      </c>
      <c r="D184" s="2">
        <f>D172*(1+Assumptions!$D$52)</f>
        <v>-4780.4949978570849</v>
      </c>
      <c r="E184" s="2">
        <f>E172+(E172*Assumptions!$D$52)</f>
        <v>-39.895277558313772</v>
      </c>
      <c r="F184" s="22">
        <f t="shared" si="16"/>
        <v>1270.4558878261869</v>
      </c>
      <c r="G184" s="5">
        <f t="shared" si="17"/>
        <v>911067.38868517301</v>
      </c>
      <c r="H184" s="5">
        <f t="shared" si="18"/>
        <v>1270.4558878261869</v>
      </c>
      <c r="I184" s="3">
        <f>Assumptions!$E$45</f>
        <v>6.9899151946608562E-3</v>
      </c>
      <c r="J184" s="5">
        <f t="shared" si="19"/>
        <v>918706.12835652963</v>
      </c>
      <c r="K184" s="5">
        <f>J184*Assumptions!$E$43</f>
        <v>822.77069975655684</v>
      </c>
      <c r="L184" s="5">
        <f>K184*Assumptions!$D$44*-1</f>
        <v>-123.41560496348352</v>
      </c>
      <c r="M184" s="2">
        <f>J184*Assumptions!$E$46*-1</f>
        <v>-30.617924731079533</v>
      </c>
      <c r="N184" s="5">
        <f t="shared" si="20"/>
        <v>918552.09482683509</v>
      </c>
      <c r="O184" s="88">
        <f>Assumptions!$D$30</f>
        <v>2756</v>
      </c>
      <c r="P184" s="23">
        <f>(Model_Renter[[#This Row],[Monthly Investment]]*-1)+Model_Renter[[#This Row],[Less Renter''s Insurance]]</f>
        <v>-1310.3511653845007</v>
      </c>
    </row>
    <row r="185" spans="1:16" x14ac:dyDescent="0.25">
      <c r="A185" s="17">
        <f t="shared" si="21"/>
        <v>183</v>
      </c>
      <c r="B185" s="17">
        <f t="shared" si="15"/>
        <v>16</v>
      </c>
      <c r="C185" s="23">
        <f>MAX(Model_30y!V185, Model_15y!V185)</f>
        <v>6101.3318771470076</v>
      </c>
      <c r="D185" s="2">
        <f>D173*(1+Assumptions!$D$52)</f>
        <v>-4780.4949978570849</v>
      </c>
      <c r="E185" s="2">
        <f>E173+(E173*Assumptions!$D$52)</f>
        <v>-39.895277558313772</v>
      </c>
      <c r="F185" s="22">
        <f t="shared" si="16"/>
        <v>1280.9416017316089</v>
      </c>
      <c r="G185" s="5">
        <f t="shared" si="17"/>
        <v>918552.09482683509</v>
      </c>
      <c r="H185" s="5">
        <f t="shared" si="18"/>
        <v>1280.9416017316089</v>
      </c>
      <c r="I185" s="3">
        <f>Assumptions!$E$45</f>
        <v>6.9899151946608562E-3</v>
      </c>
      <c r="J185" s="5">
        <f t="shared" si="19"/>
        <v>926253.63767328428</v>
      </c>
      <c r="K185" s="5">
        <f>J185*Assumptions!$E$43</f>
        <v>829.5300641825612</v>
      </c>
      <c r="L185" s="5">
        <f>K185*Assumptions!$D$44*-1</f>
        <v>-124.42950962738418</v>
      </c>
      <c r="M185" s="2">
        <f>J185*Assumptions!$E$46*-1</f>
        <v>-30.86946226308763</v>
      </c>
      <c r="N185" s="5">
        <f t="shared" si="20"/>
        <v>926098.3387013938</v>
      </c>
      <c r="O185" s="88">
        <f>Assumptions!$D$30</f>
        <v>2756</v>
      </c>
      <c r="P185" s="23">
        <f>(Model_Renter[[#This Row],[Monthly Investment]]*-1)+Model_Renter[[#This Row],[Less Renter''s Insurance]]</f>
        <v>-1320.8368792899228</v>
      </c>
    </row>
    <row r="186" spans="1:16" x14ac:dyDescent="0.25">
      <c r="A186" s="17">
        <f t="shared" si="21"/>
        <v>184</v>
      </c>
      <c r="B186" s="17">
        <f t="shared" si="15"/>
        <v>16</v>
      </c>
      <c r="C186" s="23">
        <f>MAX(Model_30y!V186, Model_15y!V186)</f>
        <v>6111.8603111488392</v>
      </c>
      <c r="D186" s="2">
        <f>D174*(1+Assumptions!$D$52)</f>
        <v>-4780.4949978570849</v>
      </c>
      <c r="E186" s="2">
        <f>E174+(E174*Assumptions!$D$52)</f>
        <v>-39.895277558313772</v>
      </c>
      <c r="F186" s="22">
        <f t="shared" si="16"/>
        <v>1291.4700357334405</v>
      </c>
      <c r="G186" s="5">
        <f t="shared" si="17"/>
        <v>926098.3387013938</v>
      </c>
      <c r="H186" s="5">
        <f t="shared" si="18"/>
        <v>1291.4700357334405</v>
      </c>
      <c r="I186" s="3">
        <f>Assumptions!$E$45</f>
        <v>6.9899151946608562E-3</v>
      </c>
      <c r="J186" s="5">
        <f t="shared" si="19"/>
        <v>933863.15758656629</v>
      </c>
      <c r="K186" s="5">
        <f>J186*Assumptions!$E$43</f>
        <v>836.34496377952223</v>
      </c>
      <c r="L186" s="5">
        <f>K186*Assumptions!$D$44*-1</f>
        <v>-125.45174456692833</v>
      </c>
      <c r="M186" s="2">
        <f>J186*Assumptions!$E$46*-1</f>
        <v>-31.12306643612315</v>
      </c>
      <c r="N186" s="5">
        <f t="shared" si="20"/>
        <v>933706.58277556323</v>
      </c>
      <c r="O186" s="88">
        <f>Assumptions!$D$30</f>
        <v>2756</v>
      </c>
      <c r="P186" s="23">
        <f>(Model_Renter[[#This Row],[Monthly Investment]]*-1)+Model_Renter[[#This Row],[Less Renter''s Insurance]]</f>
        <v>-1331.3653132917543</v>
      </c>
    </row>
    <row r="187" spans="1:16" x14ac:dyDescent="0.25">
      <c r="A187" s="17">
        <f t="shared" si="21"/>
        <v>185</v>
      </c>
      <c r="B187" s="17">
        <f t="shared" si="15"/>
        <v>16</v>
      </c>
      <c r="C187" s="23">
        <f>MAX(Model_30y!V187, Model_15y!V187)</f>
        <v>6122.4316392940436</v>
      </c>
      <c r="D187" s="2">
        <f>D175*(1+Assumptions!$D$52)</f>
        <v>-4780.4949978570849</v>
      </c>
      <c r="E187" s="2">
        <f>E175+(E175*Assumptions!$D$52)</f>
        <v>-39.895277558313772</v>
      </c>
      <c r="F187" s="22">
        <f t="shared" si="16"/>
        <v>1302.0413638786449</v>
      </c>
      <c r="G187" s="5">
        <f t="shared" si="17"/>
        <v>933706.58277556323</v>
      </c>
      <c r="H187" s="5">
        <f t="shared" si="18"/>
        <v>1302.0413638786449</v>
      </c>
      <c r="I187" s="3">
        <f>Assumptions!$E$45</f>
        <v>6.9899151946608562E-3</v>
      </c>
      <c r="J187" s="5">
        <f t="shared" si="19"/>
        <v>941535.15396973968</v>
      </c>
      <c r="K187" s="5">
        <f>J187*Assumptions!$E$43</f>
        <v>843.21581577221036</v>
      </c>
      <c r="L187" s="5">
        <f>K187*Assumptions!$D$44*-1</f>
        <v>-126.48237236583155</v>
      </c>
      <c r="M187" s="2">
        <f>J187*Assumptions!$E$46*-1</f>
        <v>-31.378752776451943</v>
      </c>
      <c r="N187" s="5">
        <f t="shared" si="20"/>
        <v>941377.29284459737</v>
      </c>
      <c r="O187" s="88">
        <f>Assumptions!$D$30</f>
        <v>2756</v>
      </c>
      <c r="P187" s="23">
        <f>(Model_Renter[[#This Row],[Monthly Investment]]*-1)+Model_Renter[[#This Row],[Less Renter''s Insurance]]</f>
        <v>-1341.9366414369588</v>
      </c>
    </row>
    <row r="188" spans="1:16" x14ac:dyDescent="0.25">
      <c r="A188" s="17">
        <f t="shared" si="21"/>
        <v>186</v>
      </c>
      <c r="B188" s="17">
        <f t="shared" si="15"/>
        <v>16</v>
      </c>
      <c r="C188" s="23">
        <f>MAX(Model_30y!V188, Model_15y!V188)</f>
        <v>6133.0460363386683</v>
      </c>
      <c r="D188" s="2">
        <f>D176*(1+Assumptions!$D$52)</f>
        <v>-4780.4949978570849</v>
      </c>
      <c r="E188" s="2">
        <f>E176+(E176*Assumptions!$D$52)</f>
        <v>-39.895277558313772</v>
      </c>
      <c r="F188" s="22">
        <f t="shared" si="16"/>
        <v>1312.6557609232696</v>
      </c>
      <c r="G188" s="5">
        <f t="shared" si="17"/>
        <v>941377.29284459737</v>
      </c>
      <c r="H188" s="5">
        <f t="shared" si="18"/>
        <v>1312.6557609232696</v>
      </c>
      <c r="I188" s="3">
        <f>Assumptions!$E$45</f>
        <v>6.9899151946608562E-3</v>
      </c>
      <c r="J188" s="5">
        <f t="shared" si="19"/>
        <v>949270.09604868386</v>
      </c>
      <c r="K188" s="5">
        <f>J188*Assumptions!$E$43</f>
        <v>850.14304038782723</v>
      </c>
      <c r="L188" s="5">
        <f>K188*Assumptions!$D$44*-1</f>
        <v>-127.52145605817408</v>
      </c>
      <c r="M188" s="2">
        <f>J188*Assumptions!$E$46*-1</f>
        <v>-31.636536922069904</v>
      </c>
      <c r="N188" s="5">
        <f t="shared" si="20"/>
        <v>949110.93805570365</v>
      </c>
      <c r="O188" s="88">
        <f>Assumptions!$D$30</f>
        <v>2756</v>
      </c>
      <c r="P188" s="23">
        <f>(Model_Renter[[#This Row],[Monthly Investment]]*-1)+Model_Renter[[#This Row],[Less Renter''s Insurance]]</f>
        <v>-1352.5510384815834</v>
      </c>
    </row>
    <row r="189" spans="1:16" x14ac:dyDescent="0.25">
      <c r="A189" s="17">
        <f t="shared" si="21"/>
        <v>187</v>
      </c>
      <c r="B189" s="17">
        <f t="shared" si="15"/>
        <v>16</v>
      </c>
      <c r="C189" s="23">
        <f>MAX(Model_30y!V189, Model_15y!V189)</f>
        <v>6143.7036777507401</v>
      </c>
      <c r="D189" s="2">
        <f>D177*(1+Assumptions!$D$52)</f>
        <v>-4780.4949978570849</v>
      </c>
      <c r="E189" s="2">
        <f>E177+(E177*Assumptions!$D$52)</f>
        <v>-39.895277558313772</v>
      </c>
      <c r="F189" s="22">
        <f t="shared" si="16"/>
        <v>1323.3134023353414</v>
      </c>
      <c r="G189" s="5">
        <f t="shared" si="17"/>
        <v>949110.93805570365</v>
      </c>
      <c r="H189" s="5">
        <f t="shared" si="18"/>
        <v>1323.3134023353414</v>
      </c>
      <c r="I189" s="3">
        <f>Assumptions!$E$45</f>
        <v>6.9899151946608562E-3</v>
      </c>
      <c r="J189" s="5">
        <f t="shared" si="19"/>
        <v>957068.45642537344</v>
      </c>
      <c r="K189" s="5">
        <f>J189*Assumptions!$E$43</f>
        <v>857.12706087712195</v>
      </c>
      <c r="L189" s="5">
        <f>K189*Assumptions!$D$44*-1</f>
        <v>-128.56905913156828</v>
      </c>
      <c r="M189" s="2">
        <f>J189*Assumptions!$E$46*-1</f>
        <v>-31.896434623488801</v>
      </c>
      <c r="N189" s="5">
        <f t="shared" si="20"/>
        <v>956907.99093161838</v>
      </c>
      <c r="O189" s="88">
        <f>Assumptions!$D$30</f>
        <v>2756</v>
      </c>
      <c r="P189" s="23">
        <f>(Model_Renter[[#This Row],[Monthly Investment]]*-1)+Model_Renter[[#This Row],[Less Renter''s Insurance]]</f>
        <v>-1363.2086798936552</v>
      </c>
    </row>
    <row r="190" spans="1:16" x14ac:dyDescent="0.25">
      <c r="A190" s="17">
        <f t="shared" si="21"/>
        <v>188</v>
      </c>
      <c r="B190" s="17">
        <f t="shared" si="15"/>
        <v>16</v>
      </c>
      <c r="C190" s="23">
        <f>MAX(Model_30y!V190, Model_15y!V190)</f>
        <v>6154.4047397131671</v>
      </c>
      <c r="D190" s="2">
        <f>D178*(1+Assumptions!$D$52)</f>
        <v>-4780.4949978570849</v>
      </c>
      <c r="E190" s="2">
        <f>E178+(E178*Assumptions!$D$52)</f>
        <v>-39.895277558313772</v>
      </c>
      <c r="F190" s="22">
        <f t="shared" si="16"/>
        <v>1334.0144642977684</v>
      </c>
      <c r="G190" s="5">
        <f t="shared" si="17"/>
        <v>956907.99093161838</v>
      </c>
      <c r="H190" s="5">
        <f t="shared" si="18"/>
        <v>1334.0144642977684</v>
      </c>
      <c r="I190" s="3">
        <f>Assumptions!$E$45</f>
        <v>6.9899151946608562E-3</v>
      </c>
      <c r="J190" s="5">
        <f t="shared" si="19"/>
        <v>964930.71110162151</v>
      </c>
      <c r="K190" s="5">
        <f>J190*Assumptions!$E$43</f>
        <v>864.16830353565626</v>
      </c>
      <c r="L190" s="5">
        <f>K190*Assumptions!$D$44*-1</f>
        <v>-129.62524553034842</v>
      </c>
      <c r="M190" s="2">
        <f>J190*Assumptions!$E$46*-1</f>
        <v>-32.158461744527578</v>
      </c>
      <c r="N190" s="5">
        <f t="shared" si="20"/>
        <v>964768.92739434668</v>
      </c>
      <c r="O190" s="88">
        <f>Assumptions!$D$30</f>
        <v>2756</v>
      </c>
      <c r="P190" s="23">
        <f>(Model_Renter[[#This Row],[Monthly Investment]]*-1)+Model_Renter[[#This Row],[Less Renter''s Insurance]]</f>
        <v>-1373.9097418560823</v>
      </c>
    </row>
    <row r="191" spans="1:16" x14ac:dyDescent="0.25">
      <c r="A191" s="17">
        <f t="shared" si="21"/>
        <v>189</v>
      </c>
      <c r="B191" s="17">
        <f t="shared" si="15"/>
        <v>16</v>
      </c>
      <c r="C191" s="23">
        <f>MAX(Model_30y!V191, Model_15y!V191)</f>
        <v>6165.149399126647</v>
      </c>
      <c r="D191" s="2">
        <f>D179*(1+Assumptions!$D$52)</f>
        <v>-4780.4949978570849</v>
      </c>
      <c r="E191" s="2">
        <f>E179+(E179*Assumptions!$D$52)</f>
        <v>-39.895277558313772</v>
      </c>
      <c r="F191" s="22">
        <f t="shared" si="16"/>
        <v>1344.7591237112483</v>
      </c>
      <c r="G191" s="5">
        <f t="shared" si="17"/>
        <v>964768.92739434668</v>
      </c>
      <c r="H191" s="5">
        <f t="shared" si="18"/>
        <v>1344.7591237112483</v>
      </c>
      <c r="I191" s="3">
        <f>Assumptions!$E$45</f>
        <v>6.9899151946608562E-3</v>
      </c>
      <c r="J191" s="5">
        <f t="shared" si="19"/>
        <v>972857.33950298838</v>
      </c>
      <c r="K191" s="5">
        <f>J191*Assumptions!$E$43</f>
        <v>871.26719772521574</v>
      </c>
      <c r="L191" s="5">
        <f>K191*Assumptions!$D$44*-1</f>
        <v>-130.69007965878237</v>
      </c>
      <c r="M191" s="2">
        <f>J191*Assumptions!$E$46*-1</f>
        <v>-32.422634263109167</v>
      </c>
      <c r="N191" s="5">
        <f t="shared" si="20"/>
        <v>972694.22678906645</v>
      </c>
      <c r="O191" s="88">
        <f>Assumptions!$D$30</f>
        <v>2756</v>
      </c>
      <c r="P191" s="23">
        <f>(Model_Renter[[#This Row],[Monthly Investment]]*-1)+Model_Renter[[#This Row],[Less Renter''s Insurance]]</f>
        <v>-1384.6544012695622</v>
      </c>
    </row>
    <row r="192" spans="1:16" x14ac:dyDescent="0.25">
      <c r="A192" s="17">
        <f t="shared" si="21"/>
        <v>190</v>
      </c>
      <c r="B192" s="17">
        <f t="shared" si="15"/>
        <v>16</v>
      </c>
      <c r="C192" s="23">
        <f>MAX(Model_30y!V192, Model_15y!V192)</f>
        <v>6175.9378336125883</v>
      </c>
      <c r="D192" s="2">
        <f>D180*(1+Assumptions!$D$52)</f>
        <v>-4780.4949978570849</v>
      </c>
      <c r="E192" s="2">
        <f>E180+(E180*Assumptions!$D$52)</f>
        <v>-39.895277558313772</v>
      </c>
      <c r="F192" s="22">
        <f t="shared" si="16"/>
        <v>1355.5475581971896</v>
      </c>
      <c r="G192" s="5">
        <f t="shared" si="17"/>
        <v>972694.22678906645</v>
      </c>
      <c r="H192" s="5">
        <f t="shared" si="18"/>
        <v>1355.5475581971896</v>
      </c>
      <c r="I192" s="3">
        <f>Assumptions!$E$45</f>
        <v>6.9899151946608562E-3</v>
      </c>
      <c r="J192" s="5">
        <f t="shared" si="19"/>
        <v>980848.82450285542</v>
      </c>
      <c r="K192" s="5">
        <f>J192*Assumptions!$E$43</f>
        <v>878.42417589537001</v>
      </c>
      <c r="L192" s="5">
        <f>K192*Assumptions!$D$44*-1</f>
        <v>-131.7636263843055</v>
      </c>
      <c r="M192" s="2">
        <f>J192*Assumptions!$E$46*-1</f>
        <v>-32.688968272062816</v>
      </c>
      <c r="N192" s="5">
        <f t="shared" si="20"/>
        <v>980684.37190819904</v>
      </c>
      <c r="O192" s="88">
        <f>Assumptions!$D$30</f>
        <v>2756</v>
      </c>
      <c r="P192" s="23">
        <f>(Model_Renter[[#This Row],[Monthly Investment]]*-1)+Model_Renter[[#This Row],[Less Renter''s Insurance]]</f>
        <v>-1395.4428357555034</v>
      </c>
    </row>
    <row r="193" spans="1:16" x14ac:dyDescent="0.25">
      <c r="A193" s="17">
        <f t="shared" si="21"/>
        <v>191</v>
      </c>
      <c r="B193" s="17">
        <f t="shared" si="15"/>
        <v>16</v>
      </c>
      <c r="C193" s="23">
        <f>MAX(Model_30y!V193, Model_15y!V193)</f>
        <v>6186.7702215160589</v>
      </c>
      <c r="D193" s="2">
        <f>D181*(1+Assumptions!$D$52)</f>
        <v>-4780.4949978570849</v>
      </c>
      <c r="E193" s="2">
        <f>E181+(E181*Assumptions!$D$52)</f>
        <v>-39.895277558313772</v>
      </c>
      <c r="F193" s="22">
        <f t="shared" si="16"/>
        <v>1366.3799461006602</v>
      </c>
      <c r="G193" s="5">
        <f t="shared" si="17"/>
        <v>980684.37190819904</v>
      </c>
      <c r="H193" s="5">
        <f t="shared" si="18"/>
        <v>1366.3799461006602</v>
      </c>
      <c r="I193" s="3">
        <f>Assumptions!$E$45</f>
        <v>6.9899151946608562E-3</v>
      </c>
      <c r="J193" s="5">
        <f t="shared" si="19"/>
        <v>988905.6524466672</v>
      </c>
      <c r="K193" s="5">
        <f>J193*Assumptions!$E$43</f>
        <v>885.63967360518348</v>
      </c>
      <c r="L193" s="5">
        <f>K193*Assumptions!$D$44*-1</f>
        <v>-132.84595104077752</v>
      </c>
      <c r="M193" s="2">
        <f>J193*Assumptions!$E$46*-1</f>
        <v>-32.957479979931989</v>
      </c>
      <c r="N193" s="5">
        <f t="shared" si="20"/>
        <v>988739.8490156465</v>
      </c>
      <c r="O193" s="88">
        <f>Assumptions!$D$30</f>
        <v>2756</v>
      </c>
      <c r="P193" s="23">
        <f>(Model_Renter[[#This Row],[Monthly Investment]]*-1)+Model_Renter[[#This Row],[Less Renter''s Insurance]]</f>
        <v>-1406.275223658974</v>
      </c>
    </row>
    <row r="194" spans="1:16" x14ac:dyDescent="0.25">
      <c r="A194" s="17">
        <f t="shared" si="21"/>
        <v>192</v>
      </c>
      <c r="B194" s="17">
        <f t="shared" si="15"/>
        <v>16</v>
      </c>
      <c r="C194" s="23">
        <f>MAX(Model_30y!V194, Model_15y!V194)</f>
        <v>6197.6467419087203</v>
      </c>
      <c r="D194" s="2">
        <f>D182*(1+Assumptions!$D$52)</f>
        <v>-4780.4949978570849</v>
      </c>
      <c r="E194" s="2">
        <f>E182+(E182*Assumptions!$D$52)</f>
        <v>-39.895277558313772</v>
      </c>
      <c r="F194" s="22">
        <f t="shared" si="16"/>
        <v>1377.2564664933216</v>
      </c>
      <c r="G194" s="5">
        <f t="shared" si="17"/>
        <v>988739.8490156465</v>
      </c>
      <c r="H194" s="5">
        <f t="shared" si="18"/>
        <v>1377.2564664933216</v>
      </c>
      <c r="I194" s="3">
        <f>Assumptions!$E$45</f>
        <v>6.9899151946608562E-3</v>
      </c>
      <c r="J194" s="5">
        <f t="shared" si="19"/>
        <v>997028.31317634101</v>
      </c>
      <c r="K194" s="5">
        <f>J194*Assumptions!$E$43</f>
        <v>892.91412954507609</v>
      </c>
      <c r="L194" s="5">
        <f>K194*Assumptions!$D$44*-1</f>
        <v>-133.9371194317614</v>
      </c>
      <c r="M194" s="2">
        <f>J194*Assumptions!$E$46*-1</f>
        <v>-33.22818571178788</v>
      </c>
      <c r="N194" s="5">
        <f t="shared" si="20"/>
        <v>996861.14787119743</v>
      </c>
      <c r="O194" s="88">
        <f>Assumptions!$D$30</f>
        <v>2756</v>
      </c>
      <c r="P194" s="23">
        <f>(Model_Renter[[#This Row],[Monthly Investment]]*-1)+Model_Renter[[#This Row],[Less Renter''s Insurance]]</f>
        <v>-1417.1517440516354</v>
      </c>
    </row>
    <row r="195" spans="1:16" x14ac:dyDescent="0.25">
      <c r="A195" s="17">
        <f t="shared" si="21"/>
        <v>193</v>
      </c>
      <c r="B195" s="17">
        <f t="shared" ref="B195:B258" si="22">ROUNDUP(A195/12, 0)</f>
        <v>17</v>
      </c>
      <c r="C195" s="23">
        <f>MAX(Model_30y!V195, Model_15y!V195)</f>
        <v>6242.3414953064839</v>
      </c>
      <c r="D195" s="2">
        <f>D183*(1+Assumptions!$D$52)</f>
        <v>-4959.2855107769401</v>
      </c>
      <c r="E195" s="2">
        <f>E183+(E183*Assumptions!$D$52)</f>
        <v>-41.387360938994711</v>
      </c>
      <c r="F195" s="22">
        <f t="shared" ref="F195:F258" si="23">SUM(C195:E195)</f>
        <v>1241.668623590549</v>
      </c>
      <c r="G195" s="5">
        <f t="shared" si="17"/>
        <v>996861.14787119743</v>
      </c>
      <c r="H195" s="5">
        <f t="shared" si="18"/>
        <v>1241.668623590549</v>
      </c>
      <c r="I195" s="3">
        <f>Assumptions!$E$45</f>
        <v>6.9899151946608562E-3</v>
      </c>
      <c r="J195" s="5">
        <f t="shared" si="19"/>
        <v>1005070.7913792599</v>
      </c>
      <c r="K195" s="5">
        <f>J195*Assumptions!$E$43</f>
        <v>900.11677597852236</v>
      </c>
      <c r="L195" s="5">
        <f>K195*Assumptions!$D$44*-1</f>
        <v>-135.01751639677835</v>
      </c>
      <c r="M195" s="2">
        <f>J195*Assumptions!$E$46*-1</f>
        <v>-33.49621918263108</v>
      </c>
      <c r="N195" s="5">
        <f t="shared" si="20"/>
        <v>1004902.2776436805</v>
      </c>
      <c r="O195" s="88">
        <f>Assumptions!$D$30</f>
        <v>2756</v>
      </c>
      <c r="P195" s="23">
        <f>(Model_Renter[[#This Row],[Monthly Investment]]*-1)+Model_Renter[[#This Row],[Less Renter''s Insurance]]</f>
        <v>-1283.0559845295438</v>
      </c>
    </row>
    <row r="196" spans="1:16" x14ac:dyDescent="0.25">
      <c r="A196" s="17">
        <f t="shared" si="21"/>
        <v>194</v>
      </c>
      <c r="B196" s="17">
        <f t="shared" si="22"/>
        <v>17</v>
      </c>
      <c r="C196" s="23">
        <f>MAX(Model_30y!V196, Model_15y!V196)</f>
        <v>6253.306820813732</v>
      </c>
      <c r="D196" s="2">
        <f>D184*(1+Assumptions!$D$52)</f>
        <v>-4959.2855107769401</v>
      </c>
      <c r="E196" s="2">
        <f>E184+(E184*Assumptions!$D$52)</f>
        <v>-41.387360938994711</v>
      </c>
      <c r="F196" s="22">
        <f t="shared" si="23"/>
        <v>1252.6339490977971</v>
      </c>
      <c r="G196" s="5">
        <f t="shared" ref="G196:G259" si="24">N195</f>
        <v>1004902.2776436805</v>
      </c>
      <c r="H196" s="5">
        <f t="shared" ref="H196:H259" si="25">F196</f>
        <v>1252.6339490977971</v>
      </c>
      <c r="I196" s="3">
        <f>Assumptions!$E$45</f>
        <v>6.9899151946608562E-3</v>
      </c>
      <c r="J196" s="5">
        <f t="shared" ref="J196:J259" si="26">(G196+H196)+(G196*I196)</f>
        <v>1013179.0932924291</v>
      </c>
      <c r="K196" s="5">
        <f>J196*Assumptions!$E$43</f>
        <v>907.37837251415215</v>
      </c>
      <c r="L196" s="5">
        <f>K196*Assumptions!$D$44*-1</f>
        <v>-136.10675587712282</v>
      </c>
      <c r="M196" s="2">
        <f>J196*Assumptions!$E$46*-1</f>
        <v>-33.766446374996058</v>
      </c>
      <c r="N196" s="5">
        <f t="shared" ref="N196:N259" si="27">J196+SUM(L196:M196)</f>
        <v>1013009.220090177</v>
      </c>
      <c r="O196" s="88">
        <f>Assumptions!$D$30</f>
        <v>2756</v>
      </c>
      <c r="P196" s="23">
        <f>(Model_Renter[[#This Row],[Monthly Investment]]*-1)+Model_Renter[[#This Row],[Less Renter''s Insurance]]</f>
        <v>-1294.0213100367919</v>
      </c>
    </row>
    <row r="197" spans="1:16" x14ac:dyDescent="0.25">
      <c r="A197" s="17">
        <f t="shared" si="21"/>
        <v>195</v>
      </c>
      <c r="B197" s="17">
        <f t="shared" si="22"/>
        <v>17</v>
      </c>
      <c r="C197" s="23">
        <f>MAX(Model_30y!V197, Model_15y!V197)</f>
        <v>6264.316820414424</v>
      </c>
      <c r="D197" s="2">
        <f>D185*(1+Assumptions!$D$52)</f>
        <v>-4959.2855107769401</v>
      </c>
      <c r="E197" s="2">
        <f>E185+(E185*Assumptions!$D$52)</f>
        <v>-41.387360938994711</v>
      </c>
      <c r="F197" s="22">
        <f t="shared" si="23"/>
        <v>1263.6439486984891</v>
      </c>
      <c r="G197" s="5">
        <f t="shared" si="24"/>
        <v>1013009.220090177</v>
      </c>
      <c r="H197" s="5">
        <f t="shared" si="25"/>
        <v>1263.6439486984891</v>
      </c>
      <c r="I197" s="3">
        <f>Assumptions!$E$45</f>
        <v>6.9899151946608562E-3</v>
      </c>
      <c r="J197" s="5">
        <f t="shared" si="26"/>
        <v>1021353.7125787154</v>
      </c>
      <c r="K197" s="5">
        <f>J197*Assumptions!$E$43</f>
        <v>914.69936126433402</v>
      </c>
      <c r="L197" s="5">
        <f>K197*Assumptions!$D$44*-1</f>
        <v>-137.20490418965011</v>
      </c>
      <c r="M197" s="2">
        <f>J197*Assumptions!$E$46*-1</f>
        <v>-34.038883741295649</v>
      </c>
      <c r="N197" s="5">
        <f t="shared" si="27"/>
        <v>1021182.4687907845</v>
      </c>
      <c r="O197" s="88">
        <f>Assumptions!$D$30</f>
        <v>2756</v>
      </c>
      <c r="P197" s="23">
        <f>(Model_Renter[[#This Row],[Monthly Investment]]*-1)+Model_Renter[[#This Row],[Less Renter''s Insurance]]</f>
        <v>-1305.0313096374839</v>
      </c>
    </row>
    <row r="198" spans="1:16" x14ac:dyDescent="0.25">
      <c r="A198" s="17">
        <f t="shared" si="21"/>
        <v>196</v>
      </c>
      <c r="B198" s="17">
        <f t="shared" si="22"/>
        <v>17</v>
      </c>
      <c r="C198" s="23">
        <f>MAX(Model_30y!V198, Model_15y!V198)</f>
        <v>6275.3716761163478</v>
      </c>
      <c r="D198" s="2">
        <f>D186*(1+Assumptions!$D$52)</f>
        <v>-4959.2855107769401</v>
      </c>
      <c r="E198" s="2">
        <f>E186+(E186*Assumptions!$D$52)</f>
        <v>-41.387360938994711</v>
      </c>
      <c r="F198" s="22">
        <f t="shared" si="23"/>
        <v>1274.6988044004129</v>
      </c>
      <c r="G198" s="5">
        <f t="shared" si="24"/>
        <v>1021182.4687907845</v>
      </c>
      <c r="H198" s="5">
        <f t="shared" si="25"/>
        <v>1274.6988044004129</v>
      </c>
      <c r="I198" s="3">
        <f>Assumptions!$E$45</f>
        <v>6.9899151946608562E-3</v>
      </c>
      <c r="J198" s="5">
        <f t="shared" si="26"/>
        <v>1029595.1464503069</v>
      </c>
      <c r="K198" s="5">
        <f>J198*Assumptions!$E$43</f>
        <v>922.0801875201214</v>
      </c>
      <c r="L198" s="5">
        <f>K198*Assumptions!$D$44*-1</f>
        <v>-138.3120281280182</v>
      </c>
      <c r="M198" s="2">
        <f>J198*Assumptions!$E$46*-1</f>
        <v>-34.313547852231707</v>
      </c>
      <c r="N198" s="5">
        <f t="shared" si="27"/>
        <v>1029422.5208743266</v>
      </c>
      <c r="O198" s="88">
        <f>Assumptions!$D$30</f>
        <v>2756</v>
      </c>
      <c r="P198" s="23">
        <f>(Model_Renter[[#This Row],[Monthly Investment]]*-1)+Model_Renter[[#This Row],[Less Renter''s Insurance]]</f>
        <v>-1316.0861653394077</v>
      </c>
    </row>
    <row r="199" spans="1:16" x14ac:dyDescent="0.25">
      <c r="A199" s="17">
        <f t="shared" si="21"/>
        <v>197</v>
      </c>
      <c r="B199" s="17">
        <f t="shared" si="22"/>
        <v>17</v>
      </c>
      <c r="C199" s="23">
        <f>MAX(Model_30y!V199, Model_15y!V199)</f>
        <v>6286.4715706688112</v>
      </c>
      <c r="D199" s="2">
        <f>D187*(1+Assumptions!$D$52)</f>
        <v>-4959.2855107769401</v>
      </c>
      <c r="E199" s="2">
        <f>E187+(E187*Assumptions!$D$52)</f>
        <v>-41.387360938994711</v>
      </c>
      <c r="F199" s="22">
        <f t="shared" si="23"/>
        <v>1285.7986989528763</v>
      </c>
      <c r="G199" s="5">
        <f t="shared" si="24"/>
        <v>1029422.5208743266</v>
      </c>
      <c r="H199" s="5">
        <f t="shared" si="25"/>
        <v>1285.7986989528763</v>
      </c>
      <c r="I199" s="3">
        <f>Assumptions!$E$45</f>
        <v>6.9899151946608562E-3</v>
      </c>
      <c r="J199" s="5">
        <f t="shared" si="26"/>
        <v>1037903.895693665</v>
      </c>
      <c r="K199" s="5">
        <f>J199*Assumptions!$E$43</f>
        <v>929.52129977359994</v>
      </c>
      <c r="L199" s="5">
        <f>K199*Assumptions!$D$44*-1</f>
        <v>-139.42819496604</v>
      </c>
      <c r="M199" s="2">
        <f>J199*Assumptions!$E$46*-1</f>
        <v>-34.590455397626712</v>
      </c>
      <c r="N199" s="5">
        <f t="shared" si="27"/>
        <v>1037729.8770433014</v>
      </c>
      <c r="O199" s="88">
        <f>Assumptions!$D$30</f>
        <v>2756</v>
      </c>
      <c r="P199" s="23">
        <f>(Model_Renter[[#This Row],[Monthly Investment]]*-1)+Model_Renter[[#This Row],[Less Renter''s Insurance]]</f>
        <v>-1327.1860598918711</v>
      </c>
    </row>
    <row r="200" spans="1:16" x14ac:dyDescent="0.25">
      <c r="A200" s="17">
        <f t="shared" si="21"/>
        <v>198</v>
      </c>
      <c r="B200" s="17">
        <f t="shared" si="22"/>
        <v>17</v>
      </c>
      <c r="C200" s="23">
        <f>MAX(Model_30y!V200, Model_15y!V200)</f>
        <v>6297.6166875656672</v>
      </c>
      <c r="D200" s="2">
        <f>D188*(1+Assumptions!$D$52)</f>
        <v>-4959.2855107769401</v>
      </c>
      <c r="E200" s="2">
        <f>E188+(E188*Assumptions!$D$52)</f>
        <v>-41.387360938994711</v>
      </c>
      <c r="F200" s="22">
        <f t="shared" si="23"/>
        <v>1296.9438158497323</v>
      </c>
      <c r="G200" s="5">
        <f t="shared" si="24"/>
        <v>1037729.8770433014</v>
      </c>
      <c r="H200" s="5">
        <f t="shared" si="25"/>
        <v>1296.9438158497323</v>
      </c>
      <c r="I200" s="3">
        <f>Assumptions!$E$45</f>
        <v>6.9899151946608562E-3</v>
      </c>
      <c r="J200" s="5">
        <f t="shared" si="26"/>
        <v>1046280.4646946496</v>
      </c>
      <c r="K200" s="5">
        <f>J200*Assumptions!$E$43</f>
        <v>937.02314974038768</v>
      </c>
      <c r="L200" s="5">
        <f>K200*Assumptions!$D$44*-1</f>
        <v>-140.55347246105813</v>
      </c>
      <c r="M200" s="2">
        <f>J200*Assumptions!$E$46*-1</f>
        <v>-34.869623187261077</v>
      </c>
      <c r="N200" s="5">
        <f t="shared" si="27"/>
        <v>1046105.0415990013</v>
      </c>
      <c r="O200" s="88">
        <f>Assumptions!$D$30</f>
        <v>2756</v>
      </c>
      <c r="P200" s="23">
        <f>(Model_Renter[[#This Row],[Monthly Investment]]*-1)+Model_Renter[[#This Row],[Less Renter''s Insurance]]</f>
        <v>-1338.3311767887271</v>
      </c>
    </row>
    <row r="201" spans="1:16" x14ac:dyDescent="0.25">
      <c r="A201" s="17">
        <f t="shared" si="21"/>
        <v>199</v>
      </c>
      <c r="B201" s="17">
        <f t="shared" si="22"/>
        <v>17</v>
      </c>
      <c r="C201" s="23">
        <f>MAX(Model_30y!V201, Model_15y!V201)</f>
        <v>6308.8072110483436</v>
      </c>
      <c r="D201" s="2">
        <f>D189*(1+Assumptions!$D$52)</f>
        <v>-4959.2855107769401</v>
      </c>
      <c r="E201" s="2">
        <f>E189+(E189*Assumptions!$D$52)</f>
        <v>-41.387360938994711</v>
      </c>
      <c r="F201" s="22">
        <f t="shared" si="23"/>
        <v>1308.1343393324087</v>
      </c>
      <c r="G201" s="5">
        <f t="shared" si="24"/>
        <v>1046105.0415990013</v>
      </c>
      <c r="H201" s="5">
        <f t="shared" si="25"/>
        <v>1308.1343393324087</v>
      </c>
      <c r="I201" s="3">
        <f>Assumptions!$E$45</f>
        <v>6.9899151946608562E-3</v>
      </c>
      <c r="J201" s="5">
        <f t="shared" si="26"/>
        <v>1054725.361463818</v>
      </c>
      <c r="K201" s="5">
        <f>J201*Assumptions!$E$43</f>
        <v>944.58619238229346</v>
      </c>
      <c r="L201" s="5">
        <f>K201*Assumptions!$D$44*-1</f>
        <v>-141.68792885734402</v>
      </c>
      <c r="M201" s="2">
        <f>J201*Assumptions!$E$46*-1</f>
        <v>-35.151068151716345</v>
      </c>
      <c r="N201" s="5">
        <f t="shared" si="27"/>
        <v>1054548.522466809</v>
      </c>
      <c r="O201" s="88">
        <f>Assumptions!$D$30</f>
        <v>2756</v>
      </c>
      <c r="P201" s="23">
        <f>(Model_Renter[[#This Row],[Monthly Investment]]*-1)+Model_Renter[[#This Row],[Less Renter''s Insurance]]</f>
        <v>-1349.5217002714035</v>
      </c>
    </row>
    <row r="202" spans="1:16" x14ac:dyDescent="0.25">
      <c r="A202" s="17">
        <f t="shared" si="21"/>
        <v>200</v>
      </c>
      <c r="B202" s="17">
        <f t="shared" si="22"/>
        <v>17</v>
      </c>
      <c r="C202" s="23">
        <f>MAX(Model_30y!V202, Model_15y!V202)</f>
        <v>6320.0433261088929</v>
      </c>
      <c r="D202" s="2">
        <f>D190*(1+Assumptions!$D$52)</f>
        <v>-4959.2855107769401</v>
      </c>
      <c r="E202" s="2">
        <f>E190+(E190*Assumptions!$D$52)</f>
        <v>-41.387360938994711</v>
      </c>
      <c r="F202" s="22">
        <f t="shared" si="23"/>
        <v>1319.370454392958</v>
      </c>
      <c r="G202" s="5">
        <f t="shared" si="24"/>
        <v>1054548.522466809</v>
      </c>
      <c r="H202" s="5">
        <f t="shared" si="25"/>
        <v>1319.370454392958</v>
      </c>
      <c r="I202" s="3">
        <f>Assumptions!$E$45</f>
        <v>6.9899151946608562E-3</v>
      </c>
      <c r="J202" s="5">
        <f t="shared" si="26"/>
        <v>1063239.0976618999</v>
      </c>
      <c r="K202" s="5">
        <f>J202*Assumptions!$E$43</f>
        <v>952.21088593013064</v>
      </c>
      <c r="L202" s="5">
        <f>K202*Assumptions!$D$44*-1</f>
        <v>-142.8316328895196</v>
      </c>
      <c r="M202" s="2">
        <f>J202*Assumptions!$E$46*-1</f>
        <v>-35.434807343224136</v>
      </c>
      <c r="N202" s="5">
        <f t="shared" si="27"/>
        <v>1063060.8312216671</v>
      </c>
      <c r="O202" s="88">
        <f>Assumptions!$D$30</f>
        <v>2756</v>
      </c>
      <c r="P202" s="23">
        <f>(Model_Renter[[#This Row],[Monthly Investment]]*-1)+Model_Renter[[#This Row],[Less Renter''s Insurance]]</f>
        <v>-1360.7578153319528</v>
      </c>
    </row>
    <row r="203" spans="1:16" x14ac:dyDescent="0.25">
      <c r="A203" s="17">
        <f t="shared" si="21"/>
        <v>201</v>
      </c>
      <c r="B203" s="17">
        <f t="shared" si="22"/>
        <v>17</v>
      </c>
      <c r="C203" s="23">
        <f>MAX(Model_30y!V203, Model_15y!V203)</f>
        <v>6331.3252184930461</v>
      </c>
      <c r="D203" s="2">
        <f>D191*(1+Assumptions!$D$52)</f>
        <v>-4959.2855107769401</v>
      </c>
      <c r="E203" s="2">
        <f>E191+(E191*Assumptions!$D$52)</f>
        <v>-41.387360938994711</v>
      </c>
      <c r="F203" s="22">
        <f t="shared" si="23"/>
        <v>1330.6523467771112</v>
      </c>
      <c r="G203" s="5">
        <f t="shared" si="24"/>
        <v>1063060.8312216671</v>
      </c>
      <c r="H203" s="5">
        <f t="shared" si="25"/>
        <v>1330.6523467771112</v>
      </c>
      <c r="I203" s="3">
        <f>Assumptions!$E$45</f>
        <v>6.9899151946608562E-3</v>
      </c>
      <c r="J203" s="5">
        <f t="shared" si="26"/>
        <v>1071822.1886254493</v>
      </c>
      <c r="K203" s="5">
        <f>J203*Assumptions!$E$43</f>
        <v>959.89769190669119</v>
      </c>
      <c r="L203" s="5">
        <f>K203*Assumptions!$D$44*-1</f>
        <v>-143.98465378600366</v>
      </c>
      <c r="M203" s="2">
        <f>J203*Assumptions!$E$46*-1</f>
        <v>-35.720857936521128</v>
      </c>
      <c r="N203" s="5">
        <f t="shared" si="27"/>
        <v>1071642.4831137268</v>
      </c>
      <c r="O203" s="88">
        <f>Assumptions!$D$30</f>
        <v>2756</v>
      </c>
      <c r="P203" s="23">
        <f>(Model_Renter[[#This Row],[Monthly Investment]]*-1)+Model_Renter[[#This Row],[Less Renter''s Insurance]]</f>
        <v>-1372.039707716106</v>
      </c>
    </row>
    <row r="204" spans="1:16" x14ac:dyDescent="0.25">
      <c r="A204" s="17">
        <f t="shared" si="21"/>
        <v>202</v>
      </c>
      <c r="B204" s="17">
        <f t="shared" si="22"/>
        <v>17</v>
      </c>
      <c r="C204" s="23">
        <f>MAX(Model_30y!V204, Model_15y!V204)</f>
        <v>6342.6530747032848</v>
      </c>
      <c r="D204" s="2">
        <f>D192*(1+Assumptions!$D$52)</f>
        <v>-4959.2855107769401</v>
      </c>
      <c r="E204" s="2">
        <f>E192+(E192*Assumptions!$D$52)</f>
        <v>-41.387360938994711</v>
      </c>
      <c r="F204" s="22">
        <f t="shared" si="23"/>
        <v>1341.9802029873499</v>
      </c>
      <c r="G204" s="5">
        <f t="shared" si="24"/>
        <v>1071642.4831137268</v>
      </c>
      <c r="H204" s="5">
        <f t="shared" si="25"/>
        <v>1341.9802029873499</v>
      </c>
      <c r="I204" s="3">
        <f>Assumptions!$E$45</f>
        <v>6.9899151946608562E-3</v>
      </c>
      <c r="J204" s="5">
        <f t="shared" si="26"/>
        <v>1080475.1533926749</v>
      </c>
      <c r="K204" s="5">
        <f>J204*Assumptions!$E$43</f>
        <v>967.64707514987788</v>
      </c>
      <c r="L204" s="5">
        <f>K204*Assumptions!$D$44*-1</f>
        <v>-145.14706127248166</v>
      </c>
      <c r="M204" s="2">
        <f>J204*Assumptions!$E$46*-1</f>
        <v>-36.009237229709839</v>
      </c>
      <c r="N204" s="5">
        <f t="shared" si="27"/>
        <v>1080293.9970941728</v>
      </c>
      <c r="O204" s="88">
        <f>Assumptions!$D$30</f>
        <v>2756</v>
      </c>
      <c r="P204" s="23">
        <f>(Model_Renter[[#This Row],[Monthly Investment]]*-1)+Model_Renter[[#This Row],[Less Renter''s Insurance]]</f>
        <v>-1383.3675639263447</v>
      </c>
    </row>
    <row r="205" spans="1:16" x14ac:dyDescent="0.25">
      <c r="A205" s="17">
        <f t="shared" si="21"/>
        <v>203</v>
      </c>
      <c r="B205" s="17">
        <f t="shared" si="22"/>
        <v>17</v>
      </c>
      <c r="C205" s="23">
        <f>MAX(Model_30y!V205, Model_15y!V205)</f>
        <v>6354.0270820019286</v>
      </c>
      <c r="D205" s="2">
        <f>D193*(1+Assumptions!$D$52)</f>
        <v>-4959.2855107769401</v>
      </c>
      <c r="E205" s="2">
        <f>E193+(E193*Assumptions!$D$52)</f>
        <v>-41.387360938994711</v>
      </c>
      <c r="F205" s="22">
        <f t="shared" si="23"/>
        <v>1353.3542102859938</v>
      </c>
      <c r="G205" s="5">
        <f t="shared" si="24"/>
        <v>1080293.9970941728</v>
      </c>
      <c r="H205" s="5">
        <f t="shared" si="25"/>
        <v>1353.3542102859938</v>
      </c>
      <c r="I205" s="3">
        <f>Assumptions!$E$45</f>
        <v>6.9899151946608562E-3</v>
      </c>
      <c r="J205" s="5">
        <f t="shared" si="26"/>
        <v>1089198.5147294481</v>
      </c>
      <c r="K205" s="5">
        <f>J205*Assumptions!$E$43</f>
        <v>975.45950383599722</v>
      </c>
      <c r="L205" s="5">
        <f>K205*Assumptions!$D$44*-1</f>
        <v>-146.31892557539959</v>
      </c>
      <c r="M205" s="2">
        <f>J205*Assumptions!$E$46*-1</f>
        <v>-36.299962645125468</v>
      </c>
      <c r="N205" s="5">
        <f t="shared" si="27"/>
        <v>1089015.8958412276</v>
      </c>
      <c r="O205" s="88">
        <f>Assumptions!$D$30</f>
        <v>2756</v>
      </c>
      <c r="P205" s="23">
        <f>(Model_Renter[[#This Row],[Monthly Investment]]*-1)+Model_Renter[[#This Row],[Less Renter''s Insurance]]</f>
        <v>-1394.7415712249885</v>
      </c>
    </row>
    <row r="206" spans="1:16" x14ac:dyDescent="0.25">
      <c r="A206" s="17">
        <f t="shared" si="21"/>
        <v>204</v>
      </c>
      <c r="B206" s="17">
        <f t="shared" si="22"/>
        <v>17</v>
      </c>
      <c r="C206" s="23">
        <f>MAX(Model_30y!V206, Model_15y!V206)</f>
        <v>6365.4474284142234</v>
      </c>
      <c r="D206" s="2">
        <f>D194*(1+Assumptions!$D$52)</f>
        <v>-4959.2855107769401</v>
      </c>
      <c r="E206" s="2">
        <f>E194+(E194*Assumptions!$D$52)</f>
        <v>-41.387360938994711</v>
      </c>
      <c r="F206" s="22">
        <f t="shared" si="23"/>
        <v>1364.7745566982885</v>
      </c>
      <c r="G206" s="5">
        <f t="shared" si="24"/>
        <v>1089015.8958412276</v>
      </c>
      <c r="H206" s="5">
        <f t="shared" si="25"/>
        <v>1364.7745566982885</v>
      </c>
      <c r="I206" s="3">
        <f>Assumptions!$E$45</f>
        <v>6.9899151946608562E-3</v>
      </c>
      <c r="J206" s="5">
        <f t="shared" si="26"/>
        <v>1097992.7991554937</v>
      </c>
      <c r="K206" s="5">
        <f>J206*Assumptions!$E$43</f>
        <v>983.3354495032147</v>
      </c>
      <c r="L206" s="5">
        <f>K206*Assumptions!$D$44*-1</f>
        <v>-147.50031742548219</v>
      </c>
      <c r="M206" s="2">
        <f>J206*Assumptions!$E$46*-1</f>
        <v>-36.593051730208693</v>
      </c>
      <c r="N206" s="5">
        <f t="shared" si="27"/>
        <v>1097808.7057863381</v>
      </c>
      <c r="O206" s="88">
        <f>Assumptions!$D$30</f>
        <v>2756</v>
      </c>
      <c r="P206" s="23">
        <f>(Model_Renter[[#This Row],[Monthly Investment]]*-1)+Model_Renter[[#This Row],[Less Renter''s Insurance]]</f>
        <v>-1406.1619176372833</v>
      </c>
    </row>
    <row r="207" spans="1:16" x14ac:dyDescent="0.25">
      <c r="A207" s="17">
        <f t="shared" si="21"/>
        <v>205</v>
      </c>
      <c r="B207" s="17">
        <f t="shared" si="22"/>
        <v>18</v>
      </c>
      <c r="C207" s="23">
        <f>MAX(Model_30y!V207, Model_15y!V207)</f>
        <v>6412.3769194818751</v>
      </c>
      <c r="D207" s="2">
        <f>D195*(1+Assumptions!$D$52)</f>
        <v>-5144.762788879998</v>
      </c>
      <c r="E207" s="2">
        <f>E195+(E195*Assumptions!$D$52)</f>
        <v>-42.935248238113111</v>
      </c>
      <c r="F207" s="22">
        <f t="shared" si="23"/>
        <v>1224.6788823637639</v>
      </c>
      <c r="G207" s="5">
        <f t="shared" si="24"/>
        <v>1097808.7057863381</v>
      </c>
      <c r="H207" s="5">
        <f t="shared" si="25"/>
        <v>1224.6788823637639</v>
      </c>
      <c r="I207" s="3">
        <f>Assumptions!$E$45</f>
        <v>6.9899151946608562E-3</v>
      </c>
      <c r="J207" s="5">
        <f t="shared" si="26"/>
        <v>1106706.9744221086</v>
      </c>
      <c r="K207" s="5">
        <f>J207*Assumptions!$E$43</f>
        <v>991.13965136996399</v>
      </c>
      <c r="L207" s="5">
        <f>K207*Assumptions!$D$44*-1</f>
        <v>-148.6709477054946</v>
      </c>
      <c r="M207" s="2">
        <f>J207*Assumptions!$E$46*-1</f>
        <v>-36.883470999408459</v>
      </c>
      <c r="N207" s="5">
        <f t="shared" si="27"/>
        <v>1106521.4200034037</v>
      </c>
      <c r="O207" s="88">
        <f>Assumptions!$D$30</f>
        <v>2756</v>
      </c>
      <c r="P207" s="23">
        <f>(Model_Renter[[#This Row],[Monthly Investment]]*-1)+Model_Renter[[#This Row],[Less Renter''s Insurance]]</f>
        <v>-1267.6141306018772</v>
      </c>
    </row>
    <row r="208" spans="1:16" x14ac:dyDescent="0.25">
      <c r="A208" s="17">
        <f t="shared" si="21"/>
        <v>206</v>
      </c>
      <c r="B208" s="17">
        <f t="shared" si="22"/>
        <v>18</v>
      </c>
      <c r="C208" s="23">
        <f>MAX(Model_30y!V208, Model_15y!V208)</f>
        <v>6423.8905112644861</v>
      </c>
      <c r="D208" s="2">
        <f>D196*(1+Assumptions!$D$52)</f>
        <v>-5144.762788879998</v>
      </c>
      <c r="E208" s="2">
        <f>E196+(E196*Assumptions!$D$52)</f>
        <v>-42.935248238113111</v>
      </c>
      <c r="F208" s="22">
        <f t="shared" si="23"/>
        <v>1236.1924741463749</v>
      </c>
      <c r="G208" s="5">
        <f t="shared" si="24"/>
        <v>1106521.4200034037</v>
      </c>
      <c r="H208" s="5">
        <f t="shared" si="25"/>
        <v>1236.1924741463749</v>
      </c>
      <c r="I208" s="3">
        <f>Assumptions!$E$45</f>
        <v>6.9899151946608562E-3</v>
      </c>
      <c r="J208" s="5">
        <f t="shared" si="26"/>
        <v>1115492.1033644495</v>
      </c>
      <c r="K208" s="5">
        <f>J208*Assumptions!$E$43</f>
        <v>999.00739761028979</v>
      </c>
      <c r="L208" s="5">
        <f>K208*Assumptions!$D$44*-1</f>
        <v>-149.85110964154347</v>
      </c>
      <c r="M208" s="2">
        <f>J208*Assumptions!$E$46*-1</f>
        <v>-37.176254957637411</v>
      </c>
      <c r="N208" s="5">
        <f t="shared" si="27"/>
        <v>1115305.0759998502</v>
      </c>
      <c r="O208" s="88">
        <f>Assumptions!$D$30</f>
        <v>2756</v>
      </c>
      <c r="P208" s="23">
        <f>(Model_Renter[[#This Row],[Monthly Investment]]*-1)+Model_Renter[[#This Row],[Less Renter''s Insurance]]</f>
        <v>-1279.1277223844882</v>
      </c>
    </row>
    <row r="209" spans="1:16" x14ac:dyDescent="0.25">
      <c r="A209" s="17">
        <f t="shared" si="21"/>
        <v>207</v>
      </c>
      <c r="B209" s="17">
        <f t="shared" si="22"/>
        <v>18</v>
      </c>
      <c r="C209" s="23">
        <f>MAX(Model_30y!V209, Model_15y!V209)</f>
        <v>6435.4510108452123</v>
      </c>
      <c r="D209" s="2">
        <f>D197*(1+Assumptions!$D$52)</f>
        <v>-5144.762788879998</v>
      </c>
      <c r="E209" s="2">
        <f>E197+(E197*Assumptions!$D$52)</f>
        <v>-42.935248238113111</v>
      </c>
      <c r="F209" s="22">
        <f t="shared" si="23"/>
        <v>1247.7529737271011</v>
      </c>
      <c r="G209" s="5">
        <f t="shared" si="24"/>
        <v>1115305.0759998502</v>
      </c>
      <c r="H209" s="5">
        <f t="shared" si="25"/>
        <v>1247.7529737271011</v>
      </c>
      <c r="I209" s="3">
        <f>Assumptions!$E$45</f>
        <v>6.9899151946608562E-3</v>
      </c>
      <c r="J209" s="5">
        <f t="shared" si="26"/>
        <v>1124348.716870991</v>
      </c>
      <c r="K209" s="5">
        <f>J209*Assumptions!$E$43</f>
        <v>1006.9391636749031</v>
      </c>
      <c r="L209" s="5">
        <f>K209*Assumptions!$D$44*-1</f>
        <v>-151.04087455123545</v>
      </c>
      <c r="M209" s="2">
        <f>J209*Assumptions!$E$46*-1</f>
        <v>-37.471421297934555</v>
      </c>
      <c r="N209" s="5">
        <f t="shared" si="27"/>
        <v>1124160.2045751419</v>
      </c>
      <c r="O209" s="88">
        <f>Assumptions!$D$30</f>
        <v>2756</v>
      </c>
      <c r="P209" s="23">
        <f>(Model_Renter[[#This Row],[Monthly Investment]]*-1)+Model_Renter[[#This Row],[Less Renter''s Insurance]]</f>
        <v>-1290.6882219652143</v>
      </c>
    </row>
    <row r="210" spans="1:16" x14ac:dyDescent="0.25">
      <c r="A210" s="17">
        <f t="shared" si="21"/>
        <v>208</v>
      </c>
      <c r="B210" s="17">
        <f t="shared" si="22"/>
        <v>18</v>
      </c>
      <c r="C210" s="23">
        <f>MAX(Model_30y!V210, Model_15y!V210)</f>
        <v>6447.0586093322327</v>
      </c>
      <c r="D210" s="2">
        <f>D198*(1+Assumptions!$D$52)</f>
        <v>-5144.762788879998</v>
      </c>
      <c r="E210" s="2">
        <f>E198+(E198*Assumptions!$D$52)</f>
        <v>-42.935248238113111</v>
      </c>
      <c r="F210" s="22">
        <f t="shared" si="23"/>
        <v>1259.3605722141215</v>
      </c>
      <c r="G210" s="5">
        <f t="shared" si="24"/>
        <v>1124160.2045751419</v>
      </c>
      <c r="H210" s="5">
        <f t="shared" si="25"/>
        <v>1259.3605722141215</v>
      </c>
      <c r="I210" s="3">
        <f>Assumptions!$E$45</f>
        <v>6.9899151946608562E-3</v>
      </c>
      <c r="J210" s="5">
        <f t="shared" si="26"/>
        <v>1133277.3496425487</v>
      </c>
      <c r="K210" s="5">
        <f>J210*Assumptions!$E$43</f>
        <v>1014.9354284287537</v>
      </c>
      <c r="L210" s="5">
        <f>K210*Assumptions!$D$44*-1</f>
        <v>-152.24031426431304</v>
      </c>
      <c r="M210" s="2">
        <f>J210*Assumptions!$E$46*-1</f>
        <v>-37.768987840393613</v>
      </c>
      <c r="N210" s="5">
        <f t="shared" si="27"/>
        <v>1133087.3403404441</v>
      </c>
      <c r="O210" s="88">
        <f>Assumptions!$D$30</f>
        <v>2756</v>
      </c>
      <c r="P210" s="23">
        <f>(Model_Renter[[#This Row],[Monthly Investment]]*-1)+Model_Renter[[#This Row],[Less Renter''s Insurance]]</f>
        <v>-1302.2958204522347</v>
      </c>
    </row>
    <row r="211" spans="1:16" x14ac:dyDescent="0.25">
      <c r="A211" s="17">
        <f t="shared" si="21"/>
        <v>209</v>
      </c>
      <c r="B211" s="17">
        <f t="shared" si="22"/>
        <v>18</v>
      </c>
      <c r="C211" s="23">
        <f>MAX(Model_30y!V211, Model_15y!V211)</f>
        <v>6458.7134986123183</v>
      </c>
      <c r="D211" s="2">
        <f>D199*(1+Assumptions!$D$52)</f>
        <v>-5144.762788879998</v>
      </c>
      <c r="E211" s="2">
        <f>E199+(E199*Assumptions!$D$52)</f>
        <v>-42.935248238113111</v>
      </c>
      <c r="F211" s="22">
        <f t="shared" si="23"/>
        <v>1271.0154614942071</v>
      </c>
      <c r="G211" s="5">
        <f t="shared" si="24"/>
        <v>1133087.3403404441</v>
      </c>
      <c r="H211" s="5">
        <f t="shared" si="25"/>
        <v>1271.0154614942071</v>
      </c>
      <c r="I211" s="3">
        <f>Assumptions!$E$45</f>
        <v>6.9899151946608562E-3</v>
      </c>
      <c r="J211" s="5">
        <f t="shared" si="26"/>
        <v>1142278.5402190618</v>
      </c>
      <c r="K211" s="5">
        <f>J211*Assumptions!$E$43</f>
        <v>1022.9966741750166</v>
      </c>
      <c r="L211" s="5">
        <f>K211*Assumptions!$D$44*-1</f>
        <v>-153.44950112625247</v>
      </c>
      <c r="M211" s="2">
        <f>J211*Assumptions!$E$46*-1</f>
        <v>-38.068972533055664</v>
      </c>
      <c r="N211" s="5">
        <f t="shared" si="27"/>
        <v>1142087.0217454024</v>
      </c>
      <c r="O211" s="88">
        <f>Assumptions!$D$30</f>
        <v>2756</v>
      </c>
      <c r="P211" s="23">
        <f>(Model_Renter[[#This Row],[Monthly Investment]]*-1)+Model_Renter[[#This Row],[Less Renter''s Insurance]]</f>
        <v>-1313.9507097323203</v>
      </c>
    </row>
    <row r="212" spans="1:16" x14ac:dyDescent="0.25">
      <c r="A212" s="17">
        <f t="shared" si="21"/>
        <v>210</v>
      </c>
      <c r="B212" s="17">
        <f t="shared" si="22"/>
        <v>18</v>
      </c>
      <c r="C212" s="23">
        <f>MAX(Model_30y!V212, Model_15y!V212)</f>
        <v>6470.4158713540173</v>
      </c>
      <c r="D212" s="2">
        <f>D200*(1+Assumptions!$D$52)</f>
        <v>-5144.762788879998</v>
      </c>
      <c r="E212" s="2">
        <f>E200+(E200*Assumptions!$D$52)</f>
        <v>-42.935248238113111</v>
      </c>
      <c r="F212" s="22">
        <f t="shared" si="23"/>
        <v>1282.7178342359061</v>
      </c>
      <c r="G212" s="5">
        <f t="shared" si="24"/>
        <v>1142087.0217454024</v>
      </c>
      <c r="H212" s="5">
        <f t="shared" si="25"/>
        <v>1282.7178342359061</v>
      </c>
      <c r="I212" s="3">
        <f>Assumptions!$E$45</f>
        <v>6.9899151946608562E-3</v>
      </c>
      <c r="J212" s="5">
        <f t="shared" si="26"/>
        <v>1151352.8310065614</v>
      </c>
      <c r="K212" s="5">
        <f>J212*Assumptions!$E$43</f>
        <v>1031.1233866792443</v>
      </c>
      <c r="L212" s="5">
        <f>K212*Assumptions!$D$44*-1</f>
        <v>-154.66850800188664</v>
      </c>
      <c r="M212" s="2">
        <f>J212*Assumptions!$E$46*-1</f>
        <v>-38.371393452807894</v>
      </c>
      <c r="N212" s="5">
        <f t="shared" si="27"/>
        <v>1151159.7911051067</v>
      </c>
      <c r="O212" s="88">
        <f>Assumptions!$D$30</f>
        <v>2756</v>
      </c>
      <c r="P212" s="23">
        <f>(Model_Renter[[#This Row],[Monthly Investment]]*-1)+Model_Renter[[#This Row],[Less Renter''s Insurance]]</f>
        <v>-1325.6530824740194</v>
      </c>
    </row>
    <row r="213" spans="1:16" x14ac:dyDescent="0.25">
      <c r="A213" s="17">
        <f t="shared" si="21"/>
        <v>211</v>
      </c>
      <c r="B213" s="17">
        <f t="shared" si="22"/>
        <v>18</v>
      </c>
      <c r="C213" s="23">
        <f>MAX(Model_30y!V213, Model_15y!V213)</f>
        <v>6482.1659210108282</v>
      </c>
      <c r="D213" s="2">
        <f>D201*(1+Assumptions!$D$52)</f>
        <v>-5144.762788879998</v>
      </c>
      <c r="E213" s="2">
        <f>E201+(E201*Assumptions!$D$52)</f>
        <v>-42.935248238113111</v>
      </c>
      <c r="F213" s="22">
        <f t="shared" si="23"/>
        <v>1294.4678838927171</v>
      </c>
      <c r="G213" s="5">
        <f t="shared" si="24"/>
        <v>1151159.7911051067</v>
      </c>
      <c r="H213" s="5">
        <f t="shared" si="25"/>
        <v>1294.4678838927171</v>
      </c>
      <c r="I213" s="3">
        <f>Assumptions!$E$45</f>
        <v>6.9899151946608562E-3</v>
      </c>
      <c r="J213" s="5">
        <f t="shared" si="26"/>
        <v>1160500.7683043277</v>
      </c>
      <c r="K213" s="5">
        <f>J213*Assumptions!$E$43</f>
        <v>1039.3160551936871</v>
      </c>
      <c r="L213" s="5">
        <f>K213*Assumptions!$D$44*-1</f>
        <v>-155.89740827905305</v>
      </c>
      <c r="M213" s="2">
        <f>J213*Assumptions!$E$46*-1</f>
        <v>-38.676268806288668</v>
      </c>
      <c r="N213" s="5">
        <f t="shared" si="27"/>
        <v>1160306.1946272424</v>
      </c>
      <c r="O213" s="88">
        <f>Assumptions!$D$30</f>
        <v>2756</v>
      </c>
      <c r="P213" s="23">
        <f>(Model_Renter[[#This Row],[Monthly Investment]]*-1)+Model_Renter[[#This Row],[Less Renter''s Insurance]]</f>
        <v>-1337.4031321308303</v>
      </c>
    </row>
    <row r="214" spans="1:16" x14ac:dyDescent="0.25">
      <c r="A214" s="17">
        <f t="shared" si="21"/>
        <v>212</v>
      </c>
      <c r="B214" s="17">
        <f t="shared" si="22"/>
        <v>18</v>
      </c>
      <c r="C214" s="23">
        <f>MAX(Model_30y!V214, Model_15y!V214)</f>
        <v>6493.963841824404</v>
      </c>
      <c r="D214" s="2">
        <f>D202*(1+Assumptions!$D$52)</f>
        <v>-5144.762788879998</v>
      </c>
      <c r="E214" s="2">
        <f>E202+(E202*Assumptions!$D$52)</f>
        <v>-42.935248238113111</v>
      </c>
      <c r="F214" s="22">
        <f t="shared" si="23"/>
        <v>1306.2658047062928</v>
      </c>
      <c r="G214" s="5">
        <f t="shared" si="24"/>
        <v>1160306.1946272424</v>
      </c>
      <c r="H214" s="5">
        <f t="shared" si="25"/>
        <v>1306.2658047062928</v>
      </c>
      <c r="I214" s="3">
        <f>Assumptions!$E$45</f>
        <v>6.9899151946608562E-3</v>
      </c>
      <c r="J214" s="5">
        <f t="shared" si="26"/>
        <v>1169722.9023322328</v>
      </c>
      <c r="K214" s="5">
        <f>J214*Assumptions!$E$43</f>
        <v>1047.5751724817821</v>
      </c>
      <c r="L214" s="5">
        <f>K214*Assumptions!$D$44*-1</f>
        <v>-157.1362758722673</v>
      </c>
      <c r="M214" s="2">
        <f>J214*Assumptions!$E$46*-1</f>
        <v>-38.983616930798775</v>
      </c>
      <c r="N214" s="5">
        <f t="shared" si="27"/>
        <v>1169526.7824394298</v>
      </c>
      <c r="O214" s="88">
        <f>Assumptions!$D$30</f>
        <v>2756</v>
      </c>
      <c r="P214" s="23">
        <f>(Model_Renter[[#This Row],[Monthly Investment]]*-1)+Model_Renter[[#This Row],[Less Renter''s Insurance]]</f>
        <v>-1349.201052944406</v>
      </c>
    </row>
    <row r="215" spans="1:16" x14ac:dyDescent="0.25">
      <c r="A215" s="17">
        <f t="shared" si="21"/>
        <v>213</v>
      </c>
      <c r="B215" s="17">
        <f t="shared" si="22"/>
        <v>18</v>
      </c>
      <c r="C215" s="23">
        <f>MAX(Model_30y!V215, Model_15y!V215)</f>
        <v>6505.8098288277652</v>
      </c>
      <c r="D215" s="2">
        <f>D203*(1+Assumptions!$D$52)</f>
        <v>-5144.762788879998</v>
      </c>
      <c r="E215" s="2">
        <f>E203+(E203*Assumptions!$D$52)</f>
        <v>-42.935248238113111</v>
      </c>
      <c r="F215" s="22">
        <f t="shared" si="23"/>
        <v>1318.111791709654</v>
      </c>
      <c r="G215" s="5">
        <f t="shared" si="24"/>
        <v>1169526.7824394298</v>
      </c>
      <c r="H215" s="5">
        <f t="shared" si="25"/>
        <v>1318.111791709654</v>
      </c>
      <c r="I215" s="3">
        <f>Assumptions!$E$45</f>
        <v>6.9899151946608562E-3</v>
      </c>
      <c r="J215" s="5">
        <f t="shared" si="26"/>
        <v>1179019.7872582756</v>
      </c>
      <c r="K215" s="5">
        <f>J215*Assumptions!$E$43</f>
        <v>1055.9012348428116</v>
      </c>
      <c r="L215" s="5">
        <f>K215*Assumptions!$D$44*-1</f>
        <v>-158.38518522642173</v>
      </c>
      <c r="M215" s="2">
        <f>J215*Assumptions!$E$46*-1</f>
        <v>-39.293456295219144</v>
      </c>
      <c r="N215" s="5">
        <f t="shared" si="27"/>
        <v>1178822.1086167539</v>
      </c>
      <c r="O215" s="88">
        <f>Assumptions!$D$30</f>
        <v>2756</v>
      </c>
      <c r="P215" s="23">
        <f>(Model_Renter[[#This Row],[Monthly Investment]]*-1)+Model_Renter[[#This Row],[Less Renter''s Insurance]]</f>
        <v>-1361.0470399477672</v>
      </c>
    </row>
    <row r="216" spans="1:16" x14ac:dyDescent="0.25">
      <c r="A216" s="17">
        <f t="shared" si="21"/>
        <v>214</v>
      </c>
      <c r="B216" s="17">
        <f t="shared" si="22"/>
        <v>18</v>
      </c>
      <c r="C216" s="23">
        <f>MAX(Model_30y!V216, Model_15y!V216)</f>
        <v>6517.704077848517</v>
      </c>
      <c r="D216" s="2">
        <f>D204*(1+Assumptions!$D$52)</f>
        <v>-5144.762788879998</v>
      </c>
      <c r="E216" s="2">
        <f>E204+(E204*Assumptions!$D$52)</f>
        <v>-42.935248238113111</v>
      </c>
      <c r="F216" s="22">
        <f t="shared" si="23"/>
        <v>1330.0060407304059</v>
      </c>
      <c r="G216" s="5">
        <f t="shared" si="24"/>
        <v>1178822.1086167539</v>
      </c>
      <c r="H216" s="5">
        <f t="shared" si="25"/>
        <v>1330.0060407304059</v>
      </c>
      <c r="I216" s="3">
        <f>Assumptions!$E$45</f>
        <v>6.9899151946608562E-3</v>
      </c>
      <c r="J216" s="5">
        <f t="shared" si="26"/>
        <v>1188391.9812263069</v>
      </c>
      <c r="K216" s="5">
        <f>J216*Assumptions!$E$43</f>
        <v>1064.2947421367335</v>
      </c>
      <c r="L216" s="5">
        <f>K216*Assumptions!$D$44*-1</f>
        <v>-159.64421132051001</v>
      </c>
      <c r="M216" s="2">
        <f>J216*Assumptions!$E$46*-1</f>
        <v>-39.605805500934792</v>
      </c>
      <c r="N216" s="5">
        <f t="shared" si="27"/>
        <v>1188192.7312094853</v>
      </c>
      <c r="O216" s="88">
        <f>Assumptions!$D$30</f>
        <v>2756</v>
      </c>
      <c r="P216" s="23">
        <f>(Model_Renter[[#This Row],[Monthly Investment]]*-1)+Model_Renter[[#This Row],[Less Renter''s Insurance]]</f>
        <v>-1372.9412889685191</v>
      </c>
    </row>
    <row r="217" spans="1:16" x14ac:dyDescent="0.25">
      <c r="A217" s="17">
        <f t="shared" si="21"/>
        <v>215</v>
      </c>
      <c r="B217" s="17">
        <f t="shared" si="22"/>
        <v>18</v>
      </c>
      <c r="C217" s="23">
        <f>MAX(Model_30y!V217, Model_15y!V217)</f>
        <v>6529.6467855120918</v>
      </c>
      <c r="D217" s="2">
        <f>D205*(1+Assumptions!$D$52)</f>
        <v>-5144.762788879998</v>
      </c>
      <c r="E217" s="2">
        <f>E205+(E205*Assumptions!$D$52)</f>
        <v>-42.935248238113111</v>
      </c>
      <c r="F217" s="22">
        <f t="shared" si="23"/>
        <v>1341.9487483939806</v>
      </c>
      <c r="G217" s="5">
        <f t="shared" si="24"/>
        <v>1188192.7312094853</v>
      </c>
      <c r="H217" s="5">
        <f t="shared" si="25"/>
        <v>1341.9487483939806</v>
      </c>
      <c r="I217" s="3">
        <f>Assumptions!$E$45</f>
        <v>6.9899151946608562E-3</v>
      </c>
      <c r="J217" s="5">
        <f t="shared" si="26"/>
        <v>1197840.046383946</v>
      </c>
      <c r="K217" s="5">
        <f>J217*Assumptions!$E$43</f>
        <v>1072.7561978091828</v>
      </c>
      <c r="L217" s="5">
        <f>K217*Assumptions!$D$44*-1</f>
        <v>-160.91342967137743</v>
      </c>
      <c r="M217" s="2">
        <f>J217*Assumptions!$E$46*-1</f>
        <v>-39.920683282765225</v>
      </c>
      <c r="N217" s="5">
        <f t="shared" si="27"/>
        <v>1197639.2122709919</v>
      </c>
      <c r="O217" s="88">
        <f>Assumptions!$D$30</f>
        <v>2756</v>
      </c>
      <c r="P217" s="23">
        <f>(Model_Renter[[#This Row],[Monthly Investment]]*-1)+Model_Renter[[#This Row],[Less Renter''s Insurance]]</f>
        <v>-1384.8839966320938</v>
      </c>
    </row>
    <row r="218" spans="1:16" x14ac:dyDescent="0.25">
      <c r="A218" s="17">
        <f t="shared" si="21"/>
        <v>216</v>
      </c>
      <c r="B218" s="17">
        <f t="shared" si="22"/>
        <v>18</v>
      </c>
      <c r="C218" s="23">
        <f>MAX(Model_30y!V218, Model_15y!V218)</f>
        <v>6541.6381492450018</v>
      </c>
      <c r="D218" s="2">
        <f>D206*(1+Assumptions!$D$52)</f>
        <v>-5144.762788879998</v>
      </c>
      <c r="E218" s="2">
        <f>E206+(E206*Assumptions!$D$52)</f>
        <v>-42.935248238113111</v>
      </c>
      <c r="F218" s="22">
        <f t="shared" si="23"/>
        <v>1353.9401121268907</v>
      </c>
      <c r="G218" s="5">
        <f t="shared" si="24"/>
        <v>1197639.2122709919</v>
      </c>
      <c r="H218" s="5">
        <f t="shared" si="25"/>
        <v>1353.9401121268907</v>
      </c>
      <c r="I218" s="3">
        <f>Assumptions!$E$45</f>
        <v>6.9899151946608562E-3</v>
      </c>
      <c r="J218" s="5">
        <f t="shared" si="26"/>
        <v>1207364.5489106935</v>
      </c>
      <c r="K218" s="5">
        <f>J218*Assumptions!$E$43</f>
        <v>1081.2861089166483</v>
      </c>
      <c r="L218" s="5">
        <f>K218*Assumptions!$D$44*-1</f>
        <v>-162.19291633749725</v>
      </c>
      <c r="M218" s="2">
        <f>J218*Assumptions!$E$46*-1</f>
        <v>-40.238108509901366</v>
      </c>
      <c r="N218" s="5">
        <f t="shared" si="27"/>
        <v>1207162.1178858462</v>
      </c>
      <c r="O218" s="88">
        <f>Assumptions!$D$30</f>
        <v>2756</v>
      </c>
      <c r="P218" s="23">
        <f>(Model_Renter[[#This Row],[Monthly Investment]]*-1)+Model_Renter[[#This Row],[Less Renter''s Insurance]]</f>
        <v>-1396.8753603650039</v>
      </c>
    </row>
    <row r="219" spans="1:16" x14ac:dyDescent="0.25">
      <c r="A219" s="17">
        <f t="shared" si="21"/>
        <v>217</v>
      </c>
      <c r="B219" s="17">
        <f t="shared" si="22"/>
        <v>19</v>
      </c>
      <c r="C219" s="23">
        <f>MAX(Model_30y!V219, Model_15y!V219)</f>
        <v>6590.9141148660356</v>
      </c>
      <c r="D219" s="2">
        <f>D207*(1+Assumptions!$D$52)</f>
        <v>-5337.1769171841106</v>
      </c>
      <c r="E219" s="2">
        <f>E207+(E207*Assumptions!$D$52)</f>
        <v>-44.541026522218544</v>
      </c>
      <c r="F219" s="22">
        <f t="shared" si="23"/>
        <v>1209.1961711597064</v>
      </c>
      <c r="G219" s="5">
        <f t="shared" si="24"/>
        <v>1207162.1178858462</v>
      </c>
      <c r="H219" s="5">
        <f t="shared" si="25"/>
        <v>1209.1961711597064</v>
      </c>
      <c r="I219" s="3">
        <f>Assumptions!$E$45</f>
        <v>6.9899151946608562E-3</v>
      </c>
      <c r="J219" s="5">
        <f t="shared" si="26"/>
        <v>1216809.2748872351</v>
      </c>
      <c r="K219" s="5">
        <f>J219*Assumptions!$E$43</f>
        <v>1089.7445741003185</v>
      </c>
      <c r="L219" s="5">
        <f>K219*Assumptions!$D$44*-1</f>
        <v>-163.46168611504777</v>
      </c>
      <c r="M219" s="2">
        <f>J219*Assumptions!$E$46*-1</f>
        <v>-40.552875006096109</v>
      </c>
      <c r="N219" s="5">
        <f t="shared" si="27"/>
        <v>1216605.260326114</v>
      </c>
      <c r="O219" s="88">
        <f>Assumptions!$D$30</f>
        <v>2756</v>
      </c>
      <c r="P219" s="23">
        <f>(Model_Renter[[#This Row],[Monthly Investment]]*-1)+Model_Renter[[#This Row],[Less Renter''s Insurance]]</f>
        <v>-1253.737197681925</v>
      </c>
    </row>
    <row r="220" spans="1:16" x14ac:dyDescent="0.25">
      <c r="A220" s="17">
        <f t="shared" si="21"/>
        <v>218</v>
      </c>
      <c r="B220" s="17">
        <f t="shared" si="22"/>
        <v>19</v>
      </c>
      <c r="C220" s="23">
        <f>MAX(Model_30y!V220, Model_15y!V220)</f>
        <v>6603.0033862377768</v>
      </c>
      <c r="D220" s="2">
        <f>D208*(1+Assumptions!$D$52)</f>
        <v>-5337.1769171841106</v>
      </c>
      <c r="E220" s="2">
        <f>E208+(E208*Assumptions!$D$52)</f>
        <v>-44.541026522218544</v>
      </c>
      <c r="F220" s="22">
        <f t="shared" si="23"/>
        <v>1221.2854425314476</v>
      </c>
      <c r="G220" s="5">
        <f t="shared" si="24"/>
        <v>1216605.260326114</v>
      </c>
      <c r="H220" s="5">
        <f t="shared" si="25"/>
        <v>1221.2854425314476</v>
      </c>
      <c r="I220" s="3">
        <f>Assumptions!$E$45</f>
        <v>6.9899151946608562E-3</v>
      </c>
      <c r="J220" s="5">
        <f t="shared" si="26"/>
        <v>1226330.5133637032</v>
      </c>
      <c r="K220" s="5">
        <f>J220*Assumptions!$E$43</f>
        <v>1098.271562004325</v>
      </c>
      <c r="L220" s="5">
        <f>K220*Assumptions!$D$44*-1</f>
        <v>-164.74073430064874</v>
      </c>
      <c r="M220" s="2">
        <f>J220*Assumptions!$E$46*-1</f>
        <v>-40.870191451498137</v>
      </c>
      <c r="N220" s="5">
        <f t="shared" si="27"/>
        <v>1226124.902437951</v>
      </c>
      <c r="O220" s="88">
        <f>Assumptions!$D$30</f>
        <v>2756</v>
      </c>
      <c r="P220" s="23">
        <f>(Model_Renter[[#This Row],[Monthly Investment]]*-1)+Model_Renter[[#This Row],[Less Renter''s Insurance]]</f>
        <v>-1265.8264690536662</v>
      </c>
    </row>
    <row r="221" spans="1:16" x14ac:dyDescent="0.25">
      <c r="A221" s="17">
        <f t="shared" si="21"/>
        <v>219</v>
      </c>
      <c r="B221" s="17">
        <f t="shared" si="22"/>
        <v>19</v>
      </c>
      <c r="C221" s="23">
        <f>MAX(Model_30y!V221, Model_15y!V221)</f>
        <v>6615.1419107975398</v>
      </c>
      <c r="D221" s="2">
        <f>D209*(1+Assumptions!$D$52)</f>
        <v>-5337.1769171841106</v>
      </c>
      <c r="E221" s="2">
        <f>E209+(E209*Assumptions!$D$52)</f>
        <v>-44.541026522218544</v>
      </c>
      <c r="F221" s="22">
        <f t="shared" si="23"/>
        <v>1233.4239670912107</v>
      </c>
      <c r="G221" s="5">
        <f t="shared" si="24"/>
        <v>1226124.902437951</v>
      </c>
      <c r="H221" s="5">
        <f t="shared" si="25"/>
        <v>1233.4239670912107</v>
      </c>
      <c r="I221" s="3">
        <f>Assumptions!$E$45</f>
        <v>6.9899151946608562E-3</v>
      </c>
      <c r="J221" s="5">
        <f t="shared" si="26"/>
        <v>1235928.8354911453</v>
      </c>
      <c r="K221" s="5">
        <f>J221*Assumptions!$E$43</f>
        <v>1106.8675841375523</v>
      </c>
      <c r="L221" s="5">
        <f>K221*Assumptions!$D$44*-1</f>
        <v>-166.03013762063284</v>
      </c>
      <c r="M221" s="2">
        <f>J221*Assumptions!$E$46*-1</f>
        <v>-41.19007688098624</v>
      </c>
      <c r="N221" s="5">
        <f t="shared" si="27"/>
        <v>1235721.6152766435</v>
      </c>
      <c r="O221" s="88">
        <f>Assumptions!$D$30</f>
        <v>2756</v>
      </c>
      <c r="P221" s="23">
        <f>(Model_Renter[[#This Row],[Monthly Investment]]*-1)+Model_Renter[[#This Row],[Less Renter''s Insurance]]</f>
        <v>-1277.9649936134292</v>
      </c>
    </row>
    <row r="222" spans="1:16" x14ac:dyDescent="0.25">
      <c r="A222" s="17">
        <f t="shared" si="21"/>
        <v>220</v>
      </c>
      <c r="B222" s="17">
        <f t="shared" si="22"/>
        <v>19</v>
      </c>
      <c r="C222" s="23">
        <f>MAX(Model_30y!V222, Model_15y!V222)</f>
        <v>6627.3298892089106</v>
      </c>
      <c r="D222" s="2">
        <f>D210*(1+Assumptions!$D$52)</f>
        <v>-5337.1769171841106</v>
      </c>
      <c r="E222" s="2">
        <f>E210+(E210*Assumptions!$D$52)</f>
        <v>-44.541026522218544</v>
      </c>
      <c r="F222" s="22">
        <f t="shared" si="23"/>
        <v>1245.6119455025814</v>
      </c>
      <c r="G222" s="5">
        <f t="shared" si="24"/>
        <v>1235721.6152766435</v>
      </c>
      <c r="H222" s="5">
        <f t="shared" si="25"/>
        <v>1245.6119455025814</v>
      </c>
      <c r="I222" s="3">
        <f>Assumptions!$E$45</f>
        <v>6.9899151946608562E-3</v>
      </c>
      <c r="J222" s="5">
        <f t="shared" si="26"/>
        <v>1245604.8165171393</v>
      </c>
      <c r="K222" s="5">
        <f>J222*Assumptions!$E$43</f>
        <v>1115.5331556776375</v>
      </c>
      <c r="L222" s="5">
        <f>K222*Assumptions!$D$44*-1</f>
        <v>-167.32997335164563</v>
      </c>
      <c r="M222" s="2">
        <f>J222*Assumptions!$E$46*-1</f>
        <v>-41.512550465965163</v>
      </c>
      <c r="N222" s="5">
        <f t="shared" si="27"/>
        <v>1245395.9739933216</v>
      </c>
      <c r="O222" s="88">
        <f>Assumptions!$D$30</f>
        <v>2756</v>
      </c>
      <c r="P222" s="23">
        <f>(Model_Renter[[#This Row],[Monthly Investment]]*-1)+Model_Renter[[#This Row],[Less Renter''s Insurance]]</f>
        <v>-1290.1529720248</v>
      </c>
    </row>
    <row r="223" spans="1:16" x14ac:dyDescent="0.25">
      <c r="A223" s="17">
        <f t="shared" si="21"/>
        <v>221</v>
      </c>
      <c r="B223" s="17">
        <f t="shared" si="22"/>
        <v>19</v>
      </c>
      <c r="C223" s="23">
        <f>MAX(Model_30y!V223, Model_15y!V223)</f>
        <v>6639.5675229530007</v>
      </c>
      <c r="D223" s="2">
        <f>D211*(1+Assumptions!$D$52)</f>
        <v>-5337.1769171841106</v>
      </c>
      <c r="E223" s="2">
        <f>E211+(E211*Assumptions!$D$52)</f>
        <v>-44.541026522218544</v>
      </c>
      <c r="F223" s="22">
        <f t="shared" si="23"/>
        <v>1257.8495792466715</v>
      </c>
      <c r="G223" s="5">
        <f t="shared" si="24"/>
        <v>1245395.9739933216</v>
      </c>
      <c r="H223" s="5">
        <f t="shared" si="25"/>
        <v>1257.8495792466715</v>
      </c>
      <c r="I223" s="3">
        <f>Assumptions!$E$45</f>
        <v>6.9899151946608562E-3</v>
      </c>
      <c r="J223" s="5">
        <f t="shared" si="26"/>
        <v>1255359.0358145537</v>
      </c>
      <c r="K223" s="5">
        <f>J223*Assumptions!$E$43</f>
        <v>1124.2687954967269</v>
      </c>
      <c r="L223" s="5">
        <f>K223*Assumptions!$D$44*-1</f>
        <v>-168.64031932450902</v>
      </c>
      <c r="M223" s="2">
        <f>J223*Assumptions!$E$46*-1</f>
        <v>-41.837631515324155</v>
      </c>
      <c r="N223" s="5">
        <f t="shared" si="27"/>
        <v>1255148.5578637139</v>
      </c>
      <c r="O223" s="88">
        <f>Assumptions!$D$30</f>
        <v>2756</v>
      </c>
      <c r="P223" s="23">
        <f>(Model_Renter[[#This Row],[Monthly Investment]]*-1)+Model_Renter[[#This Row],[Less Renter''s Insurance]]</f>
        <v>-1302.3906057688901</v>
      </c>
    </row>
    <row r="224" spans="1:16" x14ac:dyDescent="0.25">
      <c r="A224" s="17">
        <f t="shared" si="21"/>
        <v>222</v>
      </c>
      <c r="B224" s="17">
        <f t="shared" si="22"/>
        <v>19</v>
      </c>
      <c r="C224" s="23">
        <f>MAX(Model_30y!V224, Model_15y!V224)</f>
        <v>6651.8550143317843</v>
      </c>
      <c r="D224" s="2">
        <f>D212*(1+Assumptions!$D$52)</f>
        <v>-5337.1769171841106</v>
      </c>
      <c r="E224" s="2">
        <f>E212+(E212*Assumptions!$D$52)</f>
        <v>-44.541026522218544</v>
      </c>
      <c r="F224" s="22">
        <f t="shared" si="23"/>
        <v>1270.1370706254552</v>
      </c>
      <c r="G224" s="5">
        <f t="shared" si="24"/>
        <v>1255148.5578637139</v>
      </c>
      <c r="H224" s="5">
        <f t="shared" si="25"/>
        <v>1270.1370706254552</v>
      </c>
      <c r="I224" s="3">
        <f>Assumptions!$E$45</f>
        <v>6.9899151946608562E-3</v>
      </c>
      <c r="J224" s="5">
        <f t="shared" si="26"/>
        <v>1265192.0769105076</v>
      </c>
      <c r="K224" s="5">
        <f>J224*Assumptions!$E$43</f>
        <v>1133.0750261874111</v>
      </c>
      <c r="L224" s="5">
        <f>K224*Assumptions!$D$44*-1</f>
        <v>-169.96125392811166</v>
      </c>
      <c r="M224" s="2">
        <f>J224*Assumptions!$E$46*-1</f>
        <v>-42.165339476402096</v>
      </c>
      <c r="N224" s="5">
        <f t="shared" si="27"/>
        <v>1264979.9503171032</v>
      </c>
      <c r="O224" s="88">
        <f>Assumptions!$D$30</f>
        <v>2756</v>
      </c>
      <c r="P224" s="23">
        <f>(Model_Renter[[#This Row],[Monthly Investment]]*-1)+Model_Renter[[#This Row],[Less Renter''s Insurance]]</f>
        <v>-1314.6780971476737</v>
      </c>
    </row>
    <row r="225" spans="1:16" x14ac:dyDescent="0.25">
      <c r="A225" s="17">
        <f t="shared" si="21"/>
        <v>223</v>
      </c>
      <c r="B225" s="17">
        <f t="shared" si="22"/>
        <v>19</v>
      </c>
      <c r="C225" s="23">
        <f>MAX(Model_30y!V225, Model_15y!V225)</f>
        <v>6664.1925664714363</v>
      </c>
      <c r="D225" s="2">
        <f>D213*(1+Assumptions!$D$52)</f>
        <v>-5337.1769171841106</v>
      </c>
      <c r="E225" s="2">
        <f>E213+(E213*Assumptions!$D$52)</f>
        <v>-44.541026522218544</v>
      </c>
      <c r="F225" s="22">
        <f t="shared" si="23"/>
        <v>1282.4746227651071</v>
      </c>
      <c r="G225" s="5">
        <f t="shared" si="24"/>
        <v>1264979.9503171032</v>
      </c>
      <c r="H225" s="5">
        <f t="shared" si="25"/>
        <v>1282.4746227651071</v>
      </c>
      <c r="I225" s="3">
        <f>Assumptions!$E$45</f>
        <v>6.9899151946608562E-3</v>
      </c>
      <c r="J225" s="5">
        <f t="shared" si="26"/>
        <v>1275104.5275155311</v>
      </c>
      <c r="K225" s="5">
        <f>J225*Assumptions!$E$43</f>
        <v>1141.9523740888419</v>
      </c>
      <c r="L225" s="5">
        <f>K225*Assumptions!$D$44*-1</f>
        <v>-171.29285611332628</v>
      </c>
      <c r="M225" s="2">
        <f>J225*Assumptions!$E$46*-1</f>
        <v>-42.495693935959345</v>
      </c>
      <c r="N225" s="5">
        <f t="shared" si="27"/>
        <v>1274890.7389654818</v>
      </c>
      <c r="O225" s="88">
        <f>Assumptions!$D$30</f>
        <v>2756</v>
      </c>
      <c r="P225" s="23">
        <f>(Model_Renter[[#This Row],[Monthly Investment]]*-1)+Model_Renter[[#This Row],[Less Renter''s Insurance]]</f>
        <v>-1327.0156492873257</v>
      </c>
    </row>
    <row r="226" spans="1:16" x14ac:dyDescent="0.25">
      <c r="A226" s="17">
        <f t="shared" si="21"/>
        <v>224</v>
      </c>
      <c r="B226" s="17">
        <f t="shared" si="22"/>
        <v>19</v>
      </c>
      <c r="C226" s="23">
        <f>MAX(Model_30y!V226, Model_15y!V226)</f>
        <v>6676.5803833256914</v>
      </c>
      <c r="D226" s="2">
        <f>D214*(1+Assumptions!$D$52)</f>
        <v>-5337.1769171841106</v>
      </c>
      <c r="E226" s="2">
        <f>E214+(E214*Assumptions!$D$52)</f>
        <v>-44.541026522218544</v>
      </c>
      <c r="F226" s="22">
        <f t="shared" si="23"/>
        <v>1294.8624396193622</v>
      </c>
      <c r="G226" s="5">
        <f t="shared" si="24"/>
        <v>1274890.7389654818</v>
      </c>
      <c r="H226" s="5">
        <f t="shared" si="25"/>
        <v>1294.8624396193622</v>
      </c>
      <c r="I226" s="3">
        <f>Assumptions!$E$45</f>
        <v>6.9899151946608562E-3</v>
      </c>
      <c r="J226" s="5">
        <f t="shared" si="26"/>
        <v>1285096.9795529284</v>
      </c>
      <c r="K226" s="5">
        <f>J226*Assumptions!$E$43</f>
        <v>1150.901369313028</v>
      </c>
      <c r="L226" s="5">
        <f>K226*Assumptions!$D$44*-1</f>
        <v>-172.63520539695421</v>
      </c>
      <c r="M226" s="2">
        <f>J226*Assumptions!$E$46*-1</f>
        <v>-42.828714621156323</v>
      </c>
      <c r="N226" s="5">
        <f t="shared" si="27"/>
        <v>1284881.5156329102</v>
      </c>
      <c r="O226" s="88">
        <f>Assumptions!$D$30</f>
        <v>2756</v>
      </c>
      <c r="P226" s="23">
        <f>(Model_Renter[[#This Row],[Monthly Investment]]*-1)+Model_Renter[[#This Row],[Less Renter''s Insurance]]</f>
        <v>-1339.4034661415808</v>
      </c>
    </row>
    <row r="227" spans="1:16" x14ac:dyDescent="0.25">
      <c r="A227" s="17">
        <f t="shared" si="21"/>
        <v>225</v>
      </c>
      <c r="B227" s="17">
        <f t="shared" si="22"/>
        <v>19</v>
      </c>
      <c r="C227" s="23">
        <f>MAX(Model_30y!V227, Model_15y!V227)</f>
        <v>6689.0186696792207</v>
      </c>
      <c r="D227" s="2">
        <f>D215*(1+Assumptions!$D$52)</f>
        <v>-5337.1769171841106</v>
      </c>
      <c r="E227" s="2">
        <f>E215+(E215*Assumptions!$D$52)</f>
        <v>-44.541026522218544</v>
      </c>
      <c r="F227" s="22">
        <f t="shared" si="23"/>
        <v>1307.3007259728915</v>
      </c>
      <c r="G227" s="5">
        <f t="shared" si="24"/>
        <v>1284881.5156329102</v>
      </c>
      <c r="H227" s="5">
        <f t="shared" si="25"/>
        <v>1307.3007259728915</v>
      </c>
      <c r="I227" s="3">
        <f>Assumptions!$E$45</f>
        <v>6.9899151946608562E-3</v>
      </c>
      <c r="J227" s="5">
        <f t="shared" si="26"/>
        <v>1295170.0291883445</v>
      </c>
      <c r="K227" s="5">
        <f>J227*Assumptions!$E$43</f>
        <v>1159.9225457713151</v>
      </c>
      <c r="L227" s="5">
        <f>K227*Assumptions!$D$44*-1</f>
        <v>-173.98838186569725</v>
      </c>
      <c r="M227" s="2">
        <f>J227*Assumptions!$E$46*-1</f>
        <v>-43.164421400538892</v>
      </c>
      <c r="N227" s="5">
        <f t="shared" si="27"/>
        <v>1294952.8763850783</v>
      </c>
      <c r="O227" s="88">
        <f>Assumptions!$D$30</f>
        <v>2756</v>
      </c>
      <c r="P227" s="23">
        <f>(Model_Renter[[#This Row],[Monthly Investment]]*-1)+Model_Renter[[#This Row],[Less Renter''s Insurance]]</f>
        <v>-1351.8417524951101</v>
      </c>
    </row>
    <row r="228" spans="1:16" x14ac:dyDescent="0.25">
      <c r="A228" s="17">
        <f t="shared" si="21"/>
        <v>226</v>
      </c>
      <c r="B228" s="17">
        <f t="shared" si="22"/>
        <v>19</v>
      </c>
      <c r="C228" s="23">
        <f>MAX(Model_30y!V228, Model_15y!V228)</f>
        <v>6701.5076311510093</v>
      </c>
      <c r="D228" s="2">
        <f>D216*(1+Assumptions!$D$52)</f>
        <v>-5337.1769171841106</v>
      </c>
      <c r="E228" s="2">
        <f>E216+(E216*Assumptions!$D$52)</f>
        <v>-44.541026522218544</v>
      </c>
      <c r="F228" s="22">
        <f t="shared" si="23"/>
        <v>1319.7896874446801</v>
      </c>
      <c r="G228" s="5">
        <f t="shared" si="24"/>
        <v>1294952.8763850783</v>
      </c>
      <c r="H228" s="5">
        <f t="shared" si="25"/>
        <v>1319.7896874446801</v>
      </c>
      <c r="I228" s="3">
        <f>Assumptions!$E$45</f>
        <v>6.9899151946608562E-3</v>
      </c>
      <c r="J228" s="5">
        <f t="shared" si="26"/>
        <v>1305324.2768595368</v>
      </c>
      <c r="K228" s="5">
        <f>J228*Assumptions!$E$43</f>
        <v>1169.016441201047</v>
      </c>
      <c r="L228" s="5">
        <f>K228*Assumptions!$D$44*-1</f>
        <v>-175.35246618015705</v>
      </c>
      <c r="M228" s="2">
        <f>J228*Assumptions!$E$46*-1</f>
        <v>-43.502834285030559</v>
      </c>
      <c r="N228" s="5">
        <f t="shared" si="27"/>
        <v>1305105.4215590716</v>
      </c>
      <c r="O228" s="88">
        <f>Assumptions!$D$30</f>
        <v>2756</v>
      </c>
      <c r="P228" s="23">
        <f>(Model_Renter[[#This Row],[Monthly Investment]]*-1)+Model_Renter[[#This Row],[Less Renter''s Insurance]]</f>
        <v>-1364.3307139668987</v>
      </c>
    </row>
    <row r="229" spans="1:16" x14ac:dyDescent="0.25">
      <c r="A229" s="17">
        <f t="shared" si="21"/>
        <v>227</v>
      </c>
      <c r="B229" s="17">
        <f t="shared" si="22"/>
        <v>19</v>
      </c>
      <c r="C229" s="23">
        <f>MAX(Model_30y!V229, Model_15y!V229)</f>
        <v>6714.047474197765</v>
      </c>
      <c r="D229" s="2">
        <f>D217*(1+Assumptions!$D$52)</f>
        <v>-5337.1769171841106</v>
      </c>
      <c r="E229" s="2">
        <f>E217+(E217*Assumptions!$D$52)</f>
        <v>-44.541026522218544</v>
      </c>
      <c r="F229" s="22">
        <f t="shared" si="23"/>
        <v>1332.3295304914359</v>
      </c>
      <c r="G229" s="5">
        <f t="shared" si="24"/>
        <v>1305105.4215590716</v>
      </c>
      <c r="H229" s="5">
        <f t="shared" si="25"/>
        <v>1332.3295304914359</v>
      </c>
      <c r="I229" s="3">
        <f>Assumptions!$E$45</f>
        <v>6.9899151946608562E-3</v>
      </c>
      <c r="J229" s="5">
        <f t="shared" si="26"/>
        <v>1315560.3273063533</v>
      </c>
      <c r="K229" s="5">
        <f>J229*Assumptions!$E$43</f>
        <v>1178.1835971924156</v>
      </c>
      <c r="L229" s="5">
        <f>K229*Assumptions!$D$44*-1</f>
        <v>-176.72753957886235</v>
      </c>
      <c r="M229" s="2">
        <f>J229*Assumptions!$E$46*-1</f>
        <v>-43.843973428931569</v>
      </c>
      <c r="N229" s="5">
        <f t="shared" si="27"/>
        <v>1315339.7557933454</v>
      </c>
      <c r="O229" s="88">
        <f>Assumptions!$D$30</f>
        <v>2756</v>
      </c>
      <c r="P229" s="23">
        <f>(Model_Renter[[#This Row],[Monthly Investment]]*-1)+Model_Renter[[#This Row],[Less Renter''s Insurance]]</f>
        <v>-1376.8705570136544</v>
      </c>
    </row>
    <row r="230" spans="1:16" x14ac:dyDescent="0.25">
      <c r="A230" s="17">
        <f t="shared" si="21"/>
        <v>228</v>
      </c>
      <c r="B230" s="17">
        <f t="shared" si="22"/>
        <v>19</v>
      </c>
      <c r="C230" s="23">
        <f>MAX(Model_30y!V230, Model_15y!V230)</f>
        <v>6726.6384061173194</v>
      </c>
      <c r="D230" s="2">
        <f>D218*(1+Assumptions!$D$52)</f>
        <v>-5337.1769171841106</v>
      </c>
      <c r="E230" s="2">
        <f>E218+(E218*Assumptions!$D$52)</f>
        <v>-44.541026522218544</v>
      </c>
      <c r="F230" s="22">
        <f t="shared" si="23"/>
        <v>1344.9204624109902</v>
      </c>
      <c r="G230" s="5">
        <f t="shared" si="24"/>
        <v>1315339.7557933454</v>
      </c>
      <c r="H230" s="5">
        <f t="shared" si="25"/>
        <v>1344.9204624109902</v>
      </c>
      <c r="I230" s="3">
        <f>Assumptions!$E$45</f>
        <v>6.9899151946608562E-3</v>
      </c>
      <c r="J230" s="5">
        <f t="shared" si="26"/>
        <v>1325878.7896009176</v>
      </c>
      <c r="K230" s="5">
        <f>J230*Assumptions!$E$43</f>
        <v>1187.4245592154921</v>
      </c>
      <c r="L230" s="5">
        <f>K230*Assumptions!$D$44*-1</f>
        <v>-178.11368388232381</v>
      </c>
      <c r="M230" s="2">
        <f>J230*Assumptions!$E$46*-1</f>
        <v>-44.187859130924892</v>
      </c>
      <c r="N230" s="5">
        <f t="shared" si="27"/>
        <v>1325656.4880579044</v>
      </c>
      <c r="O230" s="88">
        <f>Assumptions!$D$30</f>
        <v>2756</v>
      </c>
      <c r="P230" s="23">
        <f>(Model_Renter[[#This Row],[Monthly Investment]]*-1)+Model_Renter[[#This Row],[Less Renter''s Insurance]]</f>
        <v>-1389.4614889332088</v>
      </c>
    </row>
    <row r="231" spans="1:16" x14ac:dyDescent="0.25">
      <c r="A231" s="17">
        <f t="shared" si="21"/>
        <v>229</v>
      </c>
      <c r="B231" s="17">
        <f t="shared" si="22"/>
        <v>20</v>
      </c>
      <c r="C231" s="23">
        <f>MAX(Model_30y!V231, Model_15y!V231)</f>
        <v>6778.3781700194049</v>
      </c>
      <c r="D231" s="2">
        <f>D219*(1+Assumptions!$D$52)</f>
        <v>-5536.7873338867967</v>
      </c>
      <c r="E231" s="2">
        <f>E219+(E219*Assumptions!$D$52)</f>
        <v>-46.206860914149516</v>
      </c>
      <c r="F231" s="22">
        <f t="shared" si="23"/>
        <v>1195.3839752184588</v>
      </c>
      <c r="G231" s="5">
        <f t="shared" si="24"/>
        <v>1325656.4880579044</v>
      </c>
      <c r="H231" s="5">
        <f t="shared" si="25"/>
        <v>1195.3839752184588</v>
      </c>
      <c r="I231" s="3">
        <f>Assumptions!$E$45</f>
        <v>6.9899151946608562E-3</v>
      </c>
      <c r="J231" s="5">
        <f t="shared" si="26"/>
        <v>1336118.0984618997</v>
      </c>
      <c r="K231" s="5">
        <f>J231*Assumptions!$E$43</f>
        <v>1196.5946333627546</v>
      </c>
      <c r="L231" s="5">
        <f>K231*Assumptions!$D$44*-1</f>
        <v>-179.48919500441318</v>
      </c>
      <c r="M231" s="2">
        <f>J231*Assumptions!$E$46*-1</f>
        <v>-44.529106868723979</v>
      </c>
      <c r="N231" s="5">
        <f t="shared" si="27"/>
        <v>1335894.0801600264</v>
      </c>
      <c r="O231" s="88">
        <f>Assumptions!$D$30</f>
        <v>2756</v>
      </c>
      <c r="P231" s="23">
        <f>(Model_Renter[[#This Row],[Monthly Investment]]*-1)+Model_Renter[[#This Row],[Less Renter''s Insurance]]</f>
        <v>-1241.5908361326083</v>
      </c>
    </row>
    <row r="232" spans="1:16" x14ac:dyDescent="0.25">
      <c r="A232" s="17">
        <f t="shared" si="21"/>
        <v>230</v>
      </c>
      <c r="B232" s="17">
        <f t="shared" si="22"/>
        <v>20</v>
      </c>
      <c r="C232" s="23">
        <f>MAX(Model_30y!V232, Model_15y!V232)</f>
        <v>6791.0719049597319</v>
      </c>
      <c r="D232" s="2">
        <f>D220*(1+Assumptions!$D$52)</f>
        <v>-5536.7873338867967</v>
      </c>
      <c r="E232" s="2">
        <f>E220+(E220*Assumptions!$D$52)</f>
        <v>-46.206860914149516</v>
      </c>
      <c r="F232" s="22">
        <f t="shared" si="23"/>
        <v>1208.0777101587857</v>
      </c>
      <c r="G232" s="5">
        <f t="shared" si="24"/>
        <v>1335894.0801600264</v>
      </c>
      <c r="H232" s="5">
        <f t="shared" si="25"/>
        <v>1208.0777101587857</v>
      </c>
      <c r="I232" s="3">
        <f>Assumptions!$E$45</f>
        <v>6.9899151946608562E-3</v>
      </c>
      <c r="J232" s="5">
        <f t="shared" si="26"/>
        <v>1346439.9441995535</v>
      </c>
      <c r="K232" s="5">
        <f>J232*Assumptions!$E$43</f>
        <v>1205.8386255145658</v>
      </c>
      <c r="L232" s="5">
        <f>K232*Assumptions!$D$44*-1</f>
        <v>-180.87579382718488</v>
      </c>
      <c r="M232" s="2">
        <f>J232*Assumptions!$E$46*-1</f>
        <v>-44.873105331482307</v>
      </c>
      <c r="N232" s="5">
        <f t="shared" si="27"/>
        <v>1346214.1953003949</v>
      </c>
      <c r="O232" s="88">
        <f>Assumptions!$D$30</f>
        <v>2756</v>
      </c>
      <c r="P232" s="23">
        <f>(Model_Renter[[#This Row],[Monthly Investment]]*-1)+Model_Renter[[#This Row],[Less Renter''s Insurance]]</f>
        <v>-1254.2845710729353</v>
      </c>
    </row>
    <row r="233" spans="1:16" x14ac:dyDescent="0.25">
      <c r="A233" s="17">
        <f t="shared" si="21"/>
        <v>231</v>
      </c>
      <c r="B233" s="17">
        <f t="shared" si="22"/>
        <v>20</v>
      </c>
      <c r="C233" s="23">
        <f>MAX(Model_30y!V233, Model_15y!V233)</f>
        <v>6803.8173557474838</v>
      </c>
      <c r="D233" s="2">
        <f>D221*(1+Assumptions!$D$52)</f>
        <v>-5536.7873338867967</v>
      </c>
      <c r="E233" s="2">
        <f>E221+(E221*Assumptions!$D$52)</f>
        <v>-46.206860914149516</v>
      </c>
      <c r="F233" s="22">
        <f t="shared" si="23"/>
        <v>1220.8231609465377</v>
      </c>
      <c r="G233" s="5">
        <f t="shared" si="24"/>
        <v>1346214.1953003949</v>
      </c>
      <c r="H233" s="5">
        <f t="shared" si="25"/>
        <v>1220.8231609465377</v>
      </c>
      <c r="I233" s="3">
        <f>Assumptions!$E$45</f>
        <v>6.9899151946608562E-3</v>
      </c>
      <c r="J233" s="5">
        <f t="shared" si="26"/>
        <v>1356844.9415203398</v>
      </c>
      <c r="K233" s="5">
        <f>J233*Assumptions!$E$43</f>
        <v>1215.1570861869716</v>
      </c>
      <c r="L233" s="5">
        <f>K233*Assumptions!$D$44*-1</f>
        <v>-182.27356292804572</v>
      </c>
      <c r="M233" s="2">
        <f>J233*Assumptions!$E$46*-1</f>
        <v>-45.219875005659645</v>
      </c>
      <c r="N233" s="5">
        <f t="shared" si="27"/>
        <v>1356617.4480824061</v>
      </c>
      <c r="O233" s="88">
        <f>Assumptions!$D$30</f>
        <v>2756</v>
      </c>
      <c r="P233" s="23">
        <f>(Model_Renter[[#This Row],[Monthly Investment]]*-1)+Model_Renter[[#This Row],[Less Renter''s Insurance]]</f>
        <v>-1267.0300218606872</v>
      </c>
    </row>
    <row r="234" spans="1:16" x14ac:dyDescent="0.25">
      <c r="A234" s="17">
        <f t="shared" si="21"/>
        <v>232</v>
      </c>
      <c r="B234" s="17">
        <f t="shared" si="22"/>
        <v>20</v>
      </c>
      <c r="C234" s="23">
        <f>MAX(Model_30y!V234, Model_15y!V234)</f>
        <v>6816.6147330794229</v>
      </c>
      <c r="D234" s="2">
        <f>D222*(1+Assumptions!$D$52)</f>
        <v>-5536.7873338867967</v>
      </c>
      <c r="E234" s="2">
        <f>E222+(E222*Assumptions!$D$52)</f>
        <v>-46.206860914149516</v>
      </c>
      <c r="F234" s="22">
        <f t="shared" si="23"/>
        <v>1233.6205382784767</v>
      </c>
      <c r="G234" s="5">
        <f t="shared" si="24"/>
        <v>1356617.4480824061</v>
      </c>
      <c r="H234" s="5">
        <f t="shared" si="25"/>
        <v>1233.6205382784767</v>
      </c>
      <c r="I234" s="3">
        <f>Assumptions!$E$45</f>
        <v>6.9899151946608562E-3</v>
      </c>
      <c r="J234" s="5">
        <f t="shared" si="26"/>
        <v>1367333.7095343778</v>
      </c>
      <c r="K234" s="5">
        <f>J234*Assumptions!$E$43</f>
        <v>1224.550569839826</v>
      </c>
      <c r="L234" s="5">
        <f>K234*Assumptions!$D$44*-1</f>
        <v>-183.68258547597389</v>
      </c>
      <c r="M234" s="2">
        <f>J234*Assumptions!$E$46*-1</f>
        <v>-45.569436524477489</v>
      </c>
      <c r="N234" s="5">
        <f t="shared" si="27"/>
        <v>1367104.4575123773</v>
      </c>
      <c r="O234" s="88">
        <f>Assumptions!$D$30</f>
        <v>2756</v>
      </c>
      <c r="P234" s="23">
        <f>(Model_Renter[[#This Row],[Monthly Investment]]*-1)+Model_Renter[[#This Row],[Less Renter''s Insurance]]</f>
        <v>-1279.8273991926262</v>
      </c>
    </row>
    <row r="235" spans="1:16" x14ac:dyDescent="0.25">
      <c r="A235" s="17">
        <f t="shared" si="21"/>
        <v>233</v>
      </c>
      <c r="B235" s="17">
        <f t="shared" si="22"/>
        <v>20</v>
      </c>
      <c r="C235" s="23">
        <f>MAX(Model_30y!V235, Model_15y!V235)</f>
        <v>6829.4642485107188</v>
      </c>
      <c r="D235" s="2">
        <f>D223*(1+Assumptions!$D$52)</f>
        <v>-5536.7873338867967</v>
      </c>
      <c r="E235" s="2">
        <f>E223+(E223*Assumptions!$D$52)</f>
        <v>-46.206860914149516</v>
      </c>
      <c r="F235" s="22">
        <f t="shared" si="23"/>
        <v>1246.4700537097726</v>
      </c>
      <c r="G235" s="5">
        <f t="shared" si="24"/>
        <v>1367104.4575123773</v>
      </c>
      <c r="H235" s="5">
        <f t="shared" si="25"/>
        <v>1246.4700537097726</v>
      </c>
      <c r="I235" s="3">
        <f>Assumptions!$E$45</f>
        <v>6.9899151946608562E-3</v>
      </c>
      <c r="J235" s="5">
        <f t="shared" si="26"/>
        <v>1377906.8717863415</v>
      </c>
      <c r="K235" s="5">
        <f>J235*Assumptions!$E$43</f>
        <v>1234.019634904462</v>
      </c>
      <c r="L235" s="5">
        <f>K235*Assumptions!$D$44*-1</f>
        <v>-185.1029452356693</v>
      </c>
      <c r="M235" s="2">
        <f>J235*Assumptions!$E$46*-1</f>
        <v>-45.92181066894873</v>
      </c>
      <c r="N235" s="5">
        <f t="shared" si="27"/>
        <v>1377675.8470304369</v>
      </c>
      <c r="O235" s="88">
        <f>Assumptions!$D$30</f>
        <v>2756</v>
      </c>
      <c r="P235" s="23">
        <f>(Model_Renter[[#This Row],[Monthly Investment]]*-1)+Model_Renter[[#This Row],[Less Renter''s Insurance]]</f>
        <v>-1292.6769146239221</v>
      </c>
    </row>
    <row r="236" spans="1:16" x14ac:dyDescent="0.25">
      <c r="A236" s="17">
        <f t="shared" si="21"/>
        <v>234</v>
      </c>
      <c r="B236" s="17">
        <f t="shared" si="22"/>
        <v>20</v>
      </c>
      <c r="C236" s="23">
        <f>MAX(Model_30y!V236, Model_15y!V236)</f>
        <v>6842.3661144584412</v>
      </c>
      <c r="D236" s="2">
        <f>D224*(1+Assumptions!$D$52)</f>
        <v>-5536.7873338867967</v>
      </c>
      <c r="E236" s="2">
        <f>E224+(E224*Assumptions!$D$52)</f>
        <v>-46.206860914149516</v>
      </c>
      <c r="F236" s="22">
        <f t="shared" si="23"/>
        <v>1259.371919657495</v>
      </c>
      <c r="G236" s="5">
        <f t="shared" si="24"/>
        <v>1377675.8470304369</v>
      </c>
      <c r="H236" s="5">
        <f t="shared" si="25"/>
        <v>1259.371919657495</v>
      </c>
      <c r="I236" s="3">
        <f>Assumptions!$E$45</f>
        <v>6.9899151946608562E-3</v>
      </c>
      <c r="J236" s="5">
        <f t="shared" si="26"/>
        <v>1388565.0562865697</v>
      </c>
      <c r="K236" s="5">
        <f>J236*Assumptions!$E$43</f>
        <v>1243.5648438115522</v>
      </c>
      <c r="L236" s="5">
        <f>K236*Assumptions!$D$44*-1</f>
        <v>-186.53472657173282</v>
      </c>
      <c r="M236" s="2">
        <f>J236*Assumptions!$E$46*-1</f>
        <v>-46.277018368914462</v>
      </c>
      <c r="N236" s="5">
        <f t="shared" si="27"/>
        <v>1388332.244541629</v>
      </c>
      <c r="O236" s="88">
        <f>Assumptions!$D$30</f>
        <v>2756</v>
      </c>
      <c r="P236" s="23">
        <f>(Model_Renter[[#This Row],[Monthly Investment]]*-1)+Model_Renter[[#This Row],[Less Renter''s Insurance]]</f>
        <v>-1305.5787805716445</v>
      </c>
    </row>
    <row r="237" spans="1:16" x14ac:dyDescent="0.25">
      <c r="A237" s="17">
        <f t="shared" si="21"/>
        <v>235</v>
      </c>
      <c r="B237" s="17">
        <f t="shared" si="22"/>
        <v>20</v>
      </c>
      <c r="C237" s="23">
        <f>MAX(Model_30y!V237, Model_15y!V237)</f>
        <v>6855.3205442050748</v>
      </c>
      <c r="D237" s="2">
        <f>D225*(1+Assumptions!$D$52)</f>
        <v>-5536.7873338867967</v>
      </c>
      <c r="E237" s="2">
        <f>E225+(E225*Assumptions!$D$52)</f>
        <v>-46.206860914149516</v>
      </c>
      <c r="F237" s="22">
        <f t="shared" si="23"/>
        <v>1272.3263494041287</v>
      </c>
      <c r="G237" s="5">
        <f t="shared" si="24"/>
        <v>1388332.244541629</v>
      </c>
      <c r="H237" s="5">
        <f t="shared" si="25"/>
        <v>1272.3263494041287</v>
      </c>
      <c r="I237" s="3">
        <f>Assumptions!$E$45</f>
        <v>6.9899151946608562E-3</v>
      </c>
      <c r="J237" s="5">
        <f t="shared" si="26"/>
        <v>1399308.8955423923</v>
      </c>
      <c r="K237" s="5">
        <f>J237*Assumptions!$E$43</f>
        <v>1253.1867630191648</v>
      </c>
      <c r="L237" s="5">
        <f>K237*Assumptions!$D$44*-1</f>
        <v>-187.9780144528747</v>
      </c>
      <c r="M237" s="2">
        <f>J237*Assumptions!$E$46*-1</f>
        <v>-46.635080704088011</v>
      </c>
      <c r="N237" s="5">
        <f t="shared" si="27"/>
        <v>1399074.2824472354</v>
      </c>
      <c r="O237" s="88">
        <f>Assumptions!$D$30</f>
        <v>2756</v>
      </c>
      <c r="P237" s="23">
        <f>(Model_Renter[[#This Row],[Monthly Investment]]*-1)+Model_Renter[[#This Row],[Less Renter''s Insurance]]</f>
        <v>-1318.5332103182782</v>
      </c>
    </row>
    <row r="238" spans="1:16" x14ac:dyDescent="0.25">
      <c r="A238" s="17">
        <f t="shared" si="21"/>
        <v>236</v>
      </c>
      <c r="B238" s="17">
        <f t="shared" si="22"/>
        <v>20</v>
      </c>
      <c r="C238" s="23">
        <f>MAX(Model_30y!V238, Model_15y!V238)</f>
        <v>6868.327751902043</v>
      </c>
      <c r="D238" s="2">
        <f>D226*(1+Assumptions!$D$52)</f>
        <v>-5536.7873338867967</v>
      </c>
      <c r="E238" s="2">
        <f>E226+(E226*Assumptions!$D$52)</f>
        <v>-46.206860914149516</v>
      </c>
      <c r="F238" s="22">
        <f t="shared" si="23"/>
        <v>1285.3335571010969</v>
      </c>
      <c r="G238" s="5">
        <f t="shared" si="24"/>
        <v>1399074.2824472354</v>
      </c>
      <c r="H238" s="5">
        <f t="shared" si="25"/>
        <v>1285.3335571010969</v>
      </c>
      <c r="I238" s="3">
        <f>Assumptions!$E$45</f>
        <v>6.9899151946608562E-3</v>
      </c>
      <c r="J238" s="5">
        <f t="shared" si="26"/>
        <v>1410139.0265896737</v>
      </c>
      <c r="K238" s="5">
        <f>J238*Assumptions!$E$43</f>
        <v>1262.8859630410122</v>
      </c>
      <c r="L238" s="5">
        <f>K238*Assumptions!$D$44*-1</f>
        <v>-189.43289445615184</v>
      </c>
      <c r="M238" s="2">
        <f>J238*Assumptions!$E$46*-1</f>
        <v>-46.996018905106204</v>
      </c>
      <c r="N238" s="5">
        <f t="shared" si="27"/>
        <v>1409902.5976763126</v>
      </c>
      <c r="O238" s="88">
        <f>Assumptions!$D$30</f>
        <v>2756</v>
      </c>
      <c r="P238" s="23">
        <f>(Model_Renter[[#This Row],[Monthly Investment]]*-1)+Model_Renter[[#This Row],[Less Renter''s Insurance]]</f>
        <v>-1331.5404180152464</v>
      </c>
    </row>
    <row r="239" spans="1:16" x14ac:dyDescent="0.25">
      <c r="A239" s="17">
        <f t="shared" ref="A239:A302" si="28">A238+1</f>
        <v>237</v>
      </c>
      <c r="B239" s="17">
        <f t="shared" si="22"/>
        <v>20</v>
      </c>
      <c r="C239" s="23">
        <f>MAX(Model_30y!V239, Model_15y!V239)</f>
        <v>6881.3879525732482</v>
      </c>
      <c r="D239" s="2">
        <f>D227*(1+Assumptions!$D$52)</f>
        <v>-5536.7873338867967</v>
      </c>
      <c r="E239" s="2">
        <f>E227+(E227*Assumptions!$D$52)</f>
        <v>-46.206860914149516</v>
      </c>
      <c r="F239" s="22">
        <f t="shared" si="23"/>
        <v>1298.393757772302</v>
      </c>
      <c r="G239" s="5">
        <f t="shared" si="24"/>
        <v>1409902.5976763126</v>
      </c>
      <c r="H239" s="5">
        <f t="shared" si="25"/>
        <v>1298.393757772302</v>
      </c>
      <c r="I239" s="3">
        <f>Assumptions!$E$45</f>
        <v>6.9899151946608562E-3</v>
      </c>
      <c r="J239" s="5">
        <f t="shared" si="26"/>
        <v>1421056.0910245744</v>
      </c>
      <c r="K239" s="5">
        <f>J239*Assumptions!$E$43</f>
        <v>1272.663018474896</v>
      </c>
      <c r="L239" s="5">
        <f>K239*Assumptions!$D$44*-1</f>
        <v>-190.89945277123439</v>
      </c>
      <c r="M239" s="2">
        <f>J239*Assumptions!$E$46*-1</f>
        <v>-47.359854354587839</v>
      </c>
      <c r="N239" s="5">
        <f t="shared" si="27"/>
        <v>1420817.8317174485</v>
      </c>
      <c r="O239" s="88">
        <f>Assumptions!$D$30</f>
        <v>2756</v>
      </c>
      <c r="P239" s="23">
        <f>(Model_Renter[[#This Row],[Monthly Investment]]*-1)+Model_Renter[[#This Row],[Less Renter''s Insurance]]</f>
        <v>-1344.6006186864515</v>
      </c>
    </row>
    <row r="240" spans="1:16" x14ac:dyDescent="0.25">
      <c r="A240" s="17">
        <f t="shared" si="28"/>
        <v>238</v>
      </c>
      <c r="B240" s="17">
        <f t="shared" si="22"/>
        <v>20</v>
      </c>
      <c r="C240" s="23">
        <f>MAX(Model_30y!V240, Model_15y!V240)</f>
        <v>6894.5013621186272</v>
      </c>
      <c r="D240" s="2">
        <f>D228*(1+Assumptions!$D$52)</f>
        <v>-5536.7873338867967</v>
      </c>
      <c r="E240" s="2">
        <f>E228+(E228*Assumptions!$D$52)</f>
        <v>-46.206860914149516</v>
      </c>
      <c r="F240" s="22">
        <f t="shared" si="23"/>
        <v>1311.507167317681</v>
      </c>
      <c r="G240" s="5">
        <f t="shared" si="24"/>
        <v>1420817.8317174485</v>
      </c>
      <c r="H240" s="5">
        <f t="shared" si="25"/>
        <v>1311.507167317681</v>
      </c>
      <c r="I240" s="3">
        <f>Assumptions!$E$45</f>
        <v>6.9899151946608562E-3</v>
      </c>
      <c r="J240" s="5">
        <f t="shared" si="26"/>
        <v>1432060.7350355331</v>
      </c>
      <c r="K240" s="5">
        <f>J240*Assumptions!$E$43</f>
        <v>1282.5185080313504</v>
      </c>
      <c r="L240" s="5">
        <f>K240*Assumptions!$D$44*-1</f>
        <v>-192.37777620470254</v>
      </c>
      <c r="M240" s="2">
        <f>J240*Assumptions!$E$46*-1</f>
        <v>-47.726608588199639</v>
      </c>
      <c r="N240" s="5">
        <f t="shared" si="27"/>
        <v>1431820.6306507401</v>
      </c>
      <c r="O240" s="88">
        <f>Assumptions!$D$30</f>
        <v>2756</v>
      </c>
      <c r="P240" s="23">
        <f>(Model_Renter[[#This Row],[Monthly Investment]]*-1)+Model_Renter[[#This Row],[Less Renter''s Insurance]]</f>
        <v>-1357.7140282318305</v>
      </c>
    </row>
    <row r="241" spans="1:16" x14ac:dyDescent="0.25">
      <c r="A241" s="17">
        <f t="shared" si="28"/>
        <v>239</v>
      </c>
      <c r="B241" s="17">
        <f t="shared" si="22"/>
        <v>20</v>
      </c>
      <c r="C241" s="23">
        <f>MAX(Model_30y!V241, Model_15y!V241)</f>
        <v>6907.6681973177201</v>
      </c>
      <c r="D241" s="2">
        <f>D229*(1+Assumptions!$D$52)</f>
        <v>-5536.7873338867967</v>
      </c>
      <c r="E241" s="2">
        <f>E229+(E229*Assumptions!$D$52)</f>
        <v>-46.206860914149516</v>
      </c>
      <c r="F241" s="22">
        <f t="shared" si="23"/>
        <v>1324.674002516774</v>
      </c>
      <c r="G241" s="5">
        <f t="shared" si="24"/>
        <v>1431820.6306507401</v>
      </c>
      <c r="H241" s="5">
        <f t="shared" si="25"/>
        <v>1324.674002516774</v>
      </c>
      <c r="I241" s="3">
        <f>Assumptions!$E$45</f>
        <v>6.9899151946608562E-3</v>
      </c>
      <c r="J241" s="5">
        <f t="shared" si="26"/>
        <v>1443153.6094354715</v>
      </c>
      <c r="K241" s="5">
        <f>J241*Assumptions!$E$43</f>
        <v>1292.4530145624824</v>
      </c>
      <c r="L241" s="5">
        <f>K241*Assumptions!$D$44*-1</f>
        <v>-193.86795218437234</v>
      </c>
      <c r="M241" s="2">
        <f>J241*Assumptions!$E$46*-1</f>
        <v>-48.09630329572947</v>
      </c>
      <c r="N241" s="5">
        <f t="shared" si="27"/>
        <v>1442911.6451799914</v>
      </c>
      <c r="O241" s="88">
        <f>Assumptions!$D$30</f>
        <v>2756</v>
      </c>
      <c r="P241" s="23">
        <f>(Model_Renter[[#This Row],[Monthly Investment]]*-1)+Model_Renter[[#This Row],[Less Renter''s Insurance]]</f>
        <v>-1370.8808634309235</v>
      </c>
    </row>
    <row r="242" spans="1:16" x14ac:dyDescent="0.25">
      <c r="A242" s="17">
        <f t="shared" si="28"/>
        <v>240</v>
      </c>
      <c r="B242" s="17">
        <f t="shared" si="22"/>
        <v>20</v>
      </c>
      <c r="C242" s="23">
        <f>MAX(Model_30y!V242, Model_15y!V242)</f>
        <v>6920.8886758332519</v>
      </c>
      <c r="D242" s="2">
        <f>D230*(1+Assumptions!$D$52)</f>
        <v>-5536.7873338867967</v>
      </c>
      <c r="E242" s="2">
        <f>E230+(E230*Assumptions!$D$52)</f>
        <v>-46.206860914149516</v>
      </c>
      <c r="F242" s="22">
        <f t="shared" si="23"/>
        <v>1337.8944810323057</v>
      </c>
      <c r="G242" s="5">
        <f t="shared" si="24"/>
        <v>1442911.6451799914</v>
      </c>
      <c r="H242" s="5">
        <f t="shared" si="25"/>
        <v>1337.8944810323057</v>
      </c>
      <c r="I242" s="3">
        <f>Assumptions!$E$45</f>
        <v>6.9899151946608562E-3</v>
      </c>
      <c r="J242" s="5">
        <f t="shared" si="26"/>
        <v>1454335.3696942204</v>
      </c>
      <c r="K242" s="5">
        <f>J242*Assumptions!$E$43</f>
        <v>1302.467125091013</v>
      </c>
      <c r="L242" s="5">
        <f>K242*Assumptions!$D$44*-1</f>
        <v>-195.37006876365194</v>
      </c>
      <c r="M242" s="2">
        <f>J242*Assumptions!$E$46*-1</f>
        <v>-48.468960322167078</v>
      </c>
      <c r="N242" s="5">
        <f t="shared" si="27"/>
        <v>1454091.5306651345</v>
      </c>
      <c r="O242" s="88">
        <f>Assumptions!$D$30</f>
        <v>2756</v>
      </c>
      <c r="P242" s="23">
        <f>(Model_Renter[[#This Row],[Monthly Investment]]*-1)+Model_Renter[[#This Row],[Less Renter''s Insurance]]</f>
        <v>-1384.1013419464552</v>
      </c>
    </row>
    <row r="243" spans="1:16" x14ac:dyDescent="0.25">
      <c r="A243" s="17">
        <f t="shared" si="28"/>
        <v>241</v>
      </c>
      <c r="B243" s="17">
        <f t="shared" si="22"/>
        <v>21</v>
      </c>
      <c r="C243" s="23">
        <f>MAX(Model_30y!V243, Model_15y!V243)</f>
        <v>6975.2154279304432</v>
      </c>
      <c r="D243" s="2">
        <f>D231*(1+Assumptions!$D$52)</f>
        <v>-5743.8631801741631</v>
      </c>
      <c r="E243" s="2">
        <f>E231+(E231*Assumptions!$D$52)</f>
        <v>-47.934997512338711</v>
      </c>
      <c r="F243" s="22">
        <f t="shared" si="23"/>
        <v>1183.4172502439415</v>
      </c>
      <c r="G243" s="5">
        <f t="shared" si="24"/>
        <v>1454091.5306651345</v>
      </c>
      <c r="H243" s="5">
        <f t="shared" si="25"/>
        <v>1183.4172502439415</v>
      </c>
      <c r="I243" s="3">
        <f>Assumptions!$E$45</f>
        <v>6.9899151946608562E-3</v>
      </c>
      <c r="J243" s="5">
        <f t="shared" si="26"/>
        <v>1465438.9244000025</v>
      </c>
      <c r="K243" s="5">
        <f>J243*Assumptions!$E$43</f>
        <v>1312.4111966423854</v>
      </c>
      <c r="L243" s="5">
        <f>K243*Assumptions!$D$44*-1</f>
        <v>-196.86167949635782</v>
      </c>
      <c r="M243" s="2">
        <f>J243*Assumptions!$E$46*-1</f>
        <v>-48.839010974639841</v>
      </c>
      <c r="N243" s="5">
        <f t="shared" si="27"/>
        <v>1465193.2237095314</v>
      </c>
      <c r="O243" s="88">
        <f>Assumptions!$D$30</f>
        <v>2756</v>
      </c>
      <c r="P243" s="23">
        <f>(Model_Renter[[#This Row],[Monthly Investment]]*-1)+Model_Renter[[#This Row],[Less Renter''s Insurance]]</f>
        <v>-1231.3522477562801</v>
      </c>
    </row>
    <row r="244" spans="1:16" x14ac:dyDescent="0.25">
      <c r="A244" s="17">
        <f t="shared" si="28"/>
        <v>242</v>
      </c>
      <c r="B244" s="17">
        <f t="shared" si="22"/>
        <v>21</v>
      </c>
      <c r="C244" s="23">
        <f>MAX(Model_30y!V244, Model_15y!V244)</f>
        <v>6988.5438496177867</v>
      </c>
      <c r="D244" s="2">
        <f>D232*(1+Assumptions!$D$52)</f>
        <v>-5743.8631801741631</v>
      </c>
      <c r="E244" s="2">
        <f>E232+(E232*Assumptions!$D$52)</f>
        <v>-47.934997512338711</v>
      </c>
      <c r="F244" s="22">
        <f t="shared" si="23"/>
        <v>1196.745671931285</v>
      </c>
      <c r="G244" s="5">
        <f t="shared" si="24"/>
        <v>1465193.2237095314</v>
      </c>
      <c r="H244" s="5">
        <f t="shared" si="25"/>
        <v>1196.745671931285</v>
      </c>
      <c r="I244" s="3">
        <f>Assumptions!$E$45</f>
        <v>6.9899151946608562E-3</v>
      </c>
      <c r="J244" s="5">
        <f t="shared" si="26"/>
        <v>1476631.5457589838</v>
      </c>
      <c r="K244" s="5">
        <f>J244*Assumptions!$E$43</f>
        <v>1322.4350341061815</v>
      </c>
      <c r="L244" s="5">
        <f>K244*Assumptions!$D$44*-1</f>
        <v>-198.36525511592723</v>
      </c>
      <c r="M244" s="2">
        <f>J244*Assumptions!$E$46*-1</f>
        <v>-49.212029971395431</v>
      </c>
      <c r="N244" s="5">
        <f t="shared" si="27"/>
        <v>1476383.9684738964</v>
      </c>
      <c r="O244" s="88">
        <f>Assumptions!$D$30</f>
        <v>2756</v>
      </c>
      <c r="P244" s="23">
        <f>(Model_Renter[[#This Row],[Monthly Investment]]*-1)+Model_Renter[[#This Row],[Less Renter''s Insurance]]</f>
        <v>-1244.6806694436236</v>
      </c>
    </row>
    <row r="245" spans="1:16" x14ac:dyDescent="0.25">
      <c r="A245" s="17">
        <f t="shared" si="28"/>
        <v>243</v>
      </c>
      <c r="B245" s="17">
        <f t="shared" si="22"/>
        <v>21</v>
      </c>
      <c r="C245" s="23">
        <f>MAX(Model_30y!V245, Model_15y!V245)</f>
        <v>7001.9265729449271</v>
      </c>
      <c r="D245" s="2">
        <f>D233*(1+Assumptions!$D$52)</f>
        <v>-5743.8631801741631</v>
      </c>
      <c r="E245" s="2">
        <f>E233+(E233*Assumptions!$D$52)</f>
        <v>-47.934997512338711</v>
      </c>
      <c r="F245" s="22">
        <f t="shared" si="23"/>
        <v>1210.1283952584254</v>
      </c>
      <c r="G245" s="5">
        <f t="shared" si="24"/>
        <v>1476383.9684738964</v>
      </c>
      <c r="H245" s="5">
        <f t="shared" si="25"/>
        <v>1210.1283952584254</v>
      </c>
      <c r="I245" s="3">
        <f>Assumptions!$E$45</f>
        <v>6.9899151946608562E-3</v>
      </c>
      <c r="J245" s="5">
        <f t="shared" si="26"/>
        <v>1487913.8956035443</v>
      </c>
      <c r="K245" s="5">
        <f>J245*Assumptions!$E$43</f>
        <v>1332.5392302032658</v>
      </c>
      <c r="L245" s="5">
        <f>K245*Assumptions!$D$44*-1</f>
        <v>-199.88088453048985</v>
      </c>
      <c r="M245" s="2">
        <f>J245*Assumptions!$E$46*-1</f>
        <v>-49.588039369469676</v>
      </c>
      <c r="N245" s="5">
        <f t="shared" si="27"/>
        <v>1487664.4266796443</v>
      </c>
      <c r="O245" s="88">
        <f>Assumptions!$D$30</f>
        <v>2756</v>
      </c>
      <c r="P245" s="23">
        <f>(Model_Renter[[#This Row],[Monthly Investment]]*-1)+Model_Renter[[#This Row],[Less Renter''s Insurance]]</f>
        <v>-1258.063392770764</v>
      </c>
    </row>
    <row r="246" spans="1:16" x14ac:dyDescent="0.25">
      <c r="A246" s="17">
        <f t="shared" si="28"/>
        <v>244</v>
      </c>
      <c r="B246" s="17">
        <f t="shared" si="22"/>
        <v>21</v>
      </c>
      <c r="C246" s="23">
        <f>MAX(Model_30y!V246, Model_15y!V246)</f>
        <v>7015.3638191434638</v>
      </c>
      <c r="D246" s="2">
        <f>D234*(1+Assumptions!$D$52)</f>
        <v>-5743.8631801741631</v>
      </c>
      <c r="E246" s="2">
        <f>E234+(E234*Assumptions!$D$52)</f>
        <v>-47.934997512338711</v>
      </c>
      <c r="F246" s="22">
        <f t="shared" si="23"/>
        <v>1223.5656414569621</v>
      </c>
      <c r="G246" s="5">
        <f t="shared" si="24"/>
        <v>1487664.4266796443</v>
      </c>
      <c r="H246" s="5">
        <f t="shared" si="25"/>
        <v>1223.5656414569621</v>
      </c>
      <c r="I246" s="3">
        <f>Assumptions!$E$45</f>
        <v>6.9899151946608562E-3</v>
      </c>
      <c r="J246" s="5">
        <f t="shared" si="26"/>
        <v>1499286.6405017057</v>
      </c>
      <c r="K246" s="5">
        <f>J246*Assumptions!$E$43</f>
        <v>1342.7243818956267</v>
      </c>
      <c r="L246" s="5">
        <f>K246*Assumptions!$D$44*-1</f>
        <v>-201.408657284344</v>
      </c>
      <c r="M246" s="2">
        <f>J246*Assumptions!$E$46*-1</f>
        <v>-49.967061383724207</v>
      </c>
      <c r="N246" s="5">
        <f t="shared" si="27"/>
        <v>1499035.2647830376</v>
      </c>
      <c r="O246" s="88">
        <f>Assumptions!$D$30</f>
        <v>2756</v>
      </c>
      <c r="P246" s="23">
        <f>(Model_Renter[[#This Row],[Monthly Investment]]*-1)+Model_Renter[[#This Row],[Less Renter''s Insurance]]</f>
        <v>-1271.5006389693008</v>
      </c>
    </row>
    <row r="247" spans="1:16" x14ac:dyDescent="0.25">
      <c r="A247" s="17">
        <f t="shared" si="28"/>
        <v>245</v>
      </c>
      <c r="B247" s="17">
        <f t="shared" si="22"/>
        <v>21</v>
      </c>
      <c r="C247" s="23">
        <f>MAX(Model_30y!V247, Model_15y!V247)</f>
        <v>7028.8558103463238</v>
      </c>
      <c r="D247" s="2">
        <f>D235*(1+Assumptions!$D$52)</f>
        <v>-5743.8631801741631</v>
      </c>
      <c r="E247" s="2">
        <f>E235+(E235*Assumptions!$D$52)</f>
        <v>-47.934997512338711</v>
      </c>
      <c r="F247" s="22">
        <f t="shared" si="23"/>
        <v>1237.057632659822</v>
      </c>
      <c r="G247" s="5">
        <f t="shared" si="24"/>
        <v>1499035.2647830376</v>
      </c>
      <c r="H247" s="5">
        <f t="shared" si="25"/>
        <v>1237.057632659822</v>
      </c>
      <c r="I247" s="3">
        <f>Assumptions!$E$45</f>
        <v>6.9899151946608562E-3</v>
      </c>
      <c r="J247" s="5">
        <f t="shared" si="26"/>
        <v>1510750.4517903368</v>
      </c>
      <c r="K247" s="5">
        <f>J247*Assumptions!$E$43</f>
        <v>1352.9910904161165</v>
      </c>
      <c r="L247" s="5">
        <f>K247*Assumptions!$D$44*-1</f>
        <v>-202.94866356241747</v>
      </c>
      <c r="M247" s="2">
        <f>J247*Assumptions!$E$46*-1</f>
        <v>-50.349118387953084</v>
      </c>
      <c r="N247" s="5">
        <f t="shared" si="27"/>
        <v>1510497.1540083864</v>
      </c>
      <c r="O247" s="88">
        <f>Assumptions!$D$30</f>
        <v>2756</v>
      </c>
      <c r="P247" s="23">
        <f>(Model_Renter[[#This Row],[Monthly Investment]]*-1)+Model_Renter[[#This Row],[Less Renter''s Insurance]]</f>
        <v>-1284.9926301721607</v>
      </c>
    </row>
    <row r="248" spans="1:16" x14ac:dyDescent="0.25">
      <c r="A248" s="17">
        <f t="shared" si="28"/>
        <v>246</v>
      </c>
      <c r="B248" s="17">
        <f t="shared" si="22"/>
        <v>21</v>
      </c>
      <c r="C248" s="23">
        <f>MAX(Model_30y!V248, Model_15y!V248)</f>
        <v>7042.4027695914319</v>
      </c>
      <c r="D248" s="2">
        <f>D236*(1+Assumptions!$D$52)</f>
        <v>-5743.8631801741631</v>
      </c>
      <c r="E248" s="2">
        <f>E236+(E236*Assumptions!$D$52)</f>
        <v>-47.934997512338711</v>
      </c>
      <c r="F248" s="22">
        <f t="shared" si="23"/>
        <v>1250.6045919049302</v>
      </c>
      <c r="G248" s="5">
        <f t="shared" si="24"/>
        <v>1510497.1540083864</v>
      </c>
      <c r="H248" s="5">
        <f t="shared" si="25"/>
        <v>1250.6045919049302</v>
      </c>
      <c r="I248" s="3">
        <f>Assumptions!$E$45</f>
        <v>6.9899151946608562E-3</v>
      </c>
      <c r="J248" s="5">
        <f t="shared" si="26"/>
        <v>1522306.0056085866</v>
      </c>
      <c r="K248" s="5">
        <f>J248*Assumptions!$E$43</f>
        <v>1363.339961298391</v>
      </c>
      <c r="L248" s="5">
        <f>K248*Assumptions!$D$44*-1</f>
        <v>-204.50099419475865</v>
      </c>
      <c r="M248" s="2">
        <f>J248*Assumptions!$E$46*-1</f>
        <v>-50.734232915997033</v>
      </c>
      <c r="N248" s="5">
        <f t="shared" si="27"/>
        <v>1522050.7703814758</v>
      </c>
      <c r="O248" s="88">
        <f>Assumptions!$D$30</f>
        <v>2756</v>
      </c>
      <c r="P248" s="23">
        <f>(Model_Renter[[#This Row],[Monthly Investment]]*-1)+Model_Renter[[#This Row],[Less Renter''s Insurance]]</f>
        <v>-1298.5395894172689</v>
      </c>
    </row>
    <row r="249" spans="1:16" x14ac:dyDescent="0.25">
      <c r="A249" s="17">
        <f t="shared" si="28"/>
        <v>247</v>
      </c>
      <c r="B249" s="17">
        <f t="shared" si="22"/>
        <v>21</v>
      </c>
      <c r="C249" s="23">
        <f>MAX(Model_30y!V249, Model_15y!V249)</f>
        <v>7056.0049208253968</v>
      </c>
      <c r="D249" s="2">
        <f>D237*(1+Assumptions!$D$52)</f>
        <v>-5743.8631801741631</v>
      </c>
      <c r="E249" s="2">
        <f>E237+(E237*Assumptions!$D$52)</f>
        <v>-47.934997512338711</v>
      </c>
      <c r="F249" s="22">
        <f t="shared" si="23"/>
        <v>1264.206743138895</v>
      </c>
      <c r="G249" s="5">
        <f t="shared" si="24"/>
        <v>1522050.7703814758</v>
      </c>
      <c r="H249" s="5">
        <f t="shared" si="25"/>
        <v>1264.206743138895</v>
      </c>
      <c r="I249" s="3">
        <f>Assumptions!$E$45</f>
        <v>6.9899151946608562E-3</v>
      </c>
      <c r="J249" s="5">
        <f t="shared" si="26"/>
        <v>1533953.9829315494</v>
      </c>
      <c r="K249" s="5">
        <f>J249*Assumptions!$E$43</f>
        <v>1373.7716044070603</v>
      </c>
      <c r="L249" s="5">
        <f>K249*Assumptions!$D$44*-1</f>
        <v>-206.06574066105904</v>
      </c>
      <c r="M249" s="2">
        <f>J249*Assumptions!$E$46*-1</f>
        <v>-51.12242766286542</v>
      </c>
      <c r="N249" s="5">
        <f t="shared" si="27"/>
        <v>1533696.7947632256</v>
      </c>
      <c r="O249" s="88">
        <f>Assumptions!$D$30</f>
        <v>2756</v>
      </c>
      <c r="P249" s="23">
        <f>(Model_Renter[[#This Row],[Monthly Investment]]*-1)+Model_Renter[[#This Row],[Less Renter''s Insurance]]</f>
        <v>-1312.1417406512337</v>
      </c>
    </row>
    <row r="250" spans="1:16" x14ac:dyDescent="0.25">
      <c r="A250" s="17">
        <f t="shared" si="28"/>
        <v>248</v>
      </c>
      <c r="B250" s="17">
        <f t="shared" si="22"/>
        <v>21</v>
      </c>
      <c r="C250" s="23">
        <f>MAX(Model_30y!V250, Model_15y!V250)</f>
        <v>7069.6624889072136</v>
      </c>
      <c r="D250" s="2">
        <f>D238*(1+Assumptions!$D$52)</f>
        <v>-5743.8631801741631</v>
      </c>
      <c r="E250" s="2">
        <f>E238+(E238*Assumptions!$D$52)</f>
        <v>-47.934997512338711</v>
      </c>
      <c r="F250" s="22">
        <f t="shared" si="23"/>
        <v>1277.8643112207119</v>
      </c>
      <c r="G250" s="5">
        <f t="shared" si="24"/>
        <v>1533696.7947632256</v>
      </c>
      <c r="H250" s="5">
        <f t="shared" si="25"/>
        <v>1277.8643112207119</v>
      </c>
      <c r="I250" s="3">
        <f>Assumptions!$E$45</f>
        <v>6.9899151946608562E-3</v>
      </c>
      <c r="J250" s="5">
        <f t="shared" si="26"/>
        <v>1545695.0696041645</v>
      </c>
      <c r="K250" s="5">
        <f>J250*Assumptions!$E$43</f>
        <v>1384.2866339680484</v>
      </c>
      <c r="L250" s="5">
        <f>K250*Assumptions!$D$44*-1</f>
        <v>-207.64299509520725</v>
      </c>
      <c r="M250" s="2">
        <f>J250*Assumptions!$E$46*-1</f>
        <v>-51.513725485866011</v>
      </c>
      <c r="N250" s="5">
        <f t="shared" si="27"/>
        <v>1545435.9128835835</v>
      </c>
      <c r="O250" s="88">
        <f>Assumptions!$D$30</f>
        <v>2756</v>
      </c>
      <c r="P250" s="23">
        <f>(Model_Renter[[#This Row],[Monthly Investment]]*-1)+Model_Renter[[#This Row],[Less Renter''s Insurance]]</f>
        <v>-1325.7993087330506</v>
      </c>
    </row>
    <row r="251" spans="1:16" x14ac:dyDescent="0.25">
      <c r="A251" s="17">
        <f t="shared" si="28"/>
        <v>249</v>
      </c>
      <c r="B251" s="17">
        <f t="shared" si="22"/>
        <v>21</v>
      </c>
      <c r="C251" s="23">
        <f>MAX(Model_30y!V251, Model_15y!V251)</f>
        <v>7083.3756996119791</v>
      </c>
      <c r="D251" s="2">
        <f>D239*(1+Assumptions!$D$52)</f>
        <v>-5743.8631801741631</v>
      </c>
      <c r="E251" s="2">
        <f>E239+(E239*Assumptions!$D$52)</f>
        <v>-47.934997512338711</v>
      </c>
      <c r="F251" s="22">
        <f t="shared" si="23"/>
        <v>1291.5775219254774</v>
      </c>
      <c r="G251" s="5">
        <f t="shared" si="24"/>
        <v>1545435.9128835835</v>
      </c>
      <c r="H251" s="5">
        <f t="shared" si="25"/>
        <v>1291.5775219254774</v>
      </c>
      <c r="I251" s="3">
        <f>Assumptions!$E$45</f>
        <v>6.9899151946608562E-3</v>
      </c>
      <c r="J251" s="5">
        <f t="shared" si="26"/>
        <v>1557529.9563753486</v>
      </c>
      <c r="K251" s="5">
        <f>J251*Assumptions!$E$43</f>
        <v>1394.8856685991616</v>
      </c>
      <c r="L251" s="5">
        <f>K251*Assumptions!$D$44*-1</f>
        <v>-209.23285028987422</v>
      </c>
      <c r="M251" s="2">
        <f>J251*Assumptions!$E$46*-1</f>
        <v>-51.908149405742535</v>
      </c>
      <c r="N251" s="5">
        <f t="shared" si="27"/>
        <v>1557268.8153756531</v>
      </c>
      <c r="O251" s="88">
        <f>Assumptions!$D$30</f>
        <v>2756</v>
      </c>
      <c r="P251" s="23">
        <f>(Model_Renter[[#This Row],[Monthly Investment]]*-1)+Model_Renter[[#This Row],[Less Renter''s Insurance]]</f>
        <v>-1339.5125194378161</v>
      </c>
    </row>
    <row r="252" spans="1:16" x14ac:dyDescent="0.25">
      <c r="A252" s="17">
        <f t="shared" si="28"/>
        <v>250</v>
      </c>
      <c r="B252" s="17">
        <f t="shared" si="22"/>
        <v>21</v>
      </c>
      <c r="C252" s="23">
        <f>MAX(Model_30y!V252, Model_15y!V252)</f>
        <v>7097.1447796346274</v>
      </c>
      <c r="D252" s="2">
        <f>D240*(1+Assumptions!$D$52)</f>
        <v>-5743.8631801741631</v>
      </c>
      <c r="E252" s="2">
        <f>E240+(E240*Assumptions!$D$52)</f>
        <v>-47.934997512338711</v>
      </c>
      <c r="F252" s="22">
        <f t="shared" si="23"/>
        <v>1305.3466019481257</v>
      </c>
      <c r="G252" s="5">
        <f t="shared" si="24"/>
        <v>1557268.8153756531</v>
      </c>
      <c r="H252" s="5">
        <f t="shared" si="25"/>
        <v>1305.3466019481257</v>
      </c>
      <c r="I252" s="3">
        <f>Assumptions!$E$45</f>
        <v>6.9899151946608562E-3</v>
      </c>
      <c r="J252" s="5">
        <f t="shared" si="26"/>
        <v>1569459.338932367</v>
      </c>
      <c r="K252" s="5">
        <f>J252*Assumptions!$E$43</f>
        <v>1405.5693313408699</v>
      </c>
      <c r="L252" s="5">
        <f>K252*Assumptions!$D$44*-1</f>
        <v>-210.83539970113048</v>
      </c>
      <c r="M252" s="2">
        <f>J252*Assumptions!$E$46*-1</f>
        <v>-52.305722607820158</v>
      </c>
      <c r="N252" s="5">
        <f t="shared" si="27"/>
        <v>1569196.197810058</v>
      </c>
      <c r="O252" s="88">
        <f>Assumptions!$D$30</f>
        <v>2756</v>
      </c>
      <c r="P252" s="23">
        <f>(Model_Renter[[#This Row],[Monthly Investment]]*-1)+Model_Renter[[#This Row],[Less Renter''s Insurance]]</f>
        <v>-1353.2815994604643</v>
      </c>
    </row>
    <row r="253" spans="1:16" x14ac:dyDescent="0.25">
      <c r="A253" s="17">
        <f t="shared" si="28"/>
        <v>251</v>
      </c>
      <c r="B253" s="17">
        <f t="shared" si="22"/>
        <v>21</v>
      </c>
      <c r="C253" s="23">
        <f>MAX(Model_30y!V253, Model_15y!V253)</f>
        <v>7110.9699565936753</v>
      </c>
      <c r="D253" s="2">
        <f>D241*(1+Assumptions!$D$52)</f>
        <v>-5743.8631801741631</v>
      </c>
      <c r="E253" s="2">
        <f>E241+(E241*Assumptions!$D$52)</f>
        <v>-47.934997512338711</v>
      </c>
      <c r="F253" s="22">
        <f t="shared" si="23"/>
        <v>1319.1717789071736</v>
      </c>
      <c r="G253" s="5">
        <f t="shared" si="24"/>
        <v>1569196.197810058</v>
      </c>
      <c r="H253" s="5">
        <f t="shared" si="25"/>
        <v>1319.1717789071736</v>
      </c>
      <c r="I253" s="3">
        <f>Assumptions!$E$45</f>
        <v>6.9899151946608562E-3</v>
      </c>
      <c r="J253" s="5">
        <f t="shared" si="26"/>
        <v>1581483.9179354417</v>
      </c>
      <c r="K253" s="5">
        <f>J253*Assumptions!$E$43</f>
        <v>1416.3382496873014</v>
      </c>
      <c r="L253" s="5">
        <f>K253*Assumptions!$D$44*-1</f>
        <v>-212.4507374530952</v>
      </c>
      <c r="M253" s="2">
        <f>J253*Assumptions!$E$46*-1</f>
        <v>-52.706468443158897</v>
      </c>
      <c r="N253" s="5">
        <f t="shared" si="27"/>
        <v>1581218.7607295455</v>
      </c>
      <c r="O253" s="88">
        <f>Assumptions!$D$30</f>
        <v>2756</v>
      </c>
      <c r="P253" s="23">
        <f>(Model_Renter[[#This Row],[Monthly Investment]]*-1)+Model_Renter[[#This Row],[Less Renter''s Insurance]]</f>
        <v>-1367.1067764195122</v>
      </c>
    </row>
    <row r="254" spans="1:16" x14ac:dyDescent="0.25">
      <c r="A254" s="17">
        <f t="shared" si="28"/>
        <v>252</v>
      </c>
      <c r="B254" s="17">
        <f t="shared" si="22"/>
        <v>21</v>
      </c>
      <c r="C254" s="23">
        <f>MAX(Model_30y!V254, Model_15y!V254)</f>
        <v>7124.8514590349823</v>
      </c>
      <c r="D254" s="2">
        <f>D242*(1+Assumptions!$D$52)</f>
        <v>-5743.8631801741631</v>
      </c>
      <c r="E254" s="2">
        <f>E242+(E242*Assumptions!$D$52)</f>
        <v>-47.934997512338711</v>
      </c>
      <c r="F254" s="22">
        <f t="shared" si="23"/>
        <v>1333.0532813484806</v>
      </c>
      <c r="G254" s="5">
        <f t="shared" si="24"/>
        <v>1581218.7607295455</v>
      </c>
      <c r="H254" s="5">
        <f t="shared" si="25"/>
        <v>1333.0532813484806</v>
      </c>
      <c r="I254" s="3">
        <f>Assumptions!$E$45</f>
        <v>6.9899151946608562E-3</v>
      </c>
      <c r="J254" s="5">
        <f t="shared" si="26"/>
        <v>1593604.3990526001</v>
      </c>
      <c r="K254" s="5">
        <f>J254*Assumptions!$E$43</f>
        <v>1427.1930556174525</v>
      </c>
      <c r="L254" s="5">
        <f>K254*Assumptions!$D$44*-1</f>
        <v>-214.07895834261788</v>
      </c>
      <c r="M254" s="2">
        <f>J254*Assumptions!$E$46*-1</f>
        <v>-53.110410429715031</v>
      </c>
      <c r="N254" s="5">
        <f t="shared" si="27"/>
        <v>1593337.2096838278</v>
      </c>
      <c r="O254" s="88">
        <f>Assumptions!$D$30</f>
        <v>2756</v>
      </c>
      <c r="P254" s="23">
        <f>(Model_Renter[[#This Row],[Monthly Investment]]*-1)+Model_Renter[[#This Row],[Less Renter''s Insurance]]</f>
        <v>-1380.9882788608193</v>
      </c>
    </row>
    <row r="255" spans="1:16" x14ac:dyDescent="0.25">
      <c r="A255" s="17">
        <f t="shared" si="28"/>
        <v>253</v>
      </c>
      <c r="B255" s="17">
        <f t="shared" si="22"/>
        <v>22</v>
      </c>
      <c r="C255" s="23">
        <f>MAX(Model_30y!V255, Model_15y!V255)</f>
        <v>7181.8945487370329</v>
      </c>
      <c r="D255" s="2">
        <f>D243*(1+Assumptions!$D$52)</f>
        <v>-5958.6836631126771</v>
      </c>
      <c r="E255" s="2">
        <f>E243+(E243*Assumptions!$D$52)</f>
        <v>-49.727766419300181</v>
      </c>
      <c r="F255" s="22">
        <f t="shared" si="23"/>
        <v>1173.4831192050556</v>
      </c>
      <c r="G255" s="5">
        <f t="shared" si="24"/>
        <v>1593337.2096838278</v>
      </c>
      <c r="H255" s="5">
        <f t="shared" si="25"/>
        <v>1173.4831192050556</v>
      </c>
      <c r="I255" s="3">
        <f>Assumptions!$E$45</f>
        <v>6.9899151946608562E-3</v>
      </c>
      <c r="J255" s="5">
        <f t="shared" si="26"/>
        <v>1605647.9847752205</v>
      </c>
      <c r="K255" s="5">
        <f>J255*Assumptions!$E$43</f>
        <v>1437.9789959162342</v>
      </c>
      <c r="L255" s="5">
        <f>K255*Assumptions!$D$44*-1</f>
        <v>-215.69684938743512</v>
      </c>
      <c r="M255" s="2">
        <f>J255*Assumptions!$E$46*-1</f>
        <v>-53.511789706249466</v>
      </c>
      <c r="N255" s="5">
        <f t="shared" si="27"/>
        <v>1605378.7761361268</v>
      </c>
      <c r="O255" s="88">
        <f>Assumptions!$D$30</f>
        <v>2756</v>
      </c>
      <c r="P255" s="23">
        <f>(Model_Renter[[#This Row],[Monthly Investment]]*-1)+Model_Renter[[#This Row],[Less Renter''s Insurance]]</f>
        <v>-1223.2108856243558</v>
      </c>
    </row>
    <row r="256" spans="1:16" x14ac:dyDescent="0.25">
      <c r="A256" s="17">
        <f t="shared" si="28"/>
        <v>254</v>
      </c>
      <c r="B256" s="17">
        <f t="shared" si="22"/>
        <v>22</v>
      </c>
      <c r="C256" s="23">
        <f>MAX(Model_30y!V256, Model_15y!V256)</f>
        <v>7195.8893915087447</v>
      </c>
      <c r="D256" s="2">
        <f>D244*(1+Assumptions!$D$52)</f>
        <v>-5958.6836631126771</v>
      </c>
      <c r="E256" s="2">
        <f>E244+(E244*Assumptions!$D$52)</f>
        <v>-49.727766419300181</v>
      </c>
      <c r="F256" s="22">
        <f t="shared" si="23"/>
        <v>1187.4779619767673</v>
      </c>
      <c r="G256" s="5">
        <f t="shared" si="24"/>
        <v>1605378.7761361268</v>
      </c>
      <c r="H256" s="5">
        <f t="shared" si="25"/>
        <v>1187.4779619767673</v>
      </c>
      <c r="I256" s="3">
        <f>Assumptions!$E$45</f>
        <v>6.9899151946608562E-3</v>
      </c>
      <c r="J256" s="5">
        <f t="shared" si="26"/>
        <v>1617787.7155986035</v>
      </c>
      <c r="K256" s="5">
        <f>J256*Assumptions!$E$43</f>
        <v>1448.8510414116517</v>
      </c>
      <c r="L256" s="5">
        <f>K256*Assumptions!$D$44*-1</f>
        <v>-217.32765621174775</v>
      </c>
      <c r="M256" s="2">
        <f>J256*Assumptions!$E$46*-1</f>
        <v>-53.916373232072708</v>
      </c>
      <c r="N256" s="5">
        <f t="shared" si="27"/>
        <v>1617516.4715691598</v>
      </c>
      <c r="O256" s="88">
        <f>Assumptions!$D$30</f>
        <v>2756</v>
      </c>
      <c r="P256" s="23">
        <f>(Model_Renter[[#This Row],[Monthly Investment]]*-1)+Model_Renter[[#This Row],[Less Renter''s Insurance]]</f>
        <v>-1237.2057283960676</v>
      </c>
    </row>
    <row r="257" spans="1:16" x14ac:dyDescent="0.25">
      <c r="A257" s="17">
        <f t="shared" si="28"/>
        <v>255</v>
      </c>
      <c r="B257" s="17">
        <f t="shared" si="22"/>
        <v>22</v>
      </c>
      <c r="C257" s="23">
        <f>MAX(Model_30y!V257, Model_15y!V257)</f>
        <v>7209.9412510022412</v>
      </c>
      <c r="D257" s="2">
        <f>D245*(1+Assumptions!$D$52)</f>
        <v>-5958.6836631126771</v>
      </c>
      <c r="E257" s="2">
        <f>E245+(E245*Assumptions!$D$52)</f>
        <v>-49.727766419300181</v>
      </c>
      <c r="F257" s="22">
        <f t="shared" si="23"/>
        <v>1201.5298214702639</v>
      </c>
      <c r="G257" s="5">
        <f t="shared" si="24"/>
        <v>1617516.4715691598</v>
      </c>
      <c r="H257" s="5">
        <f t="shared" si="25"/>
        <v>1201.5298214702639</v>
      </c>
      <c r="I257" s="3">
        <f>Assumptions!$E$45</f>
        <v>6.9899151946608562E-3</v>
      </c>
      <c r="J257" s="5">
        <f t="shared" si="26"/>
        <v>1630024.3043528656</v>
      </c>
      <c r="K257" s="5">
        <f>J257*Assumptions!$E$43</f>
        <v>1459.8098304968926</v>
      </c>
      <c r="L257" s="5">
        <f>K257*Assumptions!$D$44*-1</f>
        <v>-218.97147457453389</v>
      </c>
      <c r="M257" s="2">
        <f>J257*Assumptions!$E$46*-1</f>
        <v>-54.324184763833571</v>
      </c>
      <c r="N257" s="5">
        <f t="shared" si="27"/>
        <v>1629751.0086935272</v>
      </c>
      <c r="O257" s="88">
        <f>Assumptions!$D$30</f>
        <v>2756</v>
      </c>
      <c r="P257" s="23">
        <f>(Model_Renter[[#This Row],[Monthly Investment]]*-1)+Model_Renter[[#This Row],[Less Renter''s Insurance]]</f>
        <v>-1251.2575878895641</v>
      </c>
    </row>
    <row r="258" spans="1:16" x14ac:dyDescent="0.25">
      <c r="A258" s="17">
        <f t="shared" si="28"/>
        <v>256</v>
      </c>
      <c r="B258" s="17">
        <f t="shared" si="22"/>
        <v>22</v>
      </c>
      <c r="C258" s="23">
        <f>MAX(Model_30y!V258, Model_15y!V258)</f>
        <v>7224.0503595107039</v>
      </c>
      <c r="D258" s="2">
        <f>D246*(1+Assumptions!$D$52)</f>
        <v>-5958.6836631126771</v>
      </c>
      <c r="E258" s="2">
        <f>E246+(E246*Assumptions!$D$52)</f>
        <v>-49.727766419300181</v>
      </c>
      <c r="F258" s="22">
        <f t="shared" si="23"/>
        <v>1215.6389299787265</v>
      </c>
      <c r="G258" s="5">
        <f t="shared" si="24"/>
        <v>1629751.0086935272</v>
      </c>
      <c r="H258" s="5">
        <f t="shared" si="25"/>
        <v>1215.6389299787265</v>
      </c>
      <c r="I258" s="3">
        <f>Assumptions!$E$45</f>
        <v>6.9899151946608562E-3</v>
      </c>
      <c r="J258" s="5">
        <f t="shared" si="26"/>
        <v>1642358.4689626866</v>
      </c>
      <c r="K258" s="5">
        <f>J258*Assumptions!$E$43</f>
        <v>1470.8560061277105</v>
      </c>
      <c r="L258" s="5">
        <f>K258*Assumptions!$D$44*-1</f>
        <v>-220.62840091915658</v>
      </c>
      <c r="M258" s="2">
        <f>J258*Assumptions!$E$46*-1</f>
        <v>-54.735248227968526</v>
      </c>
      <c r="N258" s="5">
        <f t="shared" si="27"/>
        <v>1642083.1053135395</v>
      </c>
      <c r="O258" s="88">
        <f>Assumptions!$D$30</f>
        <v>2756</v>
      </c>
      <c r="P258" s="23">
        <f>(Model_Renter[[#This Row],[Monthly Investment]]*-1)+Model_Renter[[#This Row],[Less Renter''s Insurance]]</f>
        <v>-1265.3666963980268</v>
      </c>
    </row>
    <row r="259" spans="1:16" x14ac:dyDescent="0.25">
      <c r="A259" s="17">
        <f t="shared" si="28"/>
        <v>257</v>
      </c>
      <c r="B259" s="17">
        <f t="shared" ref="B259:B322" si="29">ROUNDUP(A259/12, 0)</f>
        <v>22</v>
      </c>
      <c r="C259" s="23">
        <f>MAX(Model_30y!V259, Model_15y!V259)</f>
        <v>7238.216950273707</v>
      </c>
      <c r="D259" s="2">
        <f>D247*(1+Assumptions!$D$52)</f>
        <v>-5958.6836631126771</v>
      </c>
      <c r="E259" s="2">
        <f>E247+(E247*Assumptions!$D$52)</f>
        <v>-49.727766419300181</v>
      </c>
      <c r="F259" s="22">
        <f t="shared" ref="F259:F322" si="30">SUM(C259:E259)</f>
        <v>1229.8055207417297</v>
      </c>
      <c r="G259" s="5">
        <f t="shared" si="24"/>
        <v>1642083.1053135395</v>
      </c>
      <c r="H259" s="5">
        <f t="shared" si="25"/>
        <v>1229.8055207417297</v>
      </c>
      <c r="I259" s="3">
        <f>Assumptions!$E$45</f>
        <v>6.9899151946608562E-3</v>
      </c>
      <c r="J259" s="5">
        <f t="shared" si="26"/>
        <v>1654790.9324830081</v>
      </c>
      <c r="K259" s="5">
        <f>J259*Assumptions!$E$43</f>
        <v>1481.990215854396</v>
      </c>
      <c r="L259" s="5">
        <f>K259*Assumptions!$D$44*-1</f>
        <v>-222.29853237815939</v>
      </c>
      <c r="M259" s="2">
        <f>J259*Assumptions!$E$46*-1</f>
        <v>-55.149587721891407</v>
      </c>
      <c r="N259" s="5">
        <f t="shared" si="27"/>
        <v>1654513.4843629082</v>
      </c>
      <c r="O259" s="88">
        <f>Assumptions!$D$30</f>
        <v>2756</v>
      </c>
      <c r="P259" s="23">
        <f>(Model_Renter[[#This Row],[Monthly Investment]]*-1)+Model_Renter[[#This Row],[Less Renter''s Insurance]]</f>
        <v>-1279.5332871610299</v>
      </c>
    </row>
    <row r="260" spans="1:16" x14ac:dyDescent="0.25">
      <c r="A260" s="17">
        <f t="shared" si="28"/>
        <v>258</v>
      </c>
      <c r="B260" s="17">
        <f t="shared" si="29"/>
        <v>22</v>
      </c>
      <c r="C260" s="23">
        <f>MAX(Model_30y!V260, Model_15y!V260)</f>
        <v>7252.4412574810704</v>
      </c>
      <c r="D260" s="2">
        <f>D248*(1+Assumptions!$D$52)</f>
        <v>-5958.6836631126771</v>
      </c>
      <c r="E260" s="2">
        <f>E248+(E248*Assumptions!$D$52)</f>
        <v>-49.727766419300181</v>
      </c>
      <c r="F260" s="22">
        <f t="shared" si="30"/>
        <v>1244.029827949093</v>
      </c>
      <c r="G260" s="5">
        <f t="shared" ref="G260:G323" si="31">N259</f>
        <v>1654513.4843629082</v>
      </c>
      <c r="H260" s="5">
        <f t="shared" ref="H260:H323" si="32">F260</f>
        <v>1244.029827949093</v>
      </c>
      <c r="I260" s="3">
        <f>Assumptions!$E$45</f>
        <v>6.9899151946608562E-3</v>
      </c>
      <c r="J260" s="5">
        <f t="shared" ref="J260:J323" si="33">(G260+H260)+(G260*I260)</f>
        <v>1667322.4231349768</v>
      </c>
      <c r="K260" s="5">
        <f>J260*Assumptions!$E$43</f>
        <v>1493.213111853966</v>
      </c>
      <c r="L260" s="5">
        <f>K260*Assumptions!$D$44*-1</f>
        <v>-223.98196677809489</v>
      </c>
      <c r="M260" s="2">
        <f>J260*Assumptions!$E$46*-1</f>
        <v>-55.567227515191341</v>
      </c>
      <c r="N260" s="5">
        <f t="shared" ref="N260:N323" si="34">J260+SUM(L260:M260)</f>
        <v>1667042.8739406834</v>
      </c>
      <c r="O260" s="88">
        <f>Assumptions!$D$30</f>
        <v>2756</v>
      </c>
      <c r="P260" s="23">
        <f>(Model_Renter[[#This Row],[Monthly Investment]]*-1)+Model_Renter[[#This Row],[Less Renter''s Insurance]]</f>
        <v>-1293.7575943683933</v>
      </c>
    </row>
    <row r="261" spans="1:16" x14ac:dyDescent="0.25">
      <c r="A261" s="17">
        <f t="shared" si="28"/>
        <v>259</v>
      </c>
      <c r="B261" s="17">
        <f t="shared" si="29"/>
        <v>22</v>
      </c>
      <c r="C261" s="23">
        <f>MAX(Model_30y!V261, Model_15y!V261)</f>
        <v>7266.7235162767338</v>
      </c>
      <c r="D261" s="2">
        <f>D249*(1+Assumptions!$D$52)</f>
        <v>-5958.6836631126771</v>
      </c>
      <c r="E261" s="2">
        <f>E249+(E249*Assumptions!$D$52)</f>
        <v>-49.727766419300181</v>
      </c>
      <c r="F261" s="22">
        <f t="shared" si="30"/>
        <v>1258.3120867447565</v>
      </c>
      <c r="G261" s="5">
        <f t="shared" si="31"/>
        <v>1667042.8739406834</v>
      </c>
      <c r="H261" s="5">
        <f t="shared" si="32"/>
        <v>1258.3120867447565</v>
      </c>
      <c r="I261" s="3">
        <f>Assumptions!$E$45</f>
        <v>6.9899151946608562E-3</v>
      </c>
      <c r="J261" s="5">
        <f t="shared" si="33"/>
        <v>1679953.6743421373</v>
      </c>
      <c r="K261" s="5">
        <f>J261*Assumptions!$E$43</f>
        <v>1504.5253509625782</v>
      </c>
      <c r="L261" s="5">
        <f>K261*Assumptions!$D$44*-1</f>
        <v>-225.67880264438671</v>
      </c>
      <c r="M261" s="2">
        <f>J261*Assumptions!$E$46*-1</f>
        <v>-55.988192050838926</v>
      </c>
      <c r="N261" s="5">
        <f t="shared" si="34"/>
        <v>1679672.007347442</v>
      </c>
      <c r="O261" s="88">
        <f>Assumptions!$D$30</f>
        <v>2756</v>
      </c>
      <c r="P261" s="23">
        <f>(Model_Renter[[#This Row],[Monthly Investment]]*-1)+Model_Renter[[#This Row],[Less Renter''s Insurance]]</f>
        <v>-1308.0398531640567</v>
      </c>
    </row>
    <row r="262" spans="1:16" x14ac:dyDescent="0.25">
      <c r="A262" s="17">
        <f t="shared" si="28"/>
        <v>260</v>
      </c>
      <c r="B262" s="17">
        <f t="shared" si="29"/>
        <v>22</v>
      </c>
      <c r="C262" s="23">
        <f>MAX(Model_30y!V262, Model_15y!V262)</f>
        <v>7281.0639627626424</v>
      </c>
      <c r="D262" s="2">
        <f>D250*(1+Assumptions!$D$52)</f>
        <v>-5958.6836631126771</v>
      </c>
      <c r="E262" s="2">
        <f>E250+(E250*Assumptions!$D$52)</f>
        <v>-49.727766419300181</v>
      </c>
      <c r="F262" s="22">
        <f t="shared" si="30"/>
        <v>1272.6525332306651</v>
      </c>
      <c r="G262" s="5">
        <f t="shared" si="31"/>
        <v>1679672.007347442</v>
      </c>
      <c r="H262" s="5">
        <f t="shared" si="32"/>
        <v>1272.6525332306651</v>
      </c>
      <c r="I262" s="3">
        <f>Assumptions!$E$45</f>
        <v>6.9899151946608562E-3</v>
      </c>
      <c r="J262" s="5">
        <f t="shared" si="33"/>
        <v>1692685.424766877</v>
      </c>
      <c r="K262" s="5">
        <f>J262*Assumptions!$E$43</f>
        <v>1515.9275947081685</v>
      </c>
      <c r="L262" s="5">
        <f>K262*Assumptions!$D$44*-1</f>
        <v>-227.38913920622528</v>
      </c>
      <c r="M262" s="2">
        <f>J262*Assumptions!$E$46*-1</f>
        <v>-56.412505946400849</v>
      </c>
      <c r="N262" s="5">
        <f t="shared" si="34"/>
        <v>1692401.6231217242</v>
      </c>
      <c r="O262" s="88">
        <f>Assumptions!$D$30</f>
        <v>2756</v>
      </c>
      <c r="P262" s="23">
        <f>(Model_Renter[[#This Row],[Monthly Investment]]*-1)+Model_Renter[[#This Row],[Less Renter''s Insurance]]</f>
        <v>-1322.3802996499653</v>
      </c>
    </row>
    <row r="263" spans="1:16" x14ac:dyDescent="0.25">
      <c r="A263" s="17">
        <f t="shared" si="28"/>
        <v>261</v>
      </c>
      <c r="B263" s="17">
        <f t="shared" si="29"/>
        <v>22</v>
      </c>
      <c r="C263" s="23">
        <f>MAX(Model_30y!V263, Model_15y!V263)</f>
        <v>7295.4628340026447</v>
      </c>
      <c r="D263" s="2">
        <f>D251*(1+Assumptions!$D$52)</f>
        <v>-5958.6836631126771</v>
      </c>
      <c r="E263" s="2">
        <f>E251+(E251*Assumptions!$D$52)</f>
        <v>-49.727766419300181</v>
      </c>
      <c r="F263" s="22">
        <f t="shared" si="30"/>
        <v>1287.0514044706674</v>
      </c>
      <c r="G263" s="5">
        <f t="shared" si="31"/>
        <v>1692401.6231217242</v>
      </c>
      <c r="H263" s="5">
        <f t="shared" si="32"/>
        <v>1287.0514044706674</v>
      </c>
      <c r="I263" s="3">
        <f>Assumptions!$E$45</f>
        <v>6.9899151946608562E-3</v>
      </c>
      <c r="J263" s="5">
        <f t="shared" si="33"/>
        <v>1705518.4183471221</v>
      </c>
      <c r="K263" s="5">
        <f>J263*Assumptions!$E$43</f>
        <v>1527.4205093433175</v>
      </c>
      <c r="L263" s="5">
        <f>K263*Assumptions!$D$44*-1</f>
        <v>-229.11307640149761</v>
      </c>
      <c r="M263" s="2">
        <f>J263*Assumptions!$E$46*-1</f>
        <v>-56.840193995262858</v>
      </c>
      <c r="N263" s="5">
        <f t="shared" si="34"/>
        <v>1705232.4650767255</v>
      </c>
      <c r="O263" s="88">
        <f>Assumptions!$D$30</f>
        <v>2756</v>
      </c>
      <c r="P263" s="23">
        <f>(Model_Renter[[#This Row],[Monthly Investment]]*-1)+Model_Renter[[#This Row],[Less Renter''s Insurance]]</f>
        <v>-1336.7791708899676</v>
      </c>
    </row>
    <row r="264" spans="1:16" x14ac:dyDescent="0.25">
      <c r="A264" s="17">
        <f t="shared" si="28"/>
        <v>262</v>
      </c>
      <c r="B264" s="17">
        <f t="shared" si="29"/>
        <v>22</v>
      </c>
      <c r="C264" s="23">
        <f>MAX(Model_30y!V264, Model_15y!V264)</f>
        <v>7309.9203680264254</v>
      </c>
      <c r="D264" s="2">
        <f>D252*(1+Assumptions!$D$52)</f>
        <v>-5958.6836631126771</v>
      </c>
      <c r="E264" s="2">
        <f>E252+(E252*Assumptions!$D$52)</f>
        <v>-49.727766419300181</v>
      </c>
      <c r="F264" s="22">
        <f t="shared" si="30"/>
        <v>1301.5089384944481</v>
      </c>
      <c r="G264" s="5">
        <f t="shared" si="31"/>
        <v>1705232.4650767255</v>
      </c>
      <c r="H264" s="5">
        <f t="shared" si="32"/>
        <v>1301.5089384944481</v>
      </c>
      <c r="I264" s="3">
        <f>Assumptions!$E$45</f>
        <v>6.9899151946608562E-3</v>
      </c>
      <c r="J264" s="5">
        <f t="shared" si="33"/>
        <v>1718453.4043332885</v>
      </c>
      <c r="K264" s="5">
        <f>J264*Assumptions!$E$43</f>
        <v>1539.0047658783401</v>
      </c>
      <c r="L264" s="5">
        <f>K264*Assumptions!$D$44*-1</f>
        <v>-230.850714881751</v>
      </c>
      <c r="M264" s="2">
        <f>J264*Assumptions!$E$46*-1</f>
        <v>-57.271281167861225</v>
      </c>
      <c r="N264" s="5">
        <f t="shared" si="34"/>
        <v>1718165.282337239</v>
      </c>
      <c r="O264" s="88">
        <f>Assumptions!$D$30</f>
        <v>2756</v>
      </c>
      <c r="P264" s="23">
        <f>(Model_Renter[[#This Row],[Monthly Investment]]*-1)+Model_Renter[[#This Row],[Less Renter''s Insurance]]</f>
        <v>-1351.2367049137483</v>
      </c>
    </row>
    <row r="265" spans="1:16" x14ac:dyDescent="0.25">
      <c r="A265" s="17">
        <f t="shared" si="28"/>
        <v>263</v>
      </c>
      <c r="B265" s="17">
        <f t="shared" si="29"/>
        <v>22</v>
      </c>
      <c r="C265" s="23">
        <f>MAX(Model_30y!V265, Model_15y!V265)</f>
        <v>7324.4368038334251</v>
      </c>
      <c r="D265" s="2">
        <f>D253*(1+Assumptions!$D$52)</f>
        <v>-5958.6836631126771</v>
      </c>
      <c r="E265" s="2">
        <f>E253+(E253*Assumptions!$D$52)</f>
        <v>-49.727766419300181</v>
      </c>
      <c r="F265" s="22">
        <f t="shared" si="30"/>
        <v>1316.0253743014478</v>
      </c>
      <c r="G265" s="5">
        <f t="shared" si="31"/>
        <v>1718165.282337239</v>
      </c>
      <c r="H265" s="5">
        <f t="shared" si="32"/>
        <v>1316.0253743014478</v>
      </c>
      <c r="I265" s="3">
        <f>Assumptions!$E$45</f>
        <v>6.9899151946608562E-3</v>
      </c>
      <c r="J265" s="5">
        <f t="shared" si="33"/>
        <v>1731491.1373254883</v>
      </c>
      <c r="K265" s="5">
        <f>J265*Assumptions!$E$43</f>
        <v>1550.6810401146085</v>
      </c>
      <c r="L265" s="5">
        <f>K265*Assumptions!$D$44*-1</f>
        <v>-232.60215601719128</v>
      </c>
      <c r="M265" s="2">
        <f>J265*Assumptions!$E$46*-1</f>
        <v>-57.705792612922764</v>
      </c>
      <c r="N265" s="5">
        <f t="shared" si="34"/>
        <v>1731200.8293768582</v>
      </c>
      <c r="O265" s="88">
        <f>Assumptions!$D$30</f>
        <v>2756</v>
      </c>
      <c r="P265" s="23">
        <f>(Model_Renter[[#This Row],[Monthly Investment]]*-1)+Model_Renter[[#This Row],[Less Renter''s Insurance]]</f>
        <v>-1365.753140720748</v>
      </c>
    </row>
    <row r="266" spans="1:16" x14ac:dyDescent="0.25">
      <c r="A266" s="17">
        <f t="shared" si="28"/>
        <v>264</v>
      </c>
      <c r="B266" s="17">
        <f t="shared" si="29"/>
        <v>22</v>
      </c>
      <c r="C266" s="23">
        <f>MAX(Model_30y!V266, Model_15y!V266)</f>
        <v>7339.0123813967984</v>
      </c>
      <c r="D266" s="2">
        <f>D254*(1+Assumptions!$D$52)</f>
        <v>-5958.6836631126771</v>
      </c>
      <c r="E266" s="2">
        <f>E254+(E254*Assumptions!$D$52)</f>
        <v>-49.727766419300181</v>
      </c>
      <c r="F266" s="22">
        <f t="shared" si="30"/>
        <v>1330.6009518648211</v>
      </c>
      <c r="G266" s="5">
        <f t="shared" si="31"/>
        <v>1731200.8293768582</v>
      </c>
      <c r="H266" s="5">
        <f t="shared" si="32"/>
        <v>1330.6009518648211</v>
      </c>
      <c r="I266" s="3">
        <f>Assumptions!$E$45</f>
        <v>6.9899151946608562E-3</v>
      </c>
      <c r="J266" s="5">
        <f t="shared" si="33"/>
        <v>1744632.3773109938</v>
      </c>
      <c r="K266" s="5">
        <f>J266*Assumptions!$E$43</f>
        <v>1562.450012678104</v>
      </c>
      <c r="L266" s="5">
        <f>K266*Assumptions!$D$44*-1</f>
        <v>-234.3675019017156</v>
      </c>
      <c r="M266" s="2">
        <f>J266*Assumptions!$E$46*-1</f>
        <v>-58.143753658713365</v>
      </c>
      <c r="N266" s="5">
        <f t="shared" si="34"/>
        <v>1744339.8660554334</v>
      </c>
      <c r="O266" s="88">
        <f>Assumptions!$D$30</f>
        <v>2756</v>
      </c>
      <c r="P266" s="23">
        <f>(Model_Renter[[#This Row],[Monthly Investment]]*-1)+Model_Renter[[#This Row],[Less Renter''s Insurance]]</f>
        <v>-1380.3287182841214</v>
      </c>
    </row>
    <row r="267" spans="1:16" x14ac:dyDescent="0.25">
      <c r="A267" s="17">
        <f t="shared" si="28"/>
        <v>265</v>
      </c>
      <c r="B267" s="17">
        <f t="shared" si="29"/>
        <v>23</v>
      </c>
      <c r="C267" s="23">
        <f>MAX(Model_30y!V267, Model_15y!V267)</f>
        <v>7398.9076255839518</v>
      </c>
      <c r="D267" s="2">
        <f>D255*(1+Assumptions!$D$52)</f>
        <v>-6181.5384321130914</v>
      </c>
      <c r="E267" s="2">
        <f>E255+(E255*Assumptions!$D$52)</f>
        <v>-51.587584883382007</v>
      </c>
      <c r="F267" s="22">
        <f t="shared" si="30"/>
        <v>1165.7816085874783</v>
      </c>
      <c r="G267" s="5">
        <f t="shared" si="31"/>
        <v>1744339.8660554334</v>
      </c>
      <c r="H267" s="5">
        <f t="shared" si="32"/>
        <v>1165.7816085874783</v>
      </c>
      <c r="I267" s="3">
        <f>Assumptions!$E$45</f>
        <v>6.9899151946608562E-3</v>
      </c>
      <c r="J267" s="5">
        <f t="shared" si="33"/>
        <v>1757698.4353984143</v>
      </c>
      <c r="K267" s="5">
        <f>J267*Assumptions!$E$43</f>
        <v>1574.1516541756721</v>
      </c>
      <c r="L267" s="5">
        <f>K267*Assumptions!$D$44*-1</f>
        <v>-236.12274812635081</v>
      </c>
      <c r="M267" s="2">
        <f>J267*Assumptions!$E$46*-1</f>
        <v>-58.579209100562011</v>
      </c>
      <c r="N267" s="5">
        <f t="shared" si="34"/>
        <v>1757403.7334411873</v>
      </c>
      <c r="O267" s="88">
        <f>Assumptions!$D$30</f>
        <v>2756</v>
      </c>
      <c r="P267" s="23">
        <f>(Model_Renter[[#This Row],[Monthly Investment]]*-1)+Model_Renter[[#This Row],[Less Renter''s Insurance]]</f>
        <v>-1217.3691934708604</v>
      </c>
    </row>
    <row r="268" spans="1:16" x14ac:dyDescent="0.25">
      <c r="A268" s="17">
        <f t="shared" si="28"/>
        <v>266</v>
      </c>
      <c r="B268" s="17">
        <f t="shared" si="29"/>
        <v>23</v>
      </c>
      <c r="C268" s="23">
        <f>MAX(Model_30y!V268, Model_15y!V268)</f>
        <v>7413.6022104942494</v>
      </c>
      <c r="D268" s="2">
        <f>D256*(1+Assumptions!$D$52)</f>
        <v>-6181.5384321130914</v>
      </c>
      <c r="E268" s="2">
        <f>E256+(E256*Assumptions!$D$52)</f>
        <v>-51.587584883382007</v>
      </c>
      <c r="F268" s="22">
        <f t="shared" si="30"/>
        <v>1180.476193497776</v>
      </c>
      <c r="G268" s="5">
        <f t="shared" si="31"/>
        <v>1757403.7334411873</v>
      </c>
      <c r="H268" s="5">
        <f t="shared" si="32"/>
        <v>1180.476193497776</v>
      </c>
      <c r="I268" s="3">
        <f>Assumptions!$E$45</f>
        <v>6.9899151946608562E-3</v>
      </c>
      <c r="J268" s="5">
        <f t="shared" si="33"/>
        <v>1770868.3126942194</v>
      </c>
      <c r="K268" s="5">
        <f>J268*Assumptions!$E$43</f>
        <v>1585.9462736126422</v>
      </c>
      <c r="L268" s="5">
        <f>K268*Assumptions!$D$44*-1</f>
        <v>-237.89194104189633</v>
      </c>
      <c r="M268" s="2">
        <f>J268*Assumptions!$E$46*-1</f>
        <v>-59.018124548401531</v>
      </c>
      <c r="N268" s="5">
        <f t="shared" si="34"/>
        <v>1770571.402628629</v>
      </c>
      <c r="O268" s="88">
        <f>Assumptions!$D$30</f>
        <v>2756</v>
      </c>
      <c r="P268" s="23">
        <f>(Model_Renter[[#This Row],[Monthly Investment]]*-1)+Model_Renter[[#This Row],[Less Renter''s Insurance]]</f>
        <v>-1232.063778381158</v>
      </c>
    </row>
    <row r="269" spans="1:16" x14ac:dyDescent="0.25">
      <c r="A269" s="17">
        <f t="shared" si="28"/>
        <v>267</v>
      </c>
      <c r="B269" s="17">
        <f t="shared" si="29"/>
        <v>23</v>
      </c>
      <c r="C269" s="23">
        <f>MAX(Model_30y!V269, Model_15y!V269)</f>
        <v>7428.3566629624202</v>
      </c>
      <c r="D269" s="2">
        <f>D257*(1+Assumptions!$D$52)</f>
        <v>-6181.5384321130914</v>
      </c>
      <c r="E269" s="2">
        <f>E257+(E257*Assumptions!$D$52)</f>
        <v>-51.587584883382007</v>
      </c>
      <c r="F269" s="22">
        <f t="shared" si="30"/>
        <v>1195.2306459659467</v>
      </c>
      <c r="G269" s="5">
        <f t="shared" si="31"/>
        <v>1770571.402628629</v>
      </c>
      <c r="H269" s="5">
        <f t="shared" si="32"/>
        <v>1195.2306459659467</v>
      </c>
      <c r="I269" s="3">
        <f>Assumptions!$E$45</f>
        <v>6.9899151946608562E-3</v>
      </c>
      <c r="J269" s="5">
        <f t="shared" si="33"/>
        <v>1784142.7772250609</v>
      </c>
      <c r="K269" s="5">
        <f>J269*Assumptions!$E$43</f>
        <v>1597.8345588148668</v>
      </c>
      <c r="L269" s="5">
        <f>K269*Assumptions!$D$44*-1</f>
        <v>-239.67518382223</v>
      </c>
      <c r="M269" s="2">
        <f>J269*Assumptions!$E$46*-1</f>
        <v>-59.460525598428006</v>
      </c>
      <c r="N269" s="5">
        <f t="shared" si="34"/>
        <v>1783843.6415156403</v>
      </c>
      <c r="O269" s="88">
        <f>Assumptions!$D$30</f>
        <v>2756</v>
      </c>
      <c r="P269" s="23">
        <f>(Model_Renter[[#This Row],[Monthly Investment]]*-1)+Model_Renter[[#This Row],[Less Renter''s Insurance]]</f>
        <v>-1246.8182308493288</v>
      </c>
    </row>
    <row r="270" spans="1:16" x14ac:dyDescent="0.25">
      <c r="A270" s="17">
        <f t="shared" si="28"/>
        <v>268</v>
      </c>
      <c r="B270" s="17">
        <f t="shared" si="29"/>
        <v>23</v>
      </c>
      <c r="C270" s="23">
        <f>MAX(Model_30y!V270, Model_15y!V270)</f>
        <v>7443.1712268963056</v>
      </c>
      <c r="D270" s="2">
        <f>D258*(1+Assumptions!$D$52)</f>
        <v>-6181.5384321130914</v>
      </c>
      <c r="E270" s="2">
        <f>E258+(E258*Assumptions!$D$52)</f>
        <v>-51.587584883382007</v>
      </c>
      <c r="F270" s="22">
        <f t="shared" si="30"/>
        <v>1210.0452098998321</v>
      </c>
      <c r="G270" s="5">
        <f t="shared" si="31"/>
        <v>1783843.6415156403</v>
      </c>
      <c r="H270" s="5">
        <f t="shared" si="32"/>
        <v>1210.0452098998321</v>
      </c>
      <c r="I270" s="3">
        <f>Assumptions!$E$45</f>
        <v>6.9899151946608562E-3</v>
      </c>
      <c r="J270" s="5">
        <f t="shared" si="33"/>
        <v>1797522.6025002694</v>
      </c>
      <c r="K270" s="5">
        <f>J270*Assumptions!$E$43</f>
        <v>1609.8172025183512</v>
      </c>
      <c r="L270" s="5">
        <f>K270*Assumptions!$D$44*-1</f>
        <v>-241.47258037775268</v>
      </c>
      <c r="M270" s="2">
        <f>J270*Assumptions!$E$46*-1</f>
        <v>-59.906438029560007</v>
      </c>
      <c r="N270" s="5">
        <f t="shared" si="34"/>
        <v>1797221.2234818621</v>
      </c>
      <c r="O270" s="88">
        <f>Assumptions!$D$30</f>
        <v>2756</v>
      </c>
      <c r="P270" s="23">
        <f>(Model_Renter[[#This Row],[Monthly Investment]]*-1)+Model_Renter[[#This Row],[Less Renter''s Insurance]]</f>
        <v>-1261.6327947832142</v>
      </c>
    </row>
    <row r="271" spans="1:16" x14ac:dyDescent="0.25">
      <c r="A271" s="17">
        <f t="shared" si="28"/>
        <v>269</v>
      </c>
      <c r="B271" s="17">
        <f t="shared" si="29"/>
        <v>23</v>
      </c>
      <c r="C271" s="23">
        <f>MAX(Model_30y!V271, Model_15y!V271)</f>
        <v>7458.0461471974595</v>
      </c>
      <c r="D271" s="2">
        <f>D259*(1+Assumptions!$D$52)</f>
        <v>-6181.5384321130914</v>
      </c>
      <c r="E271" s="2">
        <f>E259+(E259*Assumptions!$D$52)</f>
        <v>-51.587584883382007</v>
      </c>
      <c r="F271" s="22">
        <f t="shared" si="30"/>
        <v>1224.920130200986</v>
      </c>
      <c r="G271" s="5">
        <f t="shared" si="31"/>
        <v>1797221.2234818621</v>
      </c>
      <c r="H271" s="5">
        <f t="shared" si="32"/>
        <v>1224.920130200986</v>
      </c>
      <c r="I271" s="3">
        <f>Assumptions!$E$45</f>
        <v>6.9899151946608562E-3</v>
      </c>
      <c r="J271" s="5">
        <f t="shared" si="33"/>
        <v>1811008.5675502459</v>
      </c>
      <c r="K271" s="5">
        <f>J271*Assumptions!$E$43</f>
        <v>1621.8949024036356</v>
      </c>
      <c r="L271" s="5">
        <f>K271*Assumptions!$D$44*-1</f>
        <v>-243.28423536054532</v>
      </c>
      <c r="M271" s="2">
        <f>J271*Assumptions!$E$46*-1</f>
        <v>-60.355887804718044</v>
      </c>
      <c r="N271" s="5">
        <f t="shared" si="34"/>
        <v>1810704.9274270807</v>
      </c>
      <c r="O271" s="88">
        <f>Assumptions!$D$30</f>
        <v>2756</v>
      </c>
      <c r="P271" s="23">
        <f>(Model_Renter[[#This Row],[Monthly Investment]]*-1)+Model_Renter[[#This Row],[Less Renter''s Insurance]]</f>
        <v>-1276.5077150843681</v>
      </c>
    </row>
    <row r="272" spans="1:16" x14ac:dyDescent="0.25">
      <c r="A272" s="17">
        <f t="shared" si="28"/>
        <v>270</v>
      </c>
      <c r="B272" s="17">
        <f t="shared" si="29"/>
        <v>23</v>
      </c>
      <c r="C272" s="23">
        <f>MAX(Model_30y!V272, Model_15y!V272)</f>
        <v>7472.9816697651913</v>
      </c>
      <c r="D272" s="2">
        <f>D260*(1+Assumptions!$D$52)</f>
        <v>-6181.5384321130914</v>
      </c>
      <c r="E272" s="2">
        <f>E260+(E260*Assumptions!$D$52)</f>
        <v>-51.587584883382007</v>
      </c>
      <c r="F272" s="22">
        <f t="shared" si="30"/>
        <v>1239.8556527687178</v>
      </c>
      <c r="G272" s="5">
        <f t="shared" si="31"/>
        <v>1810704.9274270807</v>
      </c>
      <c r="H272" s="5">
        <f t="shared" si="32"/>
        <v>1239.8556527687178</v>
      </c>
      <c r="I272" s="3">
        <f>Assumptions!$E$45</f>
        <v>6.9899151946608562E-3</v>
      </c>
      <c r="J272" s="5">
        <f t="shared" si="33"/>
        <v>1824601.4569651191</v>
      </c>
      <c r="K272" s="5">
        <f>J272*Assumptions!$E$43</f>
        <v>1634.0683611304162</v>
      </c>
      <c r="L272" s="5">
        <f>K272*Assumptions!$D$44*-1</f>
        <v>-245.11025416956241</v>
      </c>
      <c r="M272" s="2">
        <f>J272*Assumptions!$E$46*-1</f>
        <v>-60.808901072112903</v>
      </c>
      <c r="N272" s="5">
        <f t="shared" si="34"/>
        <v>1824295.5378098774</v>
      </c>
      <c r="O272" s="88">
        <f>Assumptions!$D$30</f>
        <v>2756</v>
      </c>
      <c r="P272" s="23">
        <f>(Model_Renter[[#This Row],[Monthly Investment]]*-1)+Model_Renter[[#This Row],[Less Renter''s Insurance]]</f>
        <v>-1291.4432376520999</v>
      </c>
    </row>
    <row r="273" spans="1:16" x14ac:dyDescent="0.25">
      <c r="A273" s="17">
        <f t="shared" si="28"/>
        <v>271</v>
      </c>
      <c r="B273" s="17">
        <f t="shared" si="29"/>
        <v>23</v>
      </c>
      <c r="C273" s="23">
        <f>MAX(Model_30y!V273, Model_15y!V273)</f>
        <v>7487.9780415006371</v>
      </c>
      <c r="D273" s="2">
        <f>D261*(1+Assumptions!$D$52)</f>
        <v>-6181.5384321130914</v>
      </c>
      <c r="E273" s="2">
        <f>E261+(E261*Assumptions!$D$52)</f>
        <v>-51.587584883382007</v>
      </c>
      <c r="F273" s="22">
        <f t="shared" si="30"/>
        <v>1254.8520245041636</v>
      </c>
      <c r="G273" s="5">
        <f t="shared" si="31"/>
        <v>1824295.5378098774</v>
      </c>
      <c r="H273" s="5">
        <f t="shared" si="32"/>
        <v>1254.8520245041636</v>
      </c>
      <c r="I273" s="3">
        <f>Assumptions!$E$45</f>
        <v>6.9899151946608562E-3</v>
      </c>
      <c r="J273" s="5">
        <f t="shared" si="33"/>
        <v>1838302.060933671</v>
      </c>
      <c r="K273" s="5">
        <f>J273*Assumptions!$E$43</f>
        <v>1646.3382863724064</v>
      </c>
      <c r="L273" s="5">
        <f>K273*Assumptions!$D$44*-1</f>
        <v>-246.95074295586096</v>
      </c>
      <c r="M273" s="2">
        <f>J273*Assumptions!$E$46*-1</f>
        <v>-61.265504166542968</v>
      </c>
      <c r="N273" s="5">
        <f t="shared" si="34"/>
        <v>1837993.8446865485</v>
      </c>
      <c r="O273" s="88">
        <f>Assumptions!$D$30</f>
        <v>2756</v>
      </c>
      <c r="P273" s="23">
        <f>(Model_Renter[[#This Row],[Monthly Investment]]*-1)+Model_Renter[[#This Row],[Less Renter''s Insurance]]</f>
        <v>-1306.4396093875457</v>
      </c>
    </row>
    <row r="274" spans="1:16" x14ac:dyDescent="0.25">
      <c r="A274" s="17">
        <f t="shared" si="28"/>
        <v>272</v>
      </c>
      <c r="B274" s="17">
        <f t="shared" si="29"/>
        <v>23</v>
      </c>
      <c r="C274" s="23">
        <f>MAX(Model_30y!V274, Model_15y!V274)</f>
        <v>7503.0355103108395</v>
      </c>
      <c r="D274" s="2">
        <f>D262*(1+Assumptions!$D$52)</f>
        <v>-6181.5384321130914</v>
      </c>
      <c r="E274" s="2">
        <f>E262+(E262*Assumptions!$D$52)</f>
        <v>-51.587584883382007</v>
      </c>
      <c r="F274" s="22">
        <f t="shared" si="30"/>
        <v>1269.909493314366</v>
      </c>
      <c r="G274" s="5">
        <f t="shared" si="31"/>
        <v>1837993.8446865485</v>
      </c>
      <c r="H274" s="5">
        <f t="shared" si="32"/>
        <v>1269.909493314366</v>
      </c>
      <c r="I274" s="3">
        <f>Assumptions!$E$45</f>
        <v>6.9899151946608562E-3</v>
      </c>
      <c r="J274" s="5">
        <f t="shared" si="33"/>
        <v>1852111.1752825305</v>
      </c>
      <c r="K274" s="5">
        <f>J274*Assumptions!$E$43</f>
        <v>1658.7053908524367</v>
      </c>
      <c r="L274" s="5">
        <f>K274*Assumptions!$D$44*-1</f>
        <v>-248.8058086278655</v>
      </c>
      <c r="M274" s="2">
        <f>J274*Assumptions!$E$46*-1</f>
        <v>-61.725723610700378</v>
      </c>
      <c r="N274" s="5">
        <f t="shared" si="34"/>
        <v>1851800.643750292</v>
      </c>
      <c r="O274" s="88">
        <f>Assumptions!$D$30</f>
        <v>2756</v>
      </c>
      <c r="P274" s="23">
        <f>(Model_Renter[[#This Row],[Monthly Investment]]*-1)+Model_Renter[[#This Row],[Less Renter''s Insurance]]</f>
        <v>-1321.4970781977481</v>
      </c>
    </row>
    <row r="275" spans="1:16" x14ac:dyDescent="0.25">
      <c r="A275" s="17">
        <f t="shared" si="28"/>
        <v>273</v>
      </c>
      <c r="B275" s="17">
        <f t="shared" si="29"/>
        <v>23</v>
      </c>
      <c r="C275" s="23">
        <f>MAX(Model_30y!V275, Model_15y!V275)</f>
        <v>7518.1543251128442</v>
      </c>
      <c r="D275" s="2">
        <f>D263*(1+Assumptions!$D$52)</f>
        <v>-6181.5384321130914</v>
      </c>
      <c r="E275" s="2">
        <f>E263+(E263*Assumptions!$D$52)</f>
        <v>-51.587584883382007</v>
      </c>
      <c r="F275" s="22">
        <f t="shared" si="30"/>
        <v>1285.0283081163707</v>
      </c>
      <c r="G275" s="5">
        <f t="shared" si="31"/>
        <v>1851800.643750292</v>
      </c>
      <c r="H275" s="5">
        <f t="shared" si="32"/>
        <v>1285.0283081163707</v>
      </c>
      <c r="I275" s="3">
        <f>Assumptions!$E$45</f>
        <v>6.9899151946608562E-3</v>
      </c>
      <c r="J275" s="5">
        <f t="shared" si="33"/>
        <v>1866029.6015156412</v>
      </c>
      <c r="K275" s="5">
        <f>J275*Assumptions!$E$43</f>
        <v>1671.170392377802</v>
      </c>
      <c r="L275" s="5">
        <f>K275*Assumptions!$D$44*-1</f>
        <v>-250.67555885667031</v>
      </c>
      <c r="M275" s="2">
        <f>J275*Assumptions!$E$46*-1</f>
        <v>-62.189586116486439</v>
      </c>
      <c r="N275" s="5">
        <f t="shared" si="34"/>
        <v>1865716.736370668</v>
      </c>
      <c r="O275" s="88">
        <f>Assumptions!$D$30</f>
        <v>2756</v>
      </c>
      <c r="P275" s="23">
        <f>(Model_Renter[[#This Row],[Monthly Investment]]*-1)+Model_Renter[[#This Row],[Less Renter''s Insurance]]</f>
        <v>-1336.6158929997528</v>
      </c>
    </row>
    <row r="276" spans="1:16" x14ac:dyDescent="0.25">
      <c r="A276" s="17">
        <f t="shared" si="28"/>
        <v>274</v>
      </c>
      <c r="B276" s="17">
        <f t="shared" si="29"/>
        <v>23</v>
      </c>
      <c r="C276" s="23">
        <f>MAX(Model_30y!V276, Model_15y!V276)</f>
        <v>7533.3347358378142</v>
      </c>
      <c r="D276" s="2">
        <f>D264*(1+Assumptions!$D$52)</f>
        <v>-6181.5384321130914</v>
      </c>
      <c r="E276" s="2">
        <f>E264+(E264*Assumptions!$D$52)</f>
        <v>-51.587584883382007</v>
      </c>
      <c r="F276" s="22">
        <f t="shared" si="30"/>
        <v>1300.2087188413407</v>
      </c>
      <c r="G276" s="5">
        <f t="shared" si="31"/>
        <v>1865716.736370668</v>
      </c>
      <c r="H276" s="5">
        <f t="shared" si="32"/>
        <v>1300.2087188413407</v>
      </c>
      <c r="I276" s="3">
        <f>Assumptions!$E$45</f>
        <v>6.9899151946608562E-3</v>
      </c>
      <c r="J276" s="5">
        <f t="shared" si="33"/>
        <v>1880058.1468539999</v>
      </c>
      <c r="K276" s="5">
        <f>J276*Assumptions!$E$43</f>
        <v>1683.7340138758495</v>
      </c>
      <c r="L276" s="5">
        <f>K276*Assumptions!$D$44*-1</f>
        <v>-252.56010208137741</v>
      </c>
      <c r="M276" s="2">
        <f>J276*Assumptions!$E$46*-1</f>
        <v>-62.65711858633594</v>
      </c>
      <c r="N276" s="5">
        <f t="shared" si="34"/>
        <v>1879742.9296333322</v>
      </c>
      <c r="O276" s="88">
        <f>Assumptions!$D$30</f>
        <v>2756</v>
      </c>
      <c r="P276" s="23">
        <f>(Model_Renter[[#This Row],[Monthly Investment]]*-1)+Model_Renter[[#This Row],[Less Renter''s Insurance]]</f>
        <v>-1351.7963037247227</v>
      </c>
    </row>
    <row r="277" spans="1:16" x14ac:dyDescent="0.25">
      <c r="A277" s="17">
        <f t="shared" si="28"/>
        <v>275</v>
      </c>
      <c r="B277" s="17">
        <f t="shared" si="29"/>
        <v>23</v>
      </c>
      <c r="C277" s="23">
        <f>MAX(Model_30y!V277, Model_15y!V277)</f>
        <v>7548.5769934351629</v>
      </c>
      <c r="D277" s="2">
        <f>D265*(1+Assumptions!$D$52)</f>
        <v>-6181.5384321130914</v>
      </c>
      <c r="E277" s="2">
        <f>E265+(E265*Assumptions!$D$52)</f>
        <v>-51.587584883382007</v>
      </c>
      <c r="F277" s="22">
        <f t="shared" si="30"/>
        <v>1315.4509764386894</v>
      </c>
      <c r="G277" s="5">
        <f t="shared" si="31"/>
        <v>1879742.9296333322</v>
      </c>
      <c r="H277" s="5">
        <f t="shared" si="32"/>
        <v>1315.4509764386894</v>
      </c>
      <c r="I277" s="3">
        <f>Assumptions!$E$45</f>
        <v>6.9899151946608562E-3</v>
      </c>
      <c r="J277" s="5">
        <f t="shared" si="33"/>
        <v>1894197.6242756711</v>
      </c>
      <c r="K277" s="5">
        <f>J277*Assumptions!$E$43</f>
        <v>1696.396983429815</v>
      </c>
      <c r="L277" s="5">
        <f>K277*Assumptions!$D$44*-1</f>
        <v>-254.45954751447223</v>
      </c>
      <c r="M277" s="2">
        <f>J277*Assumptions!$E$46*-1</f>
        <v>-63.128348114550775</v>
      </c>
      <c r="N277" s="5">
        <f t="shared" si="34"/>
        <v>1893880.0363800421</v>
      </c>
      <c r="O277" s="88">
        <f>Assumptions!$D$30</f>
        <v>2756</v>
      </c>
      <c r="P277" s="23">
        <f>(Model_Renter[[#This Row],[Monthly Investment]]*-1)+Model_Renter[[#This Row],[Less Renter''s Insurance]]</f>
        <v>-1367.0385613220715</v>
      </c>
    </row>
    <row r="278" spans="1:16" x14ac:dyDescent="0.25">
      <c r="A278" s="17">
        <f t="shared" si="28"/>
        <v>276</v>
      </c>
      <c r="B278" s="17">
        <f t="shared" si="29"/>
        <v>23</v>
      </c>
      <c r="C278" s="23">
        <f>MAX(Model_30y!V278, Model_15y!V278)</f>
        <v>7563.8813498767067</v>
      </c>
      <c r="D278" s="2">
        <f>D266*(1+Assumptions!$D$52)</f>
        <v>-6181.5384321130914</v>
      </c>
      <c r="E278" s="2">
        <f>E266+(E266*Assumptions!$D$52)</f>
        <v>-51.587584883382007</v>
      </c>
      <c r="F278" s="22">
        <f t="shared" si="30"/>
        <v>1330.7553328802333</v>
      </c>
      <c r="G278" s="5">
        <f t="shared" si="31"/>
        <v>1893880.0363800421</v>
      </c>
      <c r="H278" s="5">
        <f t="shared" si="32"/>
        <v>1330.7553328802333</v>
      </c>
      <c r="I278" s="3">
        <f>Assumptions!$E$45</f>
        <v>6.9899151946608562E-3</v>
      </c>
      <c r="J278" s="5">
        <f t="shared" si="33"/>
        <v>1908448.8525560801</v>
      </c>
      <c r="K278" s="5">
        <f>J278*Assumptions!$E$43</f>
        <v>1709.1600343149096</v>
      </c>
      <c r="L278" s="5">
        <f>K278*Assumptions!$D$44*-1</f>
        <v>-256.3740051472364</v>
      </c>
      <c r="M278" s="2">
        <f>J278*Assumptions!$E$46*-1</f>
        <v>-63.603301988642777</v>
      </c>
      <c r="N278" s="5">
        <f t="shared" si="34"/>
        <v>1908128.8752489442</v>
      </c>
      <c r="O278" s="88">
        <f>Assumptions!$D$30</f>
        <v>2756</v>
      </c>
      <c r="P278" s="23">
        <f>(Model_Renter[[#This Row],[Monthly Investment]]*-1)+Model_Renter[[#This Row],[Less Renter''s Insurance]]</f>
        <v>-1382.3429177636153</v>
      </c>
    </row>
    <row r="279" spans="1:16" x14ac:dyDescent="0.25">
      <c r="A279" s="17">
        <f t="shared" si="28"/>
        <v>277</v>
      </c>
      <c r="B279" s="17">
        <f t="shared" si="29"/>
        <v>24</v>
      </c>
      <c r="C279" s="23">
        <f>MAX(Model_30y!V279, Model_15y!V279)</f>
        <v>7626.7713562732151</v>
      </c>
      <c r="D279" s="2">
        <f>D267*(1+Assumptions!$D$52)</f>
        <v>-6412.7279694741219</v>
      </c>
      <c r="E279" s="2">
        <f>E267+(E267*Assumptions!$D$52)</f>
        <v>-53.516960558020493</v>
      </c>
      <c r="F279" s="22">
        <f t="shared" si="30"/>
        <v>1160.5264262410728</v>
      </c>
      <c r="G279" s="5">
        <f t="shared" si="31"/>
        <v>1908128.8752489442</v>
      </c>
      <c r="H279" s="5">
        <f t="shared" si="32"/>
        <v>1160.5264262410728</v>
      </c>
      <c r="I279" s="3">
        <f>Assumptions!$E$45</f>
        <v>6.9899151946608562E-3</v>
      </c>
      <c r="J279" s="5">
        <f t="shared" si="33"/>
        <v>1922627.0606936589</v>
      </c>
      <c r="K279" s="5">
        <f>J279*Assumptions!$E$43</f>
        <v>1721.8576901491185</v>
      </c>
      <c r="L279" s="5">
        <f>K279*Assumptions!$D$44*-1</f>
        <v>-258.27865352236779</v>
      </c>
      <c r="M279" s="2">
        <f>J279*Assumptions!$E$46*-1</f>
        <v>-64.075822304093961</v>
      </c>
      <c r="N279" s="5">
        <f t="shared" si="34"/>
        <v>1922304.7062178324</v>
      </c>
      <c r="O279" s="88">
        <f>Assumptions!$D$30</f>
        <v>2756</v>
      </c>
      <c r="P279" s="23">
        <f>(Model_Renter[[#This Row],[Monthly Investment]]*-1)+Model_Renter[[#This Row],[Less Renter''s Insurance]]</f>
        <v>-1214.0433867990932</v>
      </c>
    </row>
    <row r="280" spans="1:16" x14ac:dyDescent="0.25">
      <c r="A280" s="17">
        <f t="shared" si="28"/>
        <v>278</v>
      </c>
      <c r="B280" s="17">
        <f t="shared" si="29"/>
        <v>24</v>
      </c>
      <c r="C280" s="23">
        <f>MAX(Model_30y!V280, Model_15y!V280)</f>
        <v>7642.200670429027</v>
      </c>
      <c r="D280" s="2">
        <f>D268*(1+Assumptions!$D$52)</f>
        <v>-6412.7279694741219</v>
      </c>
      <c r="E280" s="2">
        <f>E268+(E268*Assumptions!$D$52)</f>
        <v>-53.516960558020493</v>
      </c>
      <c r="F280" s="22">
        <f t="shared" si="30"/>
        <v>1175.9557403968847</v>
      </c>
      <c r="G280" s="5">
        <f t="shared" si="31"/>
        <v>1922304.7062178324</v>
      </c>
      <c r="H280" s="5">
        <f t="shared" si="32"/>
        <v>1175.9557403968847</v>
      </c>
      <c r="I280" s="3">
        <f>Assumptions!$E$45</f>
        <v>6.9899151946608562E-3</v>
      </c>
      <c r="J280" s="5">
        <f t="shared" si="33"/>
        <v>1936917.4088329894</v>
      </c>
      <c r="K280" s="5">
        <f>J280*Assumptions!$E$43</f>
        <v>1734.6557758214053</v>
      </c>
      <c r="L280" s="5">
        <f>K280*Assumptions!$D$44*-1</f>
        <v>-260.19836637321077</v>
      </c>
      <c r="M280" s="2">
        <f>J280*Assumptions!$E$46*-1</f>
        <v>-64.552079934478627</v>
      </c>
      <c r="N280" s="5">
        <f t="shared" si="34"/>
        <v>1936592.6583866817</v>
      </c>
      <c r="O280" s="88">
        <f>Assumptions!$D$30</f>
        <v>2756</v>
      </c>
      <c r="P280" s="23">
        <f>(Model_Renter[[#This Row],[Monthly Investment]]*-1)+Model_Renter[[#This Row],[Less Renter''s Insurance]]</f>
        <v>-1229.4727009549051</v>
      </c>
    </row>
    <row r="281" spans="1:16" x14ac:dyDescent="0.25">
      <c r="A281" s="17">
        <f t="shared" si="28"/>
        <v>279</v>
      </c>
      <c r="B281" s="17">
        <f t="shared" si="29"/>
        <v>24</v>
      </c>
      <c r="C281" s="23">
        <f>MAX(Model_30y!V281, Model_15y!V281)</f>
        <v>7657.6928455206071</v>
      </c>
      <c r="D281" s="2">
        <f>D269*(1+Assumptions!$D$52)</f>
        <v>-6412.7279694741219</v>
      </c>
      <c r="E281" s="2">
        <f>E269+(E269*Assumptions!$D$52)</f>
        <v>-53.516960558020493</v>
      </c>
      <c r="F281" s="22">
        <f t="shared" si="30"/>
        <v>1191.4479154884648</v>
      </c>
      <c r="G281" s="5">
        <f t="shared" si="31"/>
        <v>1936592.6583866817</v>
      </c>
      <c r="H281" s="5">
        <f t="shared" si="32"/>
        <v>1191.4479154884648</v>
      </c>
      <c r="I281" s="3">
        <f>Assumptions!$E$45</f>
        <v>6.9899151946608562E-3</v>
      </c>
      <c r="J281" s="5">
        <f t="shared" si="33"/>
        <v>1951320.7247508958</v>
      </c>
      <c r="K281" s="5">
        <f>J281*Assumptions!$E$43</f>
        <v>1747.5550326684127</v>
      </c>
      <c r="L281" s="5">
        <f>K281*Assumptions!$D$44*-1</f>
        <v>-262.13325490026187</v>
      </c>
      <c r="M281" s="2">
        <f>J281*Assumptions!$E$46*-1</f>
        <v>-65.032102467300206</v>
      </c>
      <c r="N281" s="5">
        <f t="shared" si="34"/>
        <v>1950993.5593935282</v>
      </c>
      <c r="O281" s="88">
        <f>Assumptions!$D$30</f>
        <v>2756</v>
      </c>
      <c r="P281" s="23">
        <f>(Model_Renter[[#This Row],[Monthly Investment]]*-1)+Model_Renter[[#This Row],[Less Renter''s Insurance]]</f>
        <v>-1244.9648760464852</v>
      </c>
    </row>
    <row r="282" spans="1:16" x14ac:dyDescent="0.25">
      <c r="A282" s="17">
        <f t="shared" si="28"/>
        <v>280</v>
      </c>
      <c r="B282" s="17">
        <f t="shared" si="29"/>
        <v>24</v>
      </c>
      <c r="C282" s="23">
        <f>MAX(Model_30y!V282, Model_15y!V282)</f>
        <v>7673.2481376511878</v>
      </c>
      <c r="D282" s="2">
        <f>D270*(1+Assumptions!$D$52)</f>
        <v>-6412.7279694741219</v>
      </c>
      <c r="E282" s="2">
        <f>E270+(E270*Assumptions!$D$52)</f>
        <v>-53.516960558020493</v>
      </c>
      <c r="F282" s="22">
        <f t="shared" si="30"/>
        <v>1207.0032076190455</v>
      </c>
      <c r="G282" s="5">
        <f t="shared" si="31"/>
        <v>1950993.5593935282</v>
      </c>
      <c r="H282" s="5">
        <f t="shared" si="32"/>
        <v>1207.0032076190455</v>
      </c>
      <c r="I282" s="3">
        <f>Assumptions!$E$45</f>
        <v>6.9899151946608562E-3</v>
      </c>
      <c r="J282" s="5">
        <f t="shared" si="33"/>
        <v>1965837.8421266375</v>
      </c>
      <c r="K282" s="5">
        <f>J282*Assumptions!$E$43</f>
        <v>1760.5562073128599</v>
      </c>
      <c r="L282" s="5">
        <f>K282*Assumptions!$D$44*-1</f>
        <v>-264.08343109692896</v>
      </c>
      <c r="M282" s="2">
        <f>J282*Assumptions!$E$46*-1</f>
        <v>-65.515917686773975</v>
      </c>
      <c r="N282" s="5">
        <f t="shared" si="34"/>
        <v>1965508.2427778537</v>
      </c>
      <c r="O282" s="88">
        <f>Assumptions!$D$30</f>
        <v>2756</v>
      </c>
      <c r="P282" s="23">
        <f>(Model_Renter[[#This Row],[Monthly Investment]]*-1)+Model_Renter[[#This Row],[Less Renter''s Insurance]]</f>
        <v>-1260.5201681770659</v>
      </c>
    </row>
    <row r="283" spans="1:16" x14ac:dyDescent="0.25">
      <c r="A283" s="17">
        <f t="shared" si="28"/>
        <v>281</v>
      </c>
      <c r="B283" s="17">
        <f t="shared" si="29"/>
        <v>24</v>
      </c>
      <c r="C283" s="23">
        <f>MAX(Model_30y!V283, Model_15y!V283)</f>
        <v>7688.8668039673994</v>
      </c>
      <c r="D283" s="2">
        <f>D271*(1+Assumptions!$D$52)</f>
        <v>-6412.7279694741219</v>
      </c>
      <c r="E283" s="2">
        <f>E271+(E271*Assumptions!$D$52)</f>
        <v>-53.516960558020493</v>
      </c>
      <c r="F283" s="22">
        <f t="shared" si="30"/>
        <v>1222.6218739352571</v>
      </c>
      <c r="G283" s="5">
        <f t="shared" si="31"/>
        <v>1965508.2427778537</v>
      </c>
      <c r="H283" s="5">
        <f t="shared" si="32"/>
        <v>1222.6218739352571</v>
      </c>
      <c r="I283" s="3">
        <f>Assumptions!$E$45</f>
        <v>6.9899151946608562E-3</v>
      </c>
      <c r="J283" s="5">
        <f t="shared" si="33"/>
        <v>1980469.6005832131</v>
      </c>
      <c r="K283" s="5">
        <f>J283*Assumptions!$E$43</f>
        <v>1773.6600517005331</v>
      </c>
      <c r="L283" s="5">
        <f>K283*Assumptions!$D$44*-1</f>
        <v>-266.04900775507997</v>
      </c>
      <c r="M283" s="2">
        <f>J283*Assumptions!$E$46*-1</f>
        <v>-66.003553575203483</v>
      </c>
      <c r="N283" s="5">
        <f t="shared" si="34"/>
        <v>1980137.5480218828</v>
      </c>
      <c r="O283" s="88">
        <f>Assumptions!$D$30</f>
        <v>2756</v>
      </c>
      <c r="P283" s="23">
        <f>(Model_Renter[[#This Row],[Monthly Investment]]*-1)+Model_Renter[[#This Row],[Less Renter''s Insurance]]</f>
        <v>-1276.1388344932775</v>
      </c>
    </row>
    <row r="284" spans="1:16" x14ac:dyDescent="0.25">
      <c r="A284" s="17">
        <f t="shared" si="28"/>
        <v>282</v>
      </c>
      <c r="B284" s="17">
        <f t="shared" si="29"/>
        <v>24</v>
      </c>
      <c r="C284" s="23">
        <f>MAX(Model_30y!V284, Model_15y!V284)</f>
        <v>7704.5491026635173</v>
      </c>
      <c r="D284" s="2">
        <f>D272*(1+Assumptions!$D$52)</f>
        <v>-6412.7279694741219</v>
      </c>
      <c r="E284" s="2">
        <f>E272+(E272*Assumptions!$D$52)</f>
        <v>-53.516960558020493</v>
      </c>
      <c r="F284" s="22">
        <f t="shared" si="30"/>
        <v>1238.304172631375</v>
      </c>
      <c r="G284" s="5">
        <f t="shared" si="31"/>
        <v>1980137.5480218828</v>
      </c>
      <c r="H284" s="5">
        <f t="shared" si="32"/>
        <v>1238.304172631375</v>
      </c>
      <c r="I284" s="3">
        <f>Assumptions!$E$45</f>
        <v>6.9899151946608562E-3</v>
      </c>
      <c r="J284" s="5">
        <f t="shared" si="33"/>
        <v>1995216.8457289508</v>
      </c>
      <c r="K284" s="5">
        <f>J284*Assumptions!$E$43</f>
        <v>1786.867323137533</v>
      </c>
      <c r="L284" s="5">
        <f>K284*Assumptions!$D$44*-1</f>
        <v>-268.03009847062992</v>
      </c>
      <c r="M284" s="2">
        <f>J284*Assumptions!$E$46*-1</f>
        <v>-66.49503831436671</v>
      </c>
      <c r="N284" s="5">
        <f t="shared" si="34"/>
        <v>1994882.3205921659</v>
      </c>
      <c r="O284" s="88">
        <f>Assumptions!$D$30</f>
        <v>2756</v>
      </c>
      <c r="P284" s="23">
        <f>(Model_Renter[[#This Row],[Monthly Investment]]*-1)+Model_Renter[[#This Row],[Less Renter''s Insurance]]</f>
        <v>-1291.8211331893954</v>
      </c>
    </row>
    <row r="285" spans="1:16" x14ac:dyDescent="0.25">
      <c r="A285" s="17">
        <f t="shared" si="28"/>
        <v>283</v>
      </c>
      <c r="B285" s="17">
        <f t="shared" si="29"/>
        <v>24</v>
      </c>
      <c r="C285" s="23">
        <f>MAX(Model_30y!V285, Model_15y!V285)</f>
        <v>7720.2952929857365</v>
      </c>
      <c r="D285" s="2">
        <f>D273*(1+Assumptions!$D$52)</f>
        <v>-6412.7279694741219</v>
      </c>
      <c r="E285" s="2">
        <f>E273+(E273*Assumptions!$D$52)</f>
        <v>-53.516960558020493</v>
      </c>
      <c r="F285" s="22">
        <f t="shared" si="30"/>
        <v>1254.0503629535942</v>
      </c>
      <c r="G285" s="5">
        <f t="shared" si="31"/>
        <v>1994882.3205921659</v>
      </c>
      <c r="H285" s="5">
        <f t="shared" si="32"/>
        <v>1254.0503629535942</v>
      </c>
      <c r="I285" s="3">
        <f>Assumptions!$E$45</f>
        <v>6.9899151946608562E-3</v>
      </c>
      <c r="J285" s="5">
        <f t="shared" si="33"/>
        <v>2010080.4291993871</v>
      </c>
      <c r="K285" s="5">
        <f>J285*Assumptions!$E$43</f>
        <v>1800.1787843277809</v>
      </c>
      <c r="L285" s="5">
        <f>K285*Assumptions!$D$44*-1</f>
        <v>-270.02681764916713</v>
      </c>
      <c r="M285" s="2">
        <f>J285*Assumptions!$E$46*-1</f>
        <v>-66.990400286911793</v>
      </c>
      <c r="N285" s="5">
        <f t="shared" si="34"/>
        <v>2009743.4119814511</v>
      </c>
      <c r="O285" s="88">
        <f>Assumptions!$D$30</f>
        <v>2756</v>
      </c>
      <c r="P285" s="23">
        <f>(Model_Renter[[#This Row],[Monthly Investment]]*-1)+Model_Renter[[#This Row],[Less Renter''s Insurance]]</f>
        <v>-1307.5673235116146</v>
      </c>
    </row>
    <row r="286" spans="1:16" x14ac:dyDescent="0.25">
      <c r="A286" s="17">
        <f t="shared" si="28"/>
        <v>284</v>
      </c>
      <c r="B286" s="17">
        <f t="shared" si="29"/>
        <v>24</v>
      </c>
      <c r="C286" s="23">
        <f>MAX(Model_30y!V286, Model_15y!V286)</f>
        <v>7736.1056352364503</v>
      </c>
      <c r="D286" s="2">
        <f>D274*(1+Assumptions!$D$52)</f>
        <v>-6412.7279694741219</v>
      </c>
      <c r="E286" s="2">
        <f>E274+(E274*Assumptions!$D$52)</f>
        <v>-53.516960558020493</v>
      </c>
      <c r="F286" s="22">
        <f t="shared" si="30"/>
        <v>1269.860705204308</v>
      </c>
      <c r="G286" s="5">
        <f t="shared" si="31"/>
        <v>2009743.4119814511</v>
      </c>
      <c r="H286" s="5">
        <f t="shared" si="32"/>
        <v>1269.860705204308</v>
      </c>
      <c r="I286" s="3">
        <f>Assumptions!$E$45</f>
        <v>6.9899151946608562E-3</v>
      </c>
      <c r="J286" s="5">
        <f t="shared" si="33"/>
        <v>2025061.2086994341</v>
      </c>
      <c r="K286" s="5">
        <f>J286*Assumptions!$E$43</f>
        <v>1813.5952034107818</v>
      </c>
      <c r="L286" s="5">
        <f>K286*Assumptions!$D$44*-1</f>
        <v>-272.03928051161728</v>
      </c>
      <c r="M286" s="2">
        <f>J286*Assumptions!$E$46*-1</f>
        <v>-67.489668077762246</v>
      </c>
      <c r="N286" s="5">
        <f t="shared" si="34"/>
        <v>2024721.6797508446</v>
      </c>
      <c r="O286" s="88">
        <f>Assumptions!$D$30</f>
        <v>2756</v>
      </c>
      <c r="P286" s="23">
        <f>(Model_Renter[[#This Row],[Monthly Investment]]*-1)+Model_Renter[[#This Row],[Less Renter''s Insurance]]</f>
        <v>-1323.3776657623284</v>
      </c>
    </row>
    <row r="287" spans="1:16" x14ac:dyDescent="0.25">
      <c r="A287" s="17">
        <f t="shared" si="28"/>
        <v>285</v>
      </c>
      <c r="B287" s="17">
        <f t="shared" si="29"/>
        <v>24</v>
      </c>
      <c r="C287" s="23">
        <f>MAX(Model_30y!V287, Model_15y!V287)</f>
        <v>7751.9803907785536</v>
      </c>
      <c r="D287" s="2">
        <f>D275*(1+Assumptions!$D$52)</f>
        <v>-6412.7279694741219</v>
      </c>
      <c r="E287" s="2">
        <f>E275+(E275*Assumptions!$D$52)</f>
        <v>-53.516960558020493</v>
      </c>
      <c r="F287" s="22">
        <f t="shared" si="30"/>
        <v>1285.7354607464113</v>
      </c>
      <c r="G287" s="5">
        <f t="shared" si="31"/>
        <v>2024721.6797508446</v>
      </c>
      <c r="H287" s="5">
        <f t="shared" si="32"/>
        <v>1285.7354607464113</v>
      </c>
      <c r="I287" s="3">
        <f>Assumptions!$E$45</f>
        <v>6.9899151946608562E-3</v>
      </c>
      <c r="J287" s="5">
        <f t="shared" si="33"/>
        <v>2040160.0480458406</v>
      </c>
      <c r="K287" s="5">
        <f>J287*Assumptions!$E$43</f>
        <v>1827.1173539996516</v>
      </c>
      <c r="L287" s="5">
        <f>K287*Assumptions!$D$44*-1</f>
        <v>-274.06760309994775</v>
      </c>
      <c r="M287" s="2">
        <f>J287*Assumptions!$E$46*-1</f>
        <v>-67.992870475532172</v>
      </c>
      <c r="N287" s="5">
        <f t="shared" si="34"/>
        <v>2039817.9875722651</v>
      </c>
      <c r="O287" s="88">
        <f>Assumptions!$D$30</f>
        <v>2756</v>
      </c>
      <c r="P287" s="23">
        <f>(Model_Renter[[#This Row],[Monthly Investment]]*-1)+Model_Renter[[#This Row],[Less Renter''s Insurance]]</f>
        <v>-1339.2524213044317</v>
      </c>
    </row>
    <row r="288" spans="1:16" x14ac:dyDescent="0.25">
      <c r="A288" s="17">
        <f t="shared" si="28"/>
        <v>286</v>
      </c>
      <c r="B288" s="17">
        <f t="shared" si="29"/>
        <v>24</v>
      </c>
      <c r="C288" s="23">
        <f>MAX(Model_30y!V288, Model_15y!V288)</f>
        <v>7767.919822039772</v>
      </c>
      <c r="D288" s="2">
        <f>D276*(1+Assumptions!$D$52)</f>
        <v>-6412.7279694741219</v>
      </c>
      <c r="E288" s="2">
        <f>E276+(E276*Assumptions!$D$52)</f>
        <v>-53.516960558020493</v>
      </c>
      <c r="F288" s="22">
        <f t="shared" si="30"/>
        <v>1301.6748920076298</v>
      </c>
      <c r="G288" s="5">
        <f t="shared" si="31"/>
        <v>2039817.9875722651</v>
      </c>
      <c r="H288" s="5">
        <f t="shared" si="32"/>
        <v>1301.6748920076298</v>
      </c>
      <c r="I288" s="3">
        <f>Assumptions!$E$45</f>
        <v>6.9899151946608562E-3</v>
      </c>
      <c r="J288" s="5">
        <f t="shared" si="33"/>
        <v>2055377.8172099467</v>
      </c>
      <c r="K288" s="5">
        <f>J288*Assumptions!$E$43</f>
        <v>1840.7460152194083</v>
      </c>
      <c r="L288" s="5">
        <f>K288*Assumptions!$D$44*-1</f>
        <v>-276.11190228291122</v>
      </c>
      <c r="M288" s="2">
        <f>J288*Assumptions!$E$46*-1</f>
        <v>-68.500036473951113</v>
      </c>
      <c r="N288" s="5">
        <f t="shared" si="34"/>
        <v>2055033.2052711898</v>
      </c>
      <c r="O288" s="88">
        <f>Assumptions!$D$30</f>
        <v>2756</v>
      </c>
      <c r="P288" s="23">
        <f>(Model_Renter[[#This Row],[Monthly Investment]]*-1)+Model_Renter[[#This Row],[Less Renter''s Insurance]]</f>
        <v>-1355.1918525656502</v>
      </c>
    </row>
    <row r="289" spans="1:16" x14ac:dyDescent="0.25">
      <c r="A289" s="17">
        <f t="shared" si="28"/>
        <v>287</v>
      </c>
      <c r="B289" s="17">
        <f t="shared" si="29"/>
        <v>24</v>
      </c>
      <c r="C289" s="23">
        <f>MAX(Model_30y!V289, Model_15y!V289)</f>
        <v>7783.9241925169881</v>
      </c>
      <c r="D289" s="2">
        <f>D277*(1+Assumptions!$D$52)</f>
        <v>-6412.7279694741219</v>
      </c>
      <c r="E289" s="2">
        <f>E277+(E277*Assumptions!$D$52)</f>
        <v>-53.516960558020493</v>
      </c>
      <c r="F289" s="22">
        <f t="shared" si="30"/>
        <v>1317.6792624848458</v>
      </c>
      <c r="G289" s="5">
        <f t="shared" si="31"/>
        <v>2055033.2052711898</v>
      </c>
      <c r="H289" s="5">
        <f t="shared" si="32"/>
        <v>1317.6792624848458</v>
      </c>
      <c r="I289" s="3">
        <f>Assumptions!$E$45</f>
        <v>6.9899151946608562E-3</v>
      </c>
      <c r="J289" s="5">
        <f t="shared" si="33"/>
        <v>2070715.3923607324</v>
      </c>
      <c r="K289" s="5">
        <f>J289*Assumptions!$E$43</f>
        <v>1854.4819717455234</v>
      </c>
      <c r="L289" s="5">
        <f>K289*Assumptions!$D$44*-1</f>
        <v>-278.17229576182848</v>
      </c>
      <c r="M289" s="2">
        <f>J289*Assumptions!$E$46*-1</f>
        <v>-69.011195273298753</v>
      </c>
      <c r="N289" s="5">
        <f t="shared" si="34"/>
        <v>2070368.2088696973</v>
      </c>
      <c r="O289" s="88">
        <f>Assumptions!$D$30</f>
        <v>2756</v>
      </c>
      <c r="P289" s="23">
        <f>(Model_Renter[[#This Row],[Monthly Investment]]*-1)+Model_Renter[[#This Row],[Less Renter''s Insurance]]</f>
        <v>-1371.1962230428662</v>
      </c>
    </row>
    <row r="290" spans="1:16" x14ac:dyDescent="0.25">
      <c r="A290" s="17">
        <f t="shared" si="28"/>
        <v>288</v>
      </c>
      <c r="B290" s="17">
        <f t="shared" si="29"/>
        <v>24</v>
      </c>
      <c r="C290" s="23">
        <f>MAX(Model_30y!V290, Model_15y!V290)</f>
        <v>7799.9937667806098</v>
      </c>
      <c r="D290" s="2">
        <f>D278*(1+Assumptions!$D$52)</f>
        <v>-6412.7279694741219</v>
      </c>
      <c r="E290" s="2">
        <f>E278+(E278*Assumptions!$D$52)</f>
        <v>-53.516960558020493</v>
      </c>
      <c r="F290" s="22">
        <f t="shared" si="30"/>
        <v>1333.7488367484675</v>
      </c>
      <c r="G290" s="5">
        <f t="shared" si="31"/>
        <v>2070368.2088696973</v>
      </c>
      <c r="H290" s="5">
        <f t="shared" si="32"/>
        <v>1333.7488367484675</v>
      </c>
      <c r="I290" s="3">
        <f>Assumptions!$E$45</f>
        <v>6.9899151946608562E-3</v>
      </c>
      <c r="J290" s="5">
        <f t="shared" si="33"/>
        <v>2086173.6559081669</v>
      </c>
      <c r="K290" s="5">
        <f>J290*Assumptions!$E$43</f>
        <v>1868.3260138427456</v>
      </c>
      <c r="L290" s="5">
        <f>K290*Assumptions!$D$44*-1</f>
        <v>-280.24890207641181</v>
      </c>
      <c r="M290" s="2">
        <f>J290*Assumptions!$E$46*-1</f>
        <v>-69.526376281849579</v>
      </c>
      <c r="N290" s="5">
        <f t="shared" si="34"/>
        <v>2085823.8806298086</v>
      </c>
      <c r="O290" s="88">
        <f>Assumptions!$D$30</f>
        <v>2756</v>
      </c>
      <c r="P290" s="23">
        <f>(Model_Renter[[#This Row],[Monthly Investment]]*-1)+Model_Renter[[#This Row],[Less Renter''s Insurance]]</f>
        <v>-1387.2657973064879</v>
      </c>
    </row>
    <row r="291" spans="1:16" x14ac:dyDescent="0.25">
      <c r="A291" s="17">
        <f t="shared" si="28"/>
        <v>289</v>
      </c>
      <c r="B291" s="17">
        <f t="shared" si="29"/>
        <v>25</v>
      </c>
      <c r="C291" s="23">
        <f>MAX(Model_30y!V291, Model_15y!V291)</f>
        <v>7866.0282734969442</v>
      </c>
      <c r="D291" s="2">
        <f>D279*(1+Assumptions!$D$52)</f>
        <v>-6652.563995532455</v>
      </c>
      <c r="E291" s="2">
        <f>E279+(E279*Assumptions!$D$52)</f>
        <v>-55.518494882890458</v>
      </c>
      <c r="F291" s="22">
        <f t="shared" si="30"/>
        <v>1157.9457830815986</v>
      </c>
      <c r="G291" s="5">
        <f t="shared" si="31"/>
        <v>2085823.8806298086</v>
      </c>
      <c r="H291" s="5">
        <f t="shared" si="32"/>
        <v>1157.9457830815986</v>
      </c>
      <c r="I291" s="3">
        <f>Assumptions!$E$45</f>
        <v>6.9899151946608562E-3</v>
      </c>
      <c r="J291" s="5">
        <f t="shared" si="33"/>
        <v>2101561.5584494909</v>
      </c>
      <c r="K291" s="5">
        <f>J291*Assumptions!$E$43</f>
        <v>1882.1070423467784</v>
      </c>
      <c r="L291" s="5">
        <f>K291*Assumptions!$D$44*-1</f>
        <v>-282.31605635201674</v>
      </c>
      <c r="M291" s="2">
        <f>J291*Assumptions!$E$46*-1</f>
        <v>-70.03921235340411</v>
      </c>
      <c r="N291" s="5">
        <f t="shared" si="34"/>
        <v>2101209.2031807853</v>
      </c>
      <c r="O291" s="88">
        <f>Assumptions!$D$30</f>
        <v>2756</v>
      </c>
      <c r="P291" s="23">
        <f>(Model_Renter[[#This Row],[Monthly Investment]]*-1)+Model_Renter[[#This Row],[Less Renter''s Insurance]]</f>
        <v>-1213.4642779644892</v>
      </c>
    </row>
    <row r="292" spans="1:16" x14ac:dyDescent="0.25">
      <c r="A292" s="17">
        <f t="shared" si="28"/>
        <v>290</v>
      </c>
      <c r="B292" s="17">
        <f t="shared" si="29"/>
        <v>25</v>
      </c>
      <c r="C292" s="23">
        <f>MAX(Model_30y!V292, Model_15y!V292)</f>
        <v>7882.2290533605465</v>
      </c>
      <c r="D292" s="2">
        <f>D280*(1+Assumptions!$D$52)</f>
        <v>-6652.563995532455</v>
      </c>
      <c r="E292" s="2">
        <f>E280+(E280*Assumptions!$D$52)</f>
        <v>-55.518494882890458</v>
      </c>
      <c r="F292" s="22">
        <f t="shared" si="30"/>
        <v>1174.1465629452009</v>
      </c>
      <c r="G292" s="5">
        <f t="shared" si="31"/>
        <v>2101209.2031807853</v>
      </c>
      <c r="H292" s="5">
        <f t="shared" si="32"/>
        <v>1174.1465629452009</v>
      </c>
      <c r="I292" s="3">
        <f>Assumptions!$E$45</f>
        <v>6.9899151946608562E-3</v>
      </c>
      <c r="J292" s="5">
        <f t="shared" si="33"/>
        <v>2117070.6238802052</v>
      </c>
      <c r="K292" s="5">
        <f>J292*Assumptions!$E$43</f>
        <v>1895.9965813659924</v>
      </c>
      <c r="L292" s="5">
        <f>K292*Assumptions!$D$44*-1</f>
        <v>-284.39948720489883</v>
      </c>
      <c r="M292" s="2">
        <f>J292*Assumptions!$E$46*-1</f>
        <v>-70.556086447687633</v>
      </c>
      <c r="N292" s="5">
        <f t="shared" si="34"/>
        <v>2116715.6683065528</v>
      </c>
      <c r="O292" s="88">
        <f>Assumptions!$D$30</f>
        <v>2756</v>
      </c>
      <c r="P292" s="23">
        <f>(Model_Renter[[#This Row],[Monthly Investment]]*-1)+Model_Renter[[#This Row],[Less Renter''s Insurance]]</f>
        <v>-1229.6650578280914</v>
      </c>
    </row>
    <row r="293" spans="1:16" x14ac:dyDescent="0.25">
      <c r="A293" s="17">
        <f t="shared" si="28"/>
        <v>291</v>
      </c>
      <c r="B293" s="17">
        <f t="shared" si="29"/>
        <v>25</v>
      </c>
      <c r="C293" s="23">
        <f>MAX(Model_30y!V293, Model_15y!V293)</f>
        <v>7898.4958372067049</v>
      </c>
      <c r="D293" s="2">
        <f>D281*(1+Assumptions!$D$52)</f>
        <v>-6652.563995532455</v>
      </c>
      <c r="E293" s="2">
        <f>E281+(E281*Assumptions!$D$52)</f>
        <v>-55.518494882890458</v>
      </c>
      <c r="F293" s="22">
        <f t="shared" si="30"/>
        <v>1190.4133467913593</v>
      </c>
      <c r="G293" s="5">
        <f t="shared" si="31"/>
        <v>2116715.6683065528</v>
      </c>
      <c r="H293" s="5">
        <f t="shared" si="32"/>
        <v>1190.4133467913593</v>
      </c>
      <c r="I293" s="3">
        <f>Assumptions!$E$45</f>
        <v>6.9899151946608562E-3</v>
      </c>
      <c r="J293" s="5">
        <f t="shared" si="33"/>
        <v>2132701.7446660167</v>
      </c>
      <c r="K293" s="5">
        <f>J293*Assumptions!$E$43</f>
        <v>1909.9954301708087</v>
      </c>
      <c r="L293" s="5">
        <f>K293*Assumptions!$D$44*-1</f>
        <v>-286.49931452562129</v>
      </c>
      <c r="M293" s="2">
        <f>J293*Assumptions!$E$46*-1</f>
        <v>-71.07702830810446</v>
      </c>
      <c r="N293" s="5">
        <f t="shared" si="34"/>
        <v>2132344.168323183</v>
      </c>
      <c r="O293" s="88">
        <f>Assumptions!$D$30</f>
        <v>2756</v>
      </c>
      <c r="P293" s="23">
        <f>(Model_Renter[[#This Row],[Monthly Investment]]*-1)+Model_Renter[[#This Row],[Less Renter''s Insurance]]</f>
        <v>-1245.9318416742499</v>
      </c>
    </row>
    <row r="294" spans="1:16" x14ac:dyDescent="0.25">
      <c r="A294" s="17">
        <f t="shared" si="28"/>
        <v>292</v>
      </c>
      <c r="B294" s="17">
        <f t="shared" si="29"/>
        <v>25</v>
      </c>
      <c r="C294" s="23">
        <f>MAX(Model_30y!V294, Model_15y!V294)</f>
        <v>7914.8288939438153</v>
      </c>
      <c r="D294" s="2">
        <f>D282*(1+Assumptions!$D$52)</f>
        <v>-6652.563995532455</v>
      </c>
      <c r="E294" s="2">
        <f>E282+(E282*Assumptions!$D$52)</f>
        <v>-55.518494882890458</v>
      </c>
      <c r="F294" s="22">
        <f t="shared" si="30"/>
        <v>1206.7464035284697</v>
      </c>
      <c r="G294" s="5">
        <f t="shared" si="31"/>
        <v>2132344.168323183</v>
      </c>
      <c r="H294" s="5">
        <f t="shared" si="32"/>
        <v>1206.7464035284697</v>
      </c>
      <c r="I294" s="3">
        <f>Assumptions!$E$45</f>
        <v>6.9899151946608562E-3</v>
      </c>
      <c r="J294" s="5">
        <f t="shared" si="33"/>
        <v>2148455.8196291202</v>
      </c>
      <c r="K294" s="5">
        <f>J294*Assumptions!$E$43</f>
        <v>1924.1043937243639</v>
      </c>
      <c r="L294" s="5">
        <f>K294*Assumptions!$D$44*-1</f>
        <v>-288.61565905865456</v>
      </c>
      <c r="M294" s="2">
        <f>J294*Assumptions!$E$46*-1</f>
        <v>-71.602067889903012</v>
      </c>
      <c r="N294" s="5">
        <f t="shared" si="34"/>
        <v>2148095.6019021715</v>
      </c>
      <c r="O294" s="88">
        <f>Assumptions!$D$30</f>
        <v>2756</v>
      </c>
      <c r="P294" s="23">
        <f>(Model_Renter[[#This Row],[Monthly Investment]]*-1)+Model_Renter[[#This Row],[Less Renter''s Insurance]]</f>
        <v>-1262.2648984113603</v>
      </c>
    </row>
    <row r="295" spans="1:16" x14ac:dyDescent="0.25">
      <c r="A295" s="17">
        <f t="shared" si="28"/>
        <v>293</v>
      </c>
      <c r="B295" s="17">
        <f t="shared" si="29"/>
        <v>25</v>
      </c>
      <c r="C295" s="23">
        <f>MAX(Model_30y!V295, Model_15y!V295)</f>
        <v>7931.2284935758362</v>
      </c>
      <c r="D295" s="2">
        <f>D283*(1+Assumptions!$D$52)</f>
        <v>-6652.563995532455</v>
      </c>
      <c r="E295" s="2">
        <f>E283+(E283*Assumptions!$D$52)</f>
        <v>-55.518494882890458</v>
      </c>
      <c r="F295" s="22">
        <f t="shared" si="30"/>
        <v>1223.1460031604906</v>
      </c>
      <c r="G295" s="5">
        <f t="shared" si="31"/>
        <v>2148095.6019021715</v>
      </c>
      <c r="H295" s="5">
        <f t="shared" si="32"/>
        <v>1223.1460031604906</v>
      </c>
      <c r="I295" s="3">
        <f>Assumptions!$E$45</f>
        <v>6.9899151946608562E-3</v>
      </c>
      <c r="J295" s="5">
        <f t="shared" si="33"/>
        <v>2164333.7539926521</v>
      </c>
      <c r="K295" s="5">
        <f>J295*Assumptions!$E$43</f>
        <v>1938.3242827223198</v>
      </c>
      <c r="L295" s="5">
        <f>K295*Assumptions!$D$44*-1</f>
        <v>-290.74864240834796</v>
      </c>
      <c r="M295" s="2">
        <f>J295*Assumptions!$E$46*-1</f>
        <v>-72.13123536165736</v>
      </c>
      <c r="N295" s="5">
        <f t="shared" si="34"/>
        <v>2163970.8741148822</v>
      </c>
      <c r="O295" s="88">
        <f>Assumptions!$D$30</f>
        <v>2756</v>
      </c>
      <c r="P295" s="23">
        <f>(Model_Renter[[#This Row],[Monthly Investment]]*-1)+Model_Renter[[#This Row],[Less Renter''s Insurance]]</f>
        <v>-1278.6644980433812</v>
      </c>
    </row>
    <row r="296" spans="1:16" x14ac:dyDescent="0.25">
      <c r="A296" s="17">
        <f t="shared" si="28"/>
        <v>294</v>
      </c>
      <c r="B296" s="17">
        <f t="shared" si="29"/>
        <v>25</v>
      </c>
      <c r="C296" s="23">
        <f>MAX(Model_30y!V296, Model_15y!V296)</f>
        <v>7947.6949072067619</v>
      </c>
      <c r="D296" s="2">
        <f>D284*(1+Assumptions!$D$52)</f>
        <v>-6652.563995532455</v>
      </c>
      <c r="E296" s="2">
        <f>E284+(E284*Assumptions!$D$52)</f>
        <v>-55.518494882890458</v>
      </c>
      <c r="F296" s="22">
        <f t="shared" si="30"/>
        <v>1239.6124167914163</v>
      </c>
      <c r="G296" s="5">
        <f t="shared" si="31"/>
        <v>2163970.8741148822</v>
      </c>
      <c r="H296" s="5">
        <f t="shared" si="32"/>
        <v>1239.6124167914163</v>
      </c>
      <c r="I296" s="3">
        <f>Assumptions!$E$45</f>
        <v>6.9899151946608562E-3</v>
      </c>
      <c r="J296" s="5">
        <f t="shared" si="33"/>
        <v>2180336.4594254526</v>
      </c>
      <c r="K296" s="5">
        <f>J296*Assumptions!$E$43</f>
        <v>1952.655913632954</v>
      </c>
      <c r="L296" s="5">
        <f>K296*Assumptions!$D$44*-1</f>
        <v>-292.89838704494309</v>
      </c>
      <c r="M296" s="2">
        <f>J296*Assumptions!$E$46*-1</f>
        <v>-72.664561106758924</v>
      </c>
      <c r="N296" s="5">
        <f t="shared" si="34"/>
        <v>2179970.8964773011</v>
      </c>
      <c r="O296" s="88">
        <f>Assumptions!$D$30</f>
        <v>2756</v>
      </c>
      <c r="P296" s="23">
        <f>(Model_Renter[[#This Row],[Monthly Investment]]*-1)+Model_Renter[[#This Row],[Less Renter''s Insurance]]</f>
        <v>-1295.1309116743068</v>
      </c>
    </row>
    <row r="297" spans="1:16" x14ac:dyDescent="0.25">
      <c r="A297" s="17">
        <f t="shared" si="28"/>
        <v>295</v>
      </c>
      <c r="B297" s="17">
        <f t="shared" si="29"/>
        <v>25</v>
      </c>
      <c r="C297" s="23">
        <f>MAX(Model_30y!V297, Model_15y!V297)</f>
        <v>7964.2284070450914</v>
      </c>
      <c r="D297" s="2">
        <f>D285*(1+Assumptions!$D$52)</f>
        <v>-6652.563995532455</v>
      </c>
      <c r="E297" s="2">
        <f>E285+(E285*Assumptions!$D$52)</f>
        <v>-55.518494882890458</v>
      </c>
      <c r="F297" s="22">
        <f t="shared" si="30"/>
        <v>1256.1459166297459</v>
      </c>
      <c r="G297" s="5">
        <f t="shared" si="31"/>
        <v>2179970.8964773011</v>
      </c>
      <c r="H297" s="5">
        <f t="shared" si="32"/>
        <v>1256.1459166297459</v>
      </c>
      <c r="I297" s="3">
        <f>Assumptions!$E$45</f>
        <v>6.9899151946608562E-3</v>
      </c>
      <c r="J297" s="5">
        <f t="shared" si="33"/>
        <v>2196464.8540871358</v>
      </c>
      <c r="K297" s="5">
        <f>J297*Assumptions!$E$43</f>
        <v>1967.1001087375207</v>
      </c>
      <c r="L297" s="5">
        <f>K297*Assumptions!$D$44*-1</f>
        <v>-295.0650163106281</v>
      </c>
      <c r="M297" s="2">
        <f>J297*Assumptions!$E$46*-1</f>
        <v>-73.202075724918657</v>
      </c>
      <c r="N297" s="5">
        <f t="shared" si="34"/>
        <v>2196096.5869951001</v>
      </c>
      <c r="O297" s="88">
        <f>Assumptions!$D$30</f>
        <v>2756</v>
      </c>
      <c r="P297" s="23">
        <f>(Model_Renter[[#This Row],[Monthly Investment]]*-1)+Model_Renter[[#This Row],[Less Renter''s Insurance]]</f>
        <v>-1311.6644115126364</v>
      </c>
    </row>
    <row r="298" spans="1:16" x14ac:dyDescent="0.25">
      <c r="A298" s="17">
        <f t="shared" si="28"/>
        <v>296</v>
      </c>
      <c r="B298" s="17">
        <f t="shared" si="29"/>
        <v>25</v>
      </c>
      <c r="C298" s="23">
        <f>MAX(Model_30y!V298, Model_15y!V298)</f>
        <v>7980.8292664083401</v>
      </c>
      <c r="D298" s="2">
        <f>D286*(1+Assumptions!$D$52)</f>
        <v>-6652.563995532455</v>
      </c>
      <c r="E298" s="2">
        <f>E286+(E286*Assumptions!$D$52)</f>
        <v>-55.518494882890458</v>
      </c>
      <c r="F298" s="22">
        <f t="shared" si="30"/>
        <v>1272.7467759929946</v>
      </c>
      <c r="G298" s="5">
        <f t="shared" si="31"/>
        <v>2196096.5869951001</v>
      </c>
      <c r="H298" s="5">
        <f t="shared" si="32"/>
        <v>1272.7467759929946</v>
      </c>
      <c r="I298" s="3">
        <f>Assumptions!$E$45</f>
        <v>6.9899151946608562E-3</v>
      </c>
      <c r="J298" s="5">
        <f t="shared" si="33"/>
        <v>2212719.8626734731</v>
      </c>
      <c r="K298" s="5">
        <f>J298*Assumptions!$E$43</f>
        <v>1981.6576961708979</v>
      </c>
      <c r="L298" s="5">
        <f>K298*Assumptions!$D$44*-1</f>
        <v>-297.2486544256347</v>
      </c>
      <c r="M298" s="2">
        <f>J298*Assumptions!$E$46*-1</f>
        <v>-73.743810033679438</v>
      </c>
      <c r="N298" s="5">
        <f t="shared" si="34"/>
        <v>2212348.8702090136</v>
      </c>
      <c r="O298" s="88">
        <f>Assumptions!$D$30</f>
        <v>2756</v>
      </c>
      <c r="P298" s="23">
        <f>(Model_Renter[[#This Row],[Monthly Investment]]*-1)+Model_Renter[[#This Row],[Less Renter''s Insurance]]</f>
        <v>-1328.2652708758851</v>
      </c>
    </row>
    <row r="299" spans="1:16" x14ac:dyDescent="0.25">
      <c r="A299" s="17">
        <f t="shared" si="28"/>
        <v>297</v>
      </c>
      <c r="B299" s="17">
        <f t="shared" si="29"/>
        <v>25</v>
      </c>
      <c r="C299" s="23">
        <f>MAX(Model_30y!V299, Model_15y!V299)</f>
        <v>7997.4977597275483</v>
      </c>
      <c r="D299" s="2">
        <f>D287*(1+Assumptions!$D$52)</f>
        <v>-6652.563995532455</v>
      </c>
      <c r="E299" s="2">
        <f>E287+(E287*Assumptions!$D$52)</f>
        <v>-55.518494882890458</v>
      </c>
      <c r="F299" s="22">
        <f t="shared" si="30"/>
        <v>1289.4152693122028</v>
      </c>
      <c r="G299" s="5">
        <f t="shared" si="31"/>
        <v>2212348.8702090136</v>
      </c>
      <c r="H299" s="5">
        <f t="shared" si="32"/>
        <v>1289.4152693122028</v>
      </c>
      <c r="I299" s="3">
        <f>Assumptions!$E$45</f>
        <v>6.9899151946608562E-3</v>
      </c>
      <c r="J299" s="5">
        <f t="shared" si="33"/>
        <v>2229102.4164620903</v>
      </c>
      <c r="K299" s="5">
        <f>J299*Assumptions!$E$43</f>
        <v>1996.3295099625102</v>
      </c>
      <c r="L299" s="5">
        <f>K299*Assumptions!$D$44*-1</f>
        <v>-299.4494264943765</v>
      </c>
      <c r="M299" s="2">
        <f>J299*Assumptions!$E$46*-1</f>
        <v>-74.289795069939132</v>
      </c>
      <c r="N299" s="5">
        <f t="shared" si="34"/>
        <v>2228728.6772405258</v>
      </c>
      <c r="O299" s="88">
        <f>Assumptions!$D$30</f>
        <v>2756</v>
      </c>
      <c r="P299" s="23">
        <f>(Model_Renter[[#This Row],[Monthly Investment]]*-1)+Model_Renter[[#This Row],[Less Renter''s Insurance]]</f>
        <v>-1344.9337641950933</v>
      </c>
    </row>
    <row r="300" spans="1:16" x14ac:dyDescent="0.25">
      <c r="A300" s="17">
        <f t="shared" si="28"/>
        <v>298</v>
      </c>
      <c r="B300" s="17">
        <f t="shared" si="29"/>
        <v>25</v>
      </c>
      <c r="C300" s="23">
        <f>MAX(Model_30y!V300, Model_15y!V300)</f>
        <v>8014.2341625518275</v>
      </c>
      <c r="D300" s="2">
        <f>D288*(1+Assumptions!$D$52)</f>
        <v>-6652.563995532455</v>
      </c>
      <c r="E300" s="2">
        <f>E288+(E288*Assumptions!$D$52)</f>
        <v>-55.518494882890458</v>
      </c>
      <c r="F300" s="22">
        <f t="shared" si="30"/>
        <v>1306.1516721364819</v>
      </c>
      <c r="G300" s="5">
        <f t="shared" si="31"/>
        <v>2228728.6772405258</v>
      </c>
      <c r="H300" s="5">
        <f t="shared" si="32"/>
        <v>1306.1516721364819</v>
      </c>
      <c r="I300" s="3">
        <f>Assumptions!$E$45</f>
        <v>6.9899151946608562E-3</v>
      </c>
      <c r="J300" s="5">
        <f t="shared" si="33"/>
        <v>2245613.4533584821</v>
      </c>
      <c r="K300" s="5">
        <f>J300*Assumptions!$E$43</f>
        <v>2011.1163900775393</v>
      </c>
      <c r="L300" s="5">
        <f>K300*Assumptions!$D$44*-1</f>
        <v>-301.66745851163091</v>
      </c>
      <c r="M300" s="2">
        <f>J300*Assumptions!$E$46*-1</f>
        <v>-74.840062091484043</v>
      </c>
      <c r="N300" s="5">
        <f t="shared" si="34"/>
        <v>2245236.9458378791</v>
      </c>
      <c r="O300" s="88">
        <f>Assumptions!$D$30</f>
        <v>2756</v>
      </c>
      <c r="P300" s="23">
        <f>(Model_Renter[[#This Row],[Monthly Investment]]*-1)+Model_Renter[[#This Row],[Less Renter''s Insurance]]</f>
        <v>-1361.6701670193725</v>
      </c>
    </row>
    <row r="301" spans="1:16" x14ac:dyDescent="0.25">
      <c r="A301" s="17">
        <f t="shared" si="28"/>
        <v>299</v>
      </c>
      <c r="B301" s="17">
        <f t="shared" si="29"/>
        <v>25</v>
      </c>
      <c r="C301" s="23">
        <f>MAX(Model_30y!V301, Model_15y!V301)</f>
        <v>8031.0387515529055</v>
      </c>
      <c r="D301" s="2">
        <f>D289*(1+Assumptions!$D$52)</f>
        <v>-6652.563995532455</v>
      </c>
      <c r="E301" s="2">
        <f>E289+(E289*Assumptions!$D$52)</f>
        <v>-55.518494882890458</v>
      </c>
      <c r="F301" s="22">
        <f t="shared" si="30"/>
        <v>1322.95626113756</v>
      </c>
      <c r="G301" s="5">
        <f t="shared" si="31"/>
        <v>2245236.9458378791</v>
      </c>
      <c r="H301" s="5">
        <f t="shared" si="32"/>
        <v>1322.95626113756</v>
      </c>
      <c r="I301" s="3">
        <f>Assumptions!$E$45</f>
        <v>6.9899151946608562E-3</v>
      </c>
      <c r="J301" s="5">
        <f t="shared" si="33"/>
        <v>2262253.9179423428</v>
      </c>
      <c r="K301" s="5">
        <f>J301*Assumptions!$E$43</f>
        <v>2026.0191824584169</v>
      </c>
      <c r="L301" s="5">
        <f>K301*Assumptions!$D$44*-1</f>
        <v>-303.90287736876252</v>
      </c>
      <c r="M301" s="2">
        <f>J301*Assumptions!$E$46*-1</f>
        <v>-75.394642578533023</v>
      </c>
      <c r="N301" s="5">
        <f t="shared" si="34"/>
        <v>2261874.6204223954</v>
      </c>
      <c r="O301" s="88">
        <f>Assumptions!$D$30</f>
        <v>2756</v>
      </c>
      <c r="P301" s="23">
        <f>(Model_Renter[[#This Row],[Monthly Investment]]*-1)+Model_Renter[[#This Row],[Less Renter''s Insurance]]</f>
        <v>-1378.4747560204505</v>
      </c>
    </row>
    <row r="302" spans="1:16" x14ac:dyDescent="0.25">
      <c r="A302" s="17">
        <f t="shared" si="28"/>
        <v>300</v>
      </c>
      <c r="B302" s="17">
        <f t="shared" si="29"/>
        <v>25</v>
      </c>
      <c r="C302" s="23">
        <f>MAX(Model_30y!V302, Model_15y!V302)</f>
        <v>8047.9118045297073</v>
      </c>
      <c r="D302" s="2">
        <f>D290*(1+Assumptions!$D$52)</f>
        <v>-6652.563995532455</v>
      </c>
      <c r="E302" s="2">
        <f>E290+(E290*Assumptions!$D$52)</f>
        <v>-55.518494882890458</v>
      </c>
      <c r="F302" s="22">
        <f t="shared" si="30"/>
        <v>1339.8293141143618</v>
      </c>
      <c r="G302" s="5">
        <f t="shared" si="31"/>
        <v>2261874.6204223954</v>
      </c>
      <c r="H302" s="5">
        <f t="shared" si="32"/>
        <v>1339.8293141143618</v>
      </c>
      <c r="I302" s="3">
        <f>Assumptions!$E$45</f>
        <v>6.9899151946608562E-3</v>
      </c>
      <c r="J302" s="5">
        <f t="shared" si="33"/>
        <v>2279024.7615142181</v>
      </c>
      <c r="K302" s="5">
        <f>J302*Assumptions!$E$43</f>
        <v>2041.0387390666044</v>
      </c>
      <c r="L302" s="5">
        <f>K302*Assumptions!$D$44*-1</f>
        <v>-306.15581085999065</v>
      </c>
      <c r="M302" s="2">
        <f>J302*Assumptions!$E$46*-1</f>
        <v>-75.953568235292224</v>
      </c>
      <c r="N302" s="5">
        <f t="shared" si="34"/>
        <v>2278642.6521351226</v>
      </c>
      <c r="O302" s="88">
        <f>Assumptions!$D$30</f>
        <v>2756</v>
      </c>
      <c r="P302" s="23">
        <f>(Model_Renter[[#This Row],[Monthly Investment]]*-1)+Model_Renter[[#This Row],[Less Renter''s Insurance]]</f>
        <v>-1395.3478089972523</v>
      </c>
    </row>
    <row r="303" spans="1:16" x14ac:dyDescent="0.25">
      <c r="A303" s="17">
        <f t="shared" ref="A303:A366" si="35">A302+1</f>
        <v>301</v>
      </c>
      <c r="B303" s="17">
        <f t="shared" si="29"/>
        <v>26</v>
      </c>
      <c r="C303" s="23">
        <f>MAX(Model_30y!V303, Model_15y!V303)</f>
        <v>8117.2480365818592</v>
      </c>
      <c r="D303" s="2">
        <f>D291*(1+Assumptions!$D$52)</f>
        <v>-6901.3698889653697</v>
      </c>
      <c r="E303" s="2">
        <f>E291+(E291*Assumptions!$D$52)</f>
        <v>-57.594886591510559</v>
      </c>
      <c r="F303" s="22">
        <f t="shared" si="30"/>
        <v>1158.2832610249789</v>
      </c>
      <c r="G303" s="5">
        <f t="shared" si="31"/>
        <v>2278642.6521351226</v>
      </c>
      <c r="H303" s="5">
        <f t="shared" si="32"/>
        <v>1158.2832610249789</v>
      </c>
      <c r="I303" s="3">
        <f>Assumptions!$E$45</f>
        <v>6.9899151946608562E-3</v>
      </c>
      <c r="J303" s="5">
        <f t="shared" si="33"/>
        <v>2295728.454293509</v>
      </c>
      <c r="K303" s="5">
        <f>J303*Assumptions!$E$43</f>
        <v>2055.9981570701843</v>
      </c>
      <c r="L303" s="5">
        <f>K303*Assumptions!$D$44*-1</f>
        <v>-308.39972356052766</v>
      </c>
      <c r="M303" s="2">
        <f>J303*Assumptions!$E$46*-1</f>
        <v>-76.510255942559738</v>
      </c>
      <c r="N303" s="5">
        <f t="shared" si="34"/>
        <v>2295343.5443140059</v>
      </c>
      <c r="O303" s="88">
        <f>Assumptions!$D$30</f>
        <v>2756</v>
      </c>
      <c r="P303" s="23">
        <f>(Model_Renter[[#This Row],[Monthly Investment]]*-1)+Model_Renter[[#This Row],[Less Renter''s Insurance]]</f>
        <v>-1215.8781476164895</v>
      </c>
    </row>
    <row r="304" spans="1:16" x14ac:dyDescent="0.25">
      <c r="A304" s="17">
        <f t="shared" si="35"/>
        <v>302</v>
      </c>
      <c r="B304" s="17">
        <f t="shared" si="29"/>
        <v>26</v>
      </c>
      <c r="C304" s="23">
        <f>MAX(Model_30y!V304, Model_15y!V304)</f>
        <v>8134.2588554386421</v>
      </c>
      <c r="D304" s="2">
        <f>D292*(1+Assumptions!$D$52)</f>
        <v>-6901.3698889653697</v>
      </c>
      <c r="E304" s="2">
        <f>E292+(E292*Assumptions!$D$52)</f>
        <v>-57.594886591510559</v>
      </c>
      <c r="F304" s="22">
        <f t="shared" si="30"/>
        <v>1175.2940798817617</v>
      </c>
      <c r="G304" s="5">
        <f t="shared" si="31"/>
        <v>2295343.5443140059</v>
      </c>
      <c r="H304" s="5">
        <f t="shared" si="32"/>
        <v>1175.2940798817617</v>
      </c>
      <c r="I304" s="3">
        <f>Assumptions!$E$45</f>
        <v>6.9899151946608562E-3</v>
      </c>
      <c r="J304" s="5">
        <f t="shared" si="33"/>
        <v>2312563.0951112546</v>
      </c>
      <c r="K304" s="5">
        <f>J304*Assumptions!$E$43</f>
        <v>2071.0748489287057</v>
      </c>
      <c r="L304" s="5">
        <f>K304*Assumptions!$D$44*-1</f>
        <v>-310.66122733930587</v>
      </c>
      <c r="M304" s="2">
        <f>J304*Assumptions!$E$46*-1</f>
        <v>-77.071307784408845</v>
      </c>
      <c r="N304" s="5">
        <f t="shared" si="34"/>
        <v>2312175.3625761308</v>
      </c>
      <c r="O304" s="88">
        <f>Assumptions!$D$30</f>
        <v>2756</v>
      </c>
      <c r="P304" s="23">
        <f>(Model_Renter[[#This Row],[Monthly Investment]]*-1)+Model_Renter[[#This Row],[Less Renter''s Insurance]]</f>
        <v>-1232.8889664732724</v>
      </c>
    </row>
    <row r="305" spans="1:16" x14ac:dyDescent="0.25">
      <c r="A305" s="17">
        <f t="shared" si="35"/>
        <v>303</v>
      </c>
      <c r="B305" s="17">
        <f t="shared" si="29"/>
        <v>26</v>
      </c>
      <c r="C305" s="23">
        <f>MAX(Model_30y!V305, Model_15y!V305)</f>
        <v>8151.338978477108</v>
      </c>
      <c r="D305" s="2">
        <f>D293*(1+Assumptions!$D$52)</f>
        <v>-6901.3698889653697</v>
      </c>
      <c r="E305" s="2">
        <f>E293+(E293*Assumptions!$D$52)</f>
        <v>-57.594886591510559</v>
      </c>
      <c r="F305" s="22">
        <f t="shared" si="30"/>
        <v>1192.3742029202276</v>
      </c>
      <c r="G305" s="5">
        <f t="shared" si="31"/>
        <v>2312175.3625761308</v>
      </c>
      <c r="H305" s="5">
        <f t="shared" si="32"/>
        <v>1192.3742029202276</v>
      </c>
      <c r="I305" s="3">
        <f>Assumptions!$E$45</f>
        <v>6.9899151946608562E-3</v>
      </c>
      <c r="J305" s="5">
        <f t="shared" si="33"/>
        <v>2329529.6464786422</v>
      </c>
      <c r="K305" s="5">
        <f>J305*Assumptions!$E$43</f>
        <v>2086.2696766436065</v>
      </c>
      <c r="L305" s="5">
        <f>K305*Assumptions!$D$44*-1</f>
        <v>-312.94045149654096</v>
      </c>
      <c r="M305" s="2">
        <f>J305*Assumptions!$E$46*-1</f>
        <v>-77.636755838665295</v>
      </c>
      <c r="N305" s="5">
        <f t="shared" si="34"/>
        <v>2329139.069271307</v>
      </c>
      <c r="O305" s="88">
        <f>Assumptions!$D$30</f>
        <v>2756</v>
      </c>
      <c r="P305" s="23">
        <f>(Model_Renter[[#This Row],[Monthly Investment]]*-1)+Model_Renter[[#This Row],[Less Renter''s Insurance]]</f>
        <v>-1249.9690895117383</v>
      </c>
    </row>
    <row r="306" spans="1:16" x14ac:dyDescent="0.25">
      <c r="A306" s="17">
        <f t="shared" si="35"/>
        <v>304</v>
      </c>
      <c r="B306" s="17">
        <f t="shared" si="29"/>
        <v>26</v>
      </c>
      <c r="C306" s="23">
        <f>MAX(Model_30y!V306, Model_15y!V306)</f>
        <v>8168.488688051073</v>
      </c>
      <c r="D306" s="2">
        <f>D294*(1+Assumptions!$D$52)</f>
        <v>-6901.3698889653697</v>
      </c>
      <c r="E306" s="2">
        <f>E294+(E294*Assumptions!$D$52)</f>
        <v>-57.594886591510559</v>
      </c>
      <c r="F306" s="22">
        <f t="shared" si="30"/>
        <v>1209.5239124941927</v>
      </c>
      <c r="G306" s="5">
        <f t="shared" si="31"/>
        <v>2329139.069271307</v>
      </c>
      <c r="H306" s="5">
        <f t="shared" si="32"/>
        <v>1209.5239124941927</v>
      </c>
      <c r="I306" s="3">
        <f>Assumptions!$E$45</f>
        <v>6.9899151946608562E-3</v>
      </c>
      <c r="J306" s="5">
        <f t="shared" si="33"/>
        <v>2346629.077754579</v>
      </c>
      <c r="K306" s="5">
        <f>J306*Assumptions!$E$43</f>
        <v>2101.5835083489742</v>
      </c>
      <c r="L306" s="5">
        <f>K306*Assumptions!$D$44*-1</f>
        <v>-315.23752625234613</v>
      </c>
      <c r="M306" s="2">
        <f>J306*Assumptions!$E$46*-1</f>
        <v>-78.206632411370293</v>
      </c>
      <c r="N306" s="5">
        <f t="shared" si="34"/>
        <v>2346235.6335959155</v>
      </c>
      <c r="O306" s="88">
        <f>Assumptions!$D$30</f>
        <v>2756</v>
      </c>
      <c r="P306" s="23">
        <f>(Model_Renter[[#This Row],[Monthly Investment]]*-1)+Model_Renter[[#This Row],[Less Renter''s Insurance]]</f>
        <v>-1267.1187990857034</v>
      </c>
    </row>
    <row r="307" spans="1:16" x14ac:dyDescent="0.25">
      <c r="A307" s="17">
        <f t="shared" si="35"/>
        <v>305</v>
      </c>
      <c r="B307" s="17">
        <f t="shared" si="29"/>
        <v>26</v>
      </c>
      <c r="C307" s="23">
        <f>MAX(Model_30y!V307, Model_15y!V307)</f>
        <v>8185.7082676646969</v>
      </c>
      <c r="D307" s="2">
        <f>D295*(1+Assumptions!$D$52)</f>
        <v>-6901.3698889653697</v>
      </c>
      <c r="E307" s="2">
        <f>E295+(E295*Assumptions!$D$52)</f>
        <v>-57.594886591510559</v>
      </c>
      <c r="F307" s="22">
        <f t="shared" si="30"/>
        <v>1226.7434921078166</v>
      </c>
      <c r="G307" s="5">
        <f t="shared" si="31"/>
        <v>2346235.6335959155</v>
      </c>
      <c r="H307" s="5">
        <f t="shared" si="32"/>
        <v>1226.7434921078166</v>
      </c>
      <c r="I307" s="3">
        <f>Assumptions!$E$45</f>
        <v>6.9899151946608562E-3</v>
      </c>
      <c r="J307" s="5">
        <f t="shared" si="33"/>
        <v>2363862.36519355</v>
      </c>
      <c r="K307" s="5">
        <f>J307*Assumptions!$E$43</f>
        <v>2117.0172183544064</v>
      </c>
      <c r="L307" s="5">
        <f>K307*Assumptions!$D$44*-1</f>
        <v>-317.55258275316095</v>
      </c>
      <c r="M307" s="2">
        <f>J307*Assumptions!$E$46*-1</f>
        <v>-78.780970038375543</v>
      </c>
      <c r="N307" s="5">
        <f t="shared" si="34"/>
        <v>2363466.0316407583</v>
      </c>
      <c r="O307" s="88">
        <f>Assumptions!$D$30</f>
        <v>2756</v>
      </c>
      <c r="P307" s="23">
        <f>(Model_Renter[[#This Row],[Monthly Investment]]*-1)+Model_Renter[[#This Row],[Less Renter''s Insurance]]</f>
        <v>-1284.3383786993272</v>
      </c>
    </row>
    <row r="308" spans="1:16" x14ac:dyDescent="0.25">
      <c r="A308" s="17">
        <f t="shared" si="35"/>
        <v>306</v>
      </c>
      <c r="B308" s="17">
        <f t="shared" si="29"/>
        <v>26</v>
      </c>
      <c r="C308" s="23">
        <f>MAX(Model_30y!V308, Model_15y!V308)</f>
        <v>8202.9980019771665</v>
      </c>
      <c r="D308" s="2">
        <f>D296*(1+Assumptions!$D$52)</f>
        <v>-6901.3698889653697</v>
      </c>
      <c r="E308" s="2">
        <f>E296+(E296*Assumptions!$D$52)</f>
        <v>-57.594886591510559</v>
      </c>
      <c r="F308" s="22">
        <f t="shared" si="30"/>
        <v>1244.0332264202862</v>
      </c>
      <c r="G308" s="5">
        <f t="shared" si="31"/>
        <v>2363466.0316407583</v>
      </c>
      <c r="H308" s="5">
        <f t="shared" si="32"/>
        <v>1244.0332264202862</v>
      </c>
      <c r="I308" s="3">
        <f>Assumptions!$E$45</f>
        <v>6.9899151946608562E-3</v>
      </c>
      <c r="J308" s="5">
        <f t="shared" si="33"/>
        <v>2381230.4919938091</v>
      </c>
      <c r="K308" s="5">
        <f>J308*Assumptions!$E$43</f>
        <v>2132.5716871881705</v>
      </c>
      <c r="L308" s="5">
        <f>K308*Assumptions!$D$44*-1</f>
        <v>-319.88575307822555</v>
      </c>
      <c r="M308" s="2">
        <f>J308*Assumptions!$E$46*-1</f>
        <v>-79.35980148694928</v>
      </c>
      <c r="N308" s="5">
        <f t="shared" si="34"/>
        <v>2380831.2464392441</v>
      </c>
      <c r="O308" s="88">
        <f>Assumptions!$D$30</f>
        <v>2756</v>
      </c>
      <c r="P308" s="23">
        <f>(Model_Renter[[#This Row],[Monthly Investment]]*-1)+Model_Renter[[#This Row],[Less Renter''s Insurance]]</f>
        <v>-1301.6281130117968</v>
      </c>
    </row>
    <row r="309" spans="1:16" x14ac:dyDescent="0.25">
      <c r="A309" s="17">
        <f t="shared" si="35"/>
        <v>307</v>
      </c>
      <c r="B309" s="17">
        <f t="shared" si="29"/>
        <v>26</v>
      </c>
      <c r="C309" s="23">
        <f>MAX(Model_30y!V309, Model_15y!V309)</f>
        <v>8220.3581768074146</v>
      </c>
      <c r="D309" s="2">
        <f>D297*(1+Assumptions!$D$52)</f>
        <v>-6901.3698889653697</v>
      </c>
      <c r="E309" s="2">
        <f>E297+(E297*Assumptions!$D$52)</f>
        <v>-57.594886591510559</v>
      </c>
      <c r="F309" s="22">
        <f t="shared" si="30"/>
        <v>1261.3934012505342</v>
      </c>
      <c r="G309" s="5">
        <f t="shared" si="31"/>
        <v>2380831.2464392441</v>
      </c>
      <c r="H309" s="5">
        <f t="shared" si="32"/>
        <v>1261.3934012505342</v>
      </c>
      <c r="I309" s="3">
        <f>Assumptions!$E$45</f>
        <v>6.9899151946608562E-3</v>
      </c>
      <c r="J309" s="5">
        <f t="shared" si="33"/>
        <v>2398734.4483459038</v>
      </c>
      <c r="K309" s="5">
        <f>J309*Assumptions!$E$43</f>
        <v>2148.2478016406608</v>
      </c>
      <c r="L309" s="5">
        <f>K309*Assumptions!$D$44*-1</f>
        <v>-322.23717024609908</v>
      </c>
      <c r="M309" s="2">
        <f>J309*Assumptions!$E$46*-1</f>
        <v>-79.94315975739346</v>
      </c>
      <c r="N309" s="5">
        <f t="shared" si="34"/>
        <v>2398332.2680159002</v>
      </c>
      <c r="O309" s="88">
        <f>Assumptions!$D$30</f>
        <v>2756</v>
      </c>
      <c r="P309" s="23">
        <f>(Model_Renter[[#This Row],[Monthly Investment]]*-1)+Model_Renter[[#This Row],[Less Renter''s Insurance]]</f>
        <v>-1318.9882878420449</v>
      </c>
    </row>
    <row r="310" spans="1:16" x14ac:dyDescent="0.25">
      <c r="A310" s="17">
        <f t="shared" si="35"/>
        <v>308</v>
      </c>
      <c r="B310" s="17">
        <f t="shared" si="29"/>
        <v>26</v>
      </c>
      <c r="C310" s="23">
        <f>MAX(Model_30y!V310, Model_15y!V310)</f>
        <v>8237.7890791388254</v>
      </c>
      <c r="D310" s="2">
        <f>D298*(1+Assumptions!$D$52)</f>
        <v>-6901.3698889653697</v>
      </c>
      <c r="E310" s="2">
        <f>E298+(E298*Assumptions!$D$52)</f>
        <v>-57.594886591510559</v>
      </c>
      <c r="F310" s="22">
        <f t="shared" si="30"/>
        <v>1278.8243035819451</v>
      </c>
      <c r="G310" s="5">
        <f t="shared" si="31"/>
        <v>2398332.2680159002</v>
      </c>
      <c r="H310" s="5">
        <f t="shared" si="32"/>
        <v>1278.8243035819451</v>
      </c>
      <c r="I310" s="3">
        <f>Assumptions!$E$45</f>
        <v>6.9899151946608562E-3</v>
      </c>
      <c r="J310" s="5">
        <f t="shared" si="33"/>
        <v>2416375.2314815316</v>
      </c>
      <c r="K310" s="5">
        <f>J310*Assumptions!$E$43</f>
        <v>2164.0464548081527</v>
      </c>
      <c r="L310" s="5">
        <f>K310*Assumptions!$D$44*-1</f>
        <v>-324.60696822122287</v>
      </c>
      <c r="M310" s="2">
        <f>J310*Assumptions!$E$46*-1</f>
        <v>-80.531078084672046</v>
      </c>
      <c r="N310" s="5">
        <f t="shared" si="34"/>
        <v>2415970.0934352255</v>
      </c>
      <c r="O310" s="88">
        <f>Assumptions!$D$30</f>
        <v>2756</v>
      </c>
      <c r="P310" s="23">
        <f>(Model_Renter[[#This Row],[Monthly Investment]]*-1)+Model_Renter[[#This Row],[Less Renter''s Insurance]]</f>
        <v>-1336.4191901734557</v>
      </c>
    </row>
    <row r="311" spans="1:16" x14ac:dyDescent="0.25">
      <c r="A311" s="17">
        <f t="shared" si="35"/>
        <v>309</v>
      </c>
      <c r="B311" s="17">
        <f t="shared" si="29"/>
        <v>26</v>
      </c>
      <c r="C311" s="23">
        <f>MAX(Model_30y!V311, Model_15y!V311)</f>
        <v>8255.2909971239951</v>
      </c>
      <c r="D311" s="2">
        <f>D299*(1+Assumptions!$D$52)</f>
        <v>-6901.3698889653697</v>
      </c>
      <c r="E311" s="2">
        <f>E299+(E299*Assumptions!$D$52)</f>
        <v>-57.594886591510559</v>
      </c>
      <c r="F311" s="22">
        <f t="shared" si="30"/>
        <v>1296.3262215671148</v>
      </c>
      <c r="G311" s="5">
        <f t="shared" si="31"/>
        <v>2415970.0934352255</v>
      </c>
      <c r="H311" s="5">
        <f t="shared" si="32"/>
        <v>1296.3262215671148</v>
      </c>
      <c r="I311" s="3">
        <f>Assumptions!$E$45</f>
        <v>6.9899151946608562E-3</v>
      </c>
      <c r="J311" s="5">
        <f t="shared" si="33"/>
        <v>2434153.8457227419</v>
      </c>
      <c r="K311" s="5">
        <f>J311*Assumptions!$E$43</f>
        <v>2179.9685461368676</v>
      </c>
      <c r="L311" s="5">
        <f>K311*Assumptions!$D$44*-1</f>
        <v>-326.99528192053015</v>
      </c>
      <c r="M311" s="2">
        <f>J311*Assumptions!$E$46*-1</f>
        <v>-81.123589940050707</v>
      </c>
      <c r="N311" s="5">
        <f t="shared" si="34"/>
        <v>2433745.7268508812</v>
      </c>
      <c r="O311" s="88">
        <f>Assumptions!$D$30</f>
        <v>2756</v>
      </c>
      <c r="P311" s="23">
        <f>(Model_Renter[[#This Row],[Monthly Investment]]*-1)+Model_Renter[[#This Row],[Less Renter''s Insurance]]</f>
        <v>-1353.9211081586254</v>
      </c>
    </row>
    <row r="312" spans="1:16" x14ac:dyDescent="0.25">
      <c r="A312" s="17">
        <f t="shared" si="35"/>
        <v>310</v>
      </c>
      <c r="B312" s="17">
        <f t="shared" si="29"/>
        <v>26</v>
      </c>
      <c r="C312" s="23">
        <f>MAX(Model_30y!V312, Model_15y!V312)</f>
        <v>8272.8642200894883</v>
      </c>
      <c r="D312" s="2">
        <f>D300*(1+Assumptions!$D$52)</f>
        <v>-6901.3698889653697</v>
      </c>
      <c r="E312" s="2">
        <f>E300+(E300*Assumptions!$D$52)</f>
        <v>-57.594886591510559</v>
      </c>
      <c r="F312" s="22">
        <f t="shared" si="30"/>
        <v>1313.899444532608</v>
      </c>
      <c r="G312" s="5">
        <f t="shared" si="31"/>
        <v>2433745.7268508812</v>
      </c>
      <c r="H312" s="5">
        <f t="shared" si="32"/>
        <v>1313.899444532608</v>
      </c>
      <c r="I312" s="3">
        <f>Assumptions!$E$45</f>
        <v>6.9899151946608562E-3</v>
      </c>
      <c r="J312" s="5">
        <f t="shared" si="33"/>
        <v>2452071.3025314696</v>
      </c>
      <c r="K312" s="5">
        <f>J312*Assumptions!$E$43</f>
        <v>2196.0149814673323</v>
      </c>
      <c r="L312" s="5">
        <f>K312*Assumptions!$D$44*-1</f>
        <v>-329.40224722009981</v>
      </c>
      <c r="M312" s="2">
        <f>J312*Assumptions!$E$46*-1</f>
        <v>-81.720729032747712</v>
      </c>
      <c r="N312" s="5">
        <f t="shared" si="34"/>
        <v>2451660.1795552168</v>
      </c>
      <c r="O312" s="88">
        <f>Assumptions!$D$30</f>
        <v>2756</v>
      </c>
      <c r="P312" s="23">
        <f>(Model_Renter[[#This Row],[Monthly Investment]]*-1)+Model_Renter[[#This Row],[Less Renter''s Insurance]]</f>
        <v>-1371.4943311241186</v>
      </c>
    </row>
    <row r="313" spans="1:16" x14ac:dyDescent="0.25">
      <c r="A313" s="17">
        <f t="shared" si="35"/>
        <v>311</v>
      </c>
      <c r="B313" s="17">
        <f t="shared" si="29"/>
        <v>26</v>
      </c>
      <c r="C313" s="23">
        <f>MAX(Model_30y!V313, Model_15y!V313)</f>
        <v>8290.5090385406183</v>
      </c>
      <c r="D313" s="2">
        <f>D301*(1+Assumptions!$D$52)</f>
        <v>-6901.3698889653697</v>
      </c>
      <c r="E313" s="2">
        <f>E301+(E301*Assumptions!$D$52)</f>
        <v>-57.594886591510559</v>
      </c>
      <c r="F313" s="22">
        <f t="shared" si="30"/>
        <v>1331.544262983738</v>
      </c>
      <c r="G313" s="5">
        <f t="shared" si="31"/>
        <v>2451660.1795552168</v>
      </c>
      <c r="H313" s="5">
        <f t="shared" si="32"/>
        <v>1331.544262983738</v>
      </c>
      <c r="I313" s="3">
        <f>Assumptions!$E$45</f>
        <v>6.9899151946608562E-3</v>
      </c>
      <c r="J313" s="5">
        <f t="shared" si="33"/>
        <v>2470128.6205594186</v>
      </c>
      <c r="K313" s="5">
        <f>J313*Assumptions!$E$43</f>
        <v>2212.1866730790557</v>
      </c>
      <c r="L313" s="5">
        <f>K313*Assumptions!$D$44*-1</f>
        <v>-331.82800096185832</v>
      </c>
      <c r="M313" s="2">
        <f>J313*Assumptions!$E$46*-1</f>
        <v>-82.322529311596341</v>
      </c>
      <c r="N313" s="5">
        <f t="shared" si="34"/>
        <v>2469714.470029145</v>
      </c>
      <c r="O313" s="88">
        <f>Assumptions!$D$30</f>
        <v>2756</v>
      </c>
      <c r="P313" s="23">
        <f>(Model_Renter[[#This Row],[Monthly Investment]]*-1)+Model_Renter[[#This Row],[Less Renter''s Insurance]]</f>
        <v>-1389.1391495752487</v>
      </c>
    </row>
    <row r="314" spans="1:16" x14ac:dyDescent="0.25">
      <c r="A314" s="17">
        <f t="shared" si="35"/>
        <v>312</v>
      </c>
      <c r="B314" s="17">
        <f t="shared" si="29"/>
        <v>26</v>
      </c>
      <c r="C314" s="23">
        <f>MAX(Model_30y!V314, Model_15y!V314)</f>
        <v>8308.2257441662605</v>
      </c>
      <c r="D314" s="2">
        <f>D302*(1+Assumptions!$D$52)</f>
        <v>-6901.3698889653697</v>
      </c>
      <c r="E314" s="2">
        <f>E302+(E302*Assumptions!$D$52)</f>
        <v>-57.594886591510559</v>
      </c>
      <c r="F314" s="22">
        <f t="shared" si="30"/>
        <v>1349.2609686093801</v>
      </c>
      <c r="G314" s="5">
        <f t="shared" si="31"/>
        <v>2469714.470029145</v>
      </c>
      <c r="H314" s="5">
        <f t="shared" si="32"/>
        <v>1349.2609686093801</v>
      </c>
      <c r="I314" s="3">
        <f>Assumptions!$E$45</f>
        <v>6.9899151946608562E-3</v>
      </c>
      <c r="J314" s="5">
        <f t="shared" si="33"/>
        <v>2488326.8256982849</v>
      </c>
      <c r="K314" s="5">
        <f>J314*Assumptions!$E$43</f>
        <v>2228.4845397355061</v>
      </c>
      <c r="L314" s="5">
        <f>K314*Assumptions!$D$44*-1</f>
        <v>-334.27268096032589</v>
      </c>
      <c r="M314" s="2">
        <f>J314*Assumptions!$E$46*-1</f>
        <v>-82.929024966718728</v>
      </c>
      <c r="N314" s="5">
        <f t="shared" si="34"/>
        <v>2487909.6239923579</v>
      </c>
      <c r="O314" s="88">
        <f>Assumptions!$D$30</f>
        <v>2756</v>
      </c>
      <c r="P314" s="23">
        <f>(Model_Renter[[#This Row],[Monthly Investment]]*-1)+Model_Renter[[#This Row],[Less Renter''s Insurance]]</f>
        <v>-1406.8558552008908</v>
      </c>
    </row>
    <row r="315" spans="1:16" x14ac:dyDescent="0.25">
      <c r="A315" s="17">
        <f t="shared" si="35"/>
        <v>313</v>
      </c>
      <c r="B315" s="17">
        <f t="shared" si="29"/>
        <v>27</v>
      </c>
      <c r="C315" s="23">
        <f>MAX(Model_30y!V315, Model_15y!V315)</f>
        <v>8381.0287878210202</v>
      </c>
      <c r="D315" s="2">
        <f>D303*(1+Assumptions!$D$52)</f>
        <v>-7159.4811228126755</v>
      </c>
      <c r="E315" s="2">
        <f>E303+(E303*Assumptions!$D$52)</f>
        <v>-59.748935350033051</v>
      </c>
      <c r="F315" s="22">
        <f t="shared" si="30"/>
        <v>1161.7987296583117</v>
      </c>
      <c r="G315" s="5">
        <f t="shared" si="31"/>
        <v>2487909.6239923579</v>
      </c>
      <c r="H315" s="5">
        <f t="shared" si="32"/>
        <v>1161.7987296583117</v>
      </c>
      <c r="I315" s="3">
        <f>Assumptions!$E$45</f>
        <v>6.9899151946608562E-3</v>
      </c>
      <c r="J315" s="5">
        <f t="shared" si="33"/>
        <v>2506461.7000057031</v>
      </c>
      <c r="K315" s="5">
        <f>J315*Assumptions!$E$43</f>
        <v>2244.725688850951</v>
      </c>
      <c r="L315" s="5">
        <f>K315*Assumptions!$D$44*-1</f>
        <v>-336.70885332764266</v>
      </c>
      <c r="M315" s="2">
        <f>J315*Assumptions!$E$46*-1</f>
        <v>-83.533409981049061</v>
      </c>
      <c r="N315" s="5">
        <f t="shared" si="34"/>
        <v>2506041.4577423944</v>
      </c>
      <c r="O315" s="88">
        <f>Assumptions!$D$30</f>
        <v>2756</v>
      </c>
      <c r="P315" s="23">
        <f>(Model_Renter[[#This Row],[Monthly Investment]]*-1)+Model_Renter[[#This Row],[Less Renter''s Insurance]]</f>
        <v>-1221.5476650083447</v>
      </c>
    </row>
    <row r="316" spans="1:16" x14ac:dyDescent="0.25">
      <c r="A316" s="17">
        <f t="shared" si="35"/>
        <v>314</v>
      </c>
      <c r="B316" s="17">
        <f t="shared" si="29"/>
        <v>27</v>
      </c>
      <c r="C316" s="23">
        <f>MAX(Model_30y!V316, Model_15y!V316)</f>
        <v>8398.8901476206411</v>
      </c>
      <c r="D316" s="2">
        <f>D304*(1+Assumptions!$D$52)</f>
        <v>-7159.4811228126755</v>
      </c>
      <c r="E316" s="2">
        <f>E304+(E304*Assumptions!$D$52)</f>
        <v>-59.748935350033051</v>
      </c>
      <c r="F316" s="22">
        <f t="shared" si="30"/>
        <v>1179.6600894579326</v>
      </c>
      <c r="G316" s="5">
        <f t="shared" si="31"/>
        <v>2506041.4577423944</v>
      </c>
      <c r="H316" s="5">
        <f t="shared" si="32"/>
        <v>1179.6600894579326</v>
      </c>
      <c r="I316" s="3">
        <f>Assumptions!$E$45</f>
        <v>6.9899151946608562E-3</v>
      </c>
      <c r="J316" s="5">
        <f t="shared" si="33"/>
        <v>2524738.1350957761</v>
      </c>
      <c r="K316" s="5">
        <f>J316*Assumptions!$E$43</f>
        <v>2261.0936163350257</v>
      </c>
      <c r="L316" s="5">
        <f>K316*Assumptions!$D$44*-1</f>
        <v>-339.16404245025382</v>
      </c>
      <c r="M316" s="2">
        <f>J316*Assumptions!$E$46*-1</f>
        <v>-84.142512823261896</v>
      </c>
      <c r="N316" s="5">
        <f t="shared" si="34"/>
        <v>2524314.8285405026</v>
      </c>
      <c r="O316" s="88">
        <f>Assumptions!$D$30</f>
        <v>2756</v>
      </c>
      <c r="P316" s="23">
        <f>(Model_Renter[[#This Row],[Monthly Investment]]*-1)+Model_Renter[[#This Row],[Less Renter''s Insurance]]</f>
        <v>-1239.4090248079656</v>
      </c>
    </row>
    <row r="317" spans="1:16" x14ac:dyDescent="0.25">
      <c r="A317" s="17">
        <f t="shared" si="35"/>
        <v>315</v>
      </c>
      <c r="B317" s="17">
        <f t="shared" si="29"/>
        <v>27</v>
      </c>
      <c r="C317" s="23">
        <f>MAX(Model_30y!V317, Model_15y!V317)</f>
        <v>8416.8242768110322</v>
      </c>
      <c r="D317" s="2">
        <f>D305*(1+Assumptions!$D$52)</f>
        <v>-7159.4811228126755</v>
      </c>
      <c r="E317" s="2">
        <f>E305+(E305*Assumptions!$D$52)</f>
        <v>-59.748935350033051</v>
      </c>
      <c r="F317" s="22">
        <f t="shared" si="30"/>
        <v>1197.5942186483237</v>
      </c>
      <c r="G317" s="5">
        <f t="shared" si="31"/>
        <v>2524314.8285405026</v>
      </c>
      <c r="H317" s="5">
        <f t="shared" si="32"/>
        <v>1197.5942186483237</v>
      </c>
      <c r="I317" s="3">
        <f>Assumptions!$E$45</f>
        <v>6.9899151946608562E-3</v>
      </c>
      <c r="J317" s="5">
        <f t="shared" si="33"/>
        <v>2543157.169335274</v>
      </c>
      <c r="K317" s="5">
        <f>J317*Assumptions!$E$43</f>
        <v>2277.5892521235687</v>
      </c>
      <c r="L317" s="5">
        <f>K317*Assumptions!$D$44*-1</f>
        <v>-341.63838781853531</v>
      </c>
      <c r="M317" s="2">
        <f>J317*Assumptions!$E$46*-1</f>
        <v>-84.756368099238969</v>
      </c>
      <c r="N317" s="5">
        <f t="shared" si="34"/>
        <v>2542730.7745793564</v>
      </c>
      <c r="O317" s="88">
        <f>Assumptions!$D$30</f>
        <v>2756</v>
      </c>
      <c r="P317" s="23">
        <f>(Model_Renter[[#This Row],[Monthly Investment]]*-1)+Model_Renter[[#This Row],[Less Renter''s Insurance]]</f>
        <v>-1257.3431539983567</v>
      </c>
    </row>
    <row r="318" spans="1:16" x14ac:dyDescent="0.25">
      <c r="A318" s="17">
        <f t="shared" si="35"/>
        <v>316</v>
      </c>
      <c r="B318" s="17">
        <f t="shared" si="29"/>
        <v>27</v>
      </c>
      <c r="C318" s="23">
        <f>MAX(Model_30y!V318, Model_15y!V318)</f>
        <v>8434.8314718636939</v>
      </c>
      <c r="D318" s="2">
        <f>D306*(1+Assumptions!$D$52)</f>
        <v>-7159.4811228126755</v>
      </c>
      <c r="E318" s="2">
        <f>E306+(E306*Assumptions!$D$52)</f>
        <v>-59.748935350033051</v>
      </c>
      <c r="F318" s="22">
        <f t="shared" si="30"/>
        <v>1215.6014137009854</v>
      </c>
      <c r="G318" s="5">
        <f t="shared" si="31"/>
        <v>2542730.7745793564</v>
      </c>
      <c r="H318" s="5">
        <f t="shared" si="32"/>
        <v>1215.6014137009854</v>
      </c>
      <c r="I318" s="3">
        <f>Assumptions!$E$45</f>
        <v>6.9899151946608562E-3</v>
      </c>
      <c r="J318" s="5">
        <f t="shared" si="33"/>
        <v>2561719.8484702217</v>
      </c>
      <c r="K318" s="5">
        <f>J318*Assumptions!$E$43</f>
        <v>2294.2135327610986</v>
      </c>
      <c r="L318" s="5">
        <f>K318*Assumptions!$D$44*-1</f>
        <v>-344.13202991416478</v>
      </c>
      <c r="M318" s="2">
        <f>J318*Assumptions!$E$46*-1</f>
        <v>-85.375010660792071</v>
      </c>
      <c r="N318" s="5">
        <f t="shared" si="34"/>
        <v>2561290.3414296466</v>
      </c>
      <c r="O318" s="88">
        <f>Assumptions!$D$30</f>
        <v>2756</v>
      </c>
      <c r="P318" s="23">
        <f>(Model_Renter[[#This Row],[Monthly Investment]]*-1)+Model_Renter[[#This Row],[Less Renter''s Insurance]]</f>
        <v>-1275.3503490510184</v>
      </c>
    </row>
    <row r="319" spans="1:16" x14ac:dyDescent="0.25">
      <c r="A319" s="17">
        <f t="shared" si="35"/>
        <v>317</v>
      </c>
      <c r="B319" s="17">
        <f t="shared" si="29"/>
        <v>27</v>
      </c>
      <c r="C319" s="23">
        <f>MAX(Model_30y!V319, Model_15y!V319)</f>
        <v>8452.9120304579992</v>
      </c>
      <c r="D319" s="2">
        <f>D307*(1+Assumptions!$D$52)</f>
        <v>-7159.4811228126755</v>
      </c>
      <c r="E319" s="2">
        <f>E307+(E307*Assumptions!$D$52)</f>
        <v>-59.748935350033051</v>
      </c>
      <c r="F319" s="22">
        <f t="shared" si="30"/>
        <v>1233.6819722952907</v>
      </c>
      <c r="G319" s="5">
        <f t="shared" si="31"/>
        <v>2561290.3414296466</v>
      </c>
      <c r="H319" s="5">
        <f t="shared" si="32"/>
        <v>1233.6819722952907</v>
      </c>
      <c r="I319" s="3">
        <f>Assumptions!$E$45</f>
        <v>6.9899151946608562E-3</v>
      </c>
      <c r="J319" s="5">
        <f t="shared" si="33"/>
        <v>2580427.2256774395</v>
      </c>
      <c r="K319" s="5">
        <f>J319*Assumptions!$E$43</f>
        <v>2310.967401446972</v>
      </c>
      <c r="L319" s="5">
        <f>K319*Assumptions!$D$44*-1</f>
        <v>-346.64511021704578</v>
      </c>
      <c r="M319" s="2">
        <f>J319*Assumptions!$E$46*-1</f>
        <v>-85.998475607380755</v>
      </c>
      <c r="N319" s="5">
        <f t="shared" si="34"/>
        <v>2579994.5820916151</v>
      </c>
      <c r="O319" s="88">
        <f>Assumptions!$D$30</f>
        <v>2756</v>
      </c>
      <c r="P319" s="23">
        <f>(Model_Renter[[#This Row],[Monthly Investment]]*-1)+Model_Renter[[#This Row],[Less Renter''s Insurance]]</f>
        <v>-1293.4309076453237</v>
      </c>
    </row>
    <row r="320" spans="1:16" x14ac:dyDescent="0.25">
      <c r="A320" s="17">
        <f t="shared" si="35"/>
        <v>318</v>
      </c>
      <c r="B320" s="17">
        <f t="shared" si="29"/>
        <v>27</v>
      </c>
      <c r="C320" s="23">
        <f>MAX(Model_30y!V320, Model_15y!V320)</f>
        <v>8471.0662514860942</v>
      </c>
      <c r="D320" s="2">
        <f>D308*(1+Assumptions!$D$52)</f>
        <v>-7159.4811228126755</v>
      </c>
      <c r="E320" s="2">
        <f>E308+(E308*Assumptions!$D$52)</f>
        <v>-59.748935350033051</v>
      </c>
      <c r="F320" s="22">
        <f t="shared" si="30"/>
        <v>1251.8361933233857</v>
      </c>
      <c r="G320" s="5">
        <f t="shared" si="31"/>
        <v>2579994.5820916151</v>
      </c>
      <c r="H320" s="5">
        <f t="shared" si="32"/>
        <v>1251.8361933233857</v>
      </c>
      <c r="I320" s="3">
        <f>Assumptions!$E$45</f>
        <v>6.9899151946608562E-3</v>
      </c>
      <c r="J320" s="5">
        <f t="shared" si="33"/>
        <v>2599280.3616164434</v>
      </c>
      <c r="K320" s="5">
        <f>J320*Assumptions!$E$43</f>
        <v>2327.8518080818649</v>
      </c>
      <c r="L320" s="5">
        <f>K320*Assumptions!$D$44*-1</f>
        <v>-349.17777121227971</v>
      </c>
      <c r="M320" s="2">
        <f>J320*Assumptions!$E$46*-1</f>
        <v>-86.626798287842092</v>
      </c>
      <c r="N320" s="5">
        <f t="shared" si="34"/>
        <v>2598844.5570469433</v>
      </c>
      <c r="O320" s="88">
        <f>Assumptions!$D$30</f>
        <v>2756</v>
      </c>
      <c r="P320" s="23">
        <f>(Model_Renter[[#This Row],[Monthly Investment]]*-1)+Model_Renter[[#This Row],[Less Renter''s Insurance]]</f>
        <v>-1311.5851286734187</v>
      </c>
    </row>
    <row r="321" spans="1:16" x14ac:dyDescent="0.25">
      <c r="A321" s="17">
        <f t="shared" si="35"/>
        <v>319</v>
      </c>
      <c r="B321" s="17">
        <f t="shared" si="29"/>
        <v>27</v>
      </c>
      <c r="C321" s="23">
        <f>MAX(Model_30y!V321, Model_15y!V321)</f>
        <v>8489.2944350578528</v>
      </c>
      <c r="D321" s="2">
        <f>D309*(1+Assumptions!$D$52)</f>
        <v>-7159.4811228126755</v>
      </c>
      <c r="E321" s="2">
        <f>E309+(E309*Assumptions!$D$52)</f>
        <v>-59.748935350033051</v>
      </c>
      <c r="F321" s="22">
        <f t="shared" si="30"/>
        <v>1270.0643768951443</v>
      </c>
      <c r="G321" s="5">
        <f t="shared" si="31"/>
        <v>2598844.5570469433</v>
      </c>
      <c r="H321" s="5">
        <f t="shared" si="32"/>
        <v>1270.0643768951443</v>
      </c>
      <c r="I321" s="3">
        <f>Assumptions!$E$45</f>
        <v>6.9899151946608562E-3</v>
      </c>
      <c r="J321" s="5">
        <f t="shared" si="33"/>
        <v>2618280.3244817029</v>
      </c>
      <c r="K321" s="5">
        <f>J321*Assumptions!$E$43</f>
        <v>2344.8677093145725</v>
      </c>
      <c r="L321" s="5">
        <f>K321*Assumptions!$D$44*-1</f>
        <v>-351.73015639718585</v>
      </c>
      <c r="M321" s="2">
        <f>J321*Assumptions!$E$46*-1</f>
        <v>-87.260014302132205</v>
      </c>
      <c r="N321" s="5">
        <f t="shared" si="34"/>
        <v>2617841.3343110033</v>
      </c>
      <c r="O321" s="88">
        <f>Assumptions!$D$30</f>
        <v>2756</v>
      </c>
      <c r="P321" s="23">
        <f>(Model_Renter[[#This Row],[Monthly Investment]]*-1)+Model_Renter[[#This Row],[Less Renter''s Insurance]]</f>
        <v>-1329.8133122451773</v>
      </c>
    </row>
    <row r="322" spans="1:16" x14ac:dyDescent="0.25">
      <c r="A322" s="17">
        <f t="shared" si="35"/>
        <v>320</v>
      </c>
      <c r="B322" s="17">
        <f t="shared" si="29"/>
        <v>27</v>
      </c>
      <c r="C322" s="23">
        <f>MAX(Model_30y!V322, Model_15y!V322)</f>
        <v>8507.5968825058335</v>
      </c>
      <c r="D322" s="2">
        <f>D310*(1+Assumptions!$D$52)</f>
        <v>-7159.4811228126755</v>
      </c>
      <c r="E322" s="2">
        <f>E310+(E310*Assumptions!$D$52)</f>
        <v>-59.748935350033051</v>
      </c>
      <c r="F322" s="22">
        <f t="shared" si="30"/>
        <v>1288.366824343125</v>
      </c>
      <c r="G322" s="5">
        <f t="shared" si="31"/>
        <v>2617841.3343110033</v>
      </c>
      <c r="H322" s="5">
        <f t="shared" si="32"/>
        <v>1288.366824343125</v>
      </c>
      <c r="I322" s="3">
        <f>Assumptions!$E$45</f>
        <v>6.9899151946608562E-3</v>
      </c>
      <c r="J322" s="5">
        <f t="shared" si="33"/>
        <v>2637428.1900552586</v>
      </c>
      <c r="K322" s="5">
        <f>J322*Assumptions!$E$43</f>
        <v>2362.0160685891337</v>
      </c>
      <c r="L322" s="5">
        <f>K322*Assumptions!$D$44*-1</f>
        <v>-354.30241028837003</v>
      </c>
      <c r="M322" s="2">
        <f>J322*Assumptions!$E$46*-1</f>
        <v>-87.898159503079896</v>
      </c>
      <c r="N322" s="5">
        <f t="shared" si="34"/>
        <v>2636985.9894854673</v>
      </c>
      <c r="O322" s="88">
        <f>Assumptions!$D$30</f>
        <v>2756</v>
      </c>
      <c r="P322" s="23">
        <f>(Model_Renter[[#This Row],[Monthly Investment]]*-1)+Model_Renter[[#This Row],[Less Renter''s Insurance]]</f>
        <v>-1348.115759693158</v>
      </c>
    </row>
    <row r="323" spans="1:16" x14ac:dyDescent="0.25">
      <c r="A323" s="17">
        <f t="shared" si="35"/>
        <v>321</v>
      </c>
      <c r="B323" s="17">
        <f t="shared" ref="B323:B386" si="36">ROUNDUP(A323/12, 0)</f>
        <v>27</v>
      </c>
      <c r="C323" s="23">
        <f>MAX(Model_30y!V323, Model_15y!V323)</f>
        <v>8525.9738963902619</v>
      </c>
      <c r="D323" s="2">
        <f>D311*(1+Assumptions!$D$52)</f>
        <v>-7159.4811228126755</v>
      </c>
      <c r="E323" s="2">
        <f>E311+(E311*Assumptions!$D$52)</f>
        <v>-59.748935350033051</v>
      </c>
      <c r="F323" s="22">
        <f t="shared" ref="F323:F386" si="37">SUM(C323:E323)</f>
        <v>1306.7438382275534</v>
      </c>
      <c r="G323" s="5">
        <f t="shared" si="31"/>
        <v>2636985.9894854673</v>
      </c>
      <c r="H323" s="5">
        <f t="shared" si="32"/>
        <v>1306.7438382275534</v>
      </c>
      <c r="I323" s="3">
        <f>Assumptions!$E$45</f>
        <v>6.9899151946608562E-3</v>
      </c>
      <c r="J323" s="5">
        <f t="shared" si="33"/>
        <v>2656725.041759707</v>
      </c>
      <c r="K323" s="5">
        <f>J323*Assumptions!$E$43</f>
        <v>2379.2978561922814</v>
      </c>
      <c r="L323" s="5">
        <f>K323*Assumptions!$D$44*-1</f>
        <v>-356.89467842884221</v>
      </c>
      <c r="M323" s="2">
        <f>J323*Assumptions!$E$46*-1</f>
        <v>-88.541269998152501</v>
      </c>
      <c r="N323" s="5">
        <f t="shared" si="34"/>
        <v>2656279.6058112802</v>
      </c>
      <c r="O323" s="88">
        <f>Assumptions!$D$30</f>
        <v>2756</v>
      </c>
      <c r="P323" s="23">
        <f>(Model_Renter[[#This Row],[Monthly Investment]]*-1)+Model_Renter[[#This Row],[Less Renter''s Insurance]]</f>
        <v>-1366.4927735775864</v>
      </c>
    </row>
    <row r="324" spans="1:16" x14ac:dyDescent="0.25">
      <c r="A324" s="17">
        <f t="shared" si="35"/>
        <v>322</v>
      </c>
      <c r="B324" s="17">
        <f t="shared" si="36"/>
        <v>27</v>
      </c>
      <c r="C324" s="23">
        <f>MAX(Model_30y!V324, Model_15y!V324)</f>
        <v>8544.4257805040288</v>
      </c>
      <c r="D324" s="2">
        <f>D312*(1+Assumptions!$D$52)</f>
        <v>-7159.4811228126755</v>
      </c>
      <c r="E324" s="2">
        <f>E312+(E312*Assumptions!$D$52)</f>
        <v>-59.748935350033051</v>
      </c>
      <c r="F324" s="22">
        <f t="shared" si="37"/>
        <v>1325.1957223413203</v>
      </c>
      <c r="G324" s="5">
        <f t="shared" ref="G324:G387" si="38">N323</f>
        <v>2656279.6058112802</v>
      </c>
      <c r="H324" s="5">
        <f t="shared" ref="H324:H387" si="39">F324</f>
        <v>1325.1957223413203</v>
      </c>
      <c r="I324" s="3">
        <f>Assumptions!$E$45</f>
        <v>6.9899151946608562E-3</v>
      </c>
      <c r="J324" s="5">
        <f t="shared" ref="J324:J387" si="40">(G324+H324)+(G324*I324)</f>
        <v>2676171.9707115497</v>
      </c>
      <c r="K324" s="5">
        <f>J324*Assumptions!$E$43</f>
        <v>2396.7140493012212</v>
      </c>
      <c r="L324" s="5">
        <f>K324*Assumptions!$D$44*-1</f>
        <v>-359.50710739518314</v>
      </c>
      <c r="M324" s="2">
        <f>J324*Assumptions!$E$46*-1</f>
        <v>-89.189382151233843</v>
      </c>
      <c r="N324" s="5">
        <f t="shared" ref="N324:N387" si="41">J324+SUM(L324:M324)</f>
        <v>2675723.2742220033</v>
      </c>
      <c r="O324" s="88">
        <f>Assumptions!$D$30</f>
        <v>2756</v>
      </c>
      <c r="P324" s="23">
        <f>(Model_Renter[[#This Row],[Monthly Investment]]*-1)+Model_Renter[[#This Row],[Less Renter''s Insurance]]</f>
        <v>-1384.9446576913533</v>
      </c>
    </row>
    <row r="325" spans="1:16" x14ac:dyDescent="0.25">
      <c r="A325" s="17">
        <f t="shared" si="35"/>
        <v>323</v>
      </c>
      <c r="B325" s="17">
        <f t="shared" si="36"/>
        <v>27</v>
      </c>
      <c r="C325" s="23">
        <f>MAX(Model_30y!V325, Model_15y!V325)</f>
        <v>8562.9528398777184</v>
      </c>
      <c r="D325" s="2">
        <f>D313*(1+Assumptions!$D$52)</f>
        <v>-7159.4811228126755</v>
      </c>
      <c r="E325" s="2">
        <f>E313+(E313*Assumptions!$D$52)</f>
        <v>-59.748935350033051</v>
      </c>
      <c r="F325" s="22">
        <f t="shared" si="37"/>
        <v>1343.7227817150099</v>
      </c>
      <c r="G325" s="5">
        <f t="shared" si="38"/>
        <v>2675723.2742220033</v>
      </c>
      <c r="H325" s="5">
        <f t="shared" si="39"/>
        <v>1343.7227817150099</v>
      </c>
      <c r="I325" s="3">
        <f>Assumptions!$E$45</f>
        <v>6.9899151946608562E-3</v>
      </c>
      <c r="J325" s="5">
        <f t="shared" si="40"/>
        <v>2695770.0757749104</v>
      </c>
      <c r="K325" s="5">
        <f>J325*Assumptions!$E$43</f>
        <v>2414.2656320317392</v>
      </c>
      <c r="L325" s="5">
        <f>K325*Assumptions!$D$44*-1</f>
        <v>-362.13984480476086</v>
      </c>
      <c r="M325" s="2">
        <f>J325*Assumptions!$E$46*-1</f>
        <v>-89.842532584414471</v>
      </c>
      <c r="N325" s="5">
        <f t="shared" si="41"/>
        <v>2695318.0933975214</v>
      </c>
      <c r="O325" s="88">
        <f>Assumptions!$D$30</f>
        <v>2756</v>
      </c>
      <c r="P325" s="23">
        <f>(Model_Renter[[#This Row],[Monthly Investment]]*-1)+Model_Renter[[#This Row],[Less Renter''s Insurance]]</f>
        <v>-1403.4717170650429</v>
      </c>
    </row>
    <row r="326" spans="1:16" x14ac:dyDescent="0.25">
      <c r="A326" s="17">
        <f t="shared" si="35"/>
        <v>324</v>
      </c>
      <c r="B326" s="17">
        <f t="shared" si="36"/>
        <v>27</v>
      </c>
      <c r="C326" s="23">
        <f>MAX(Model_30y!V326, Model_15y!V326)</f>
        <v>8581.5553807846409</v>
      </c>
      <c r="D326" s="2">
        <f>D314*(1+Assumptions!$D$52)</f>
        <v>-7159.4811228126755</v>
      </c>
      <c r="E326" s="2">
        <f>E314+(E314*Assumptions!$D$52)</f>
        <v>-59.748935350033051</v>
      </c>
      <c r="F326" s="22">
        <f t="shared" si="37"/>
        <v>1362.3253226219324</v>
      </c>
      <c r="G326" s="5">
        <f t="shared" si="38"/>
        <v>2695318.0933975214</v>
      </c>
      <c r="H326" s="5">
        <f t="shared" si="39"/>
        <v>1362.3253226219324</v>
      </c>
      <c r="I326" s="3">
        <f>Assumptions!$E$45</f>
        <v>6.9899151946608562E-3</v>
      </c>
      <c r="J326" s="5">
        <f t="shared" si="40"/>
        <v>2715520.463615627</v>
      </c>
      <c r="K326" s="5">
        <f>J326*Assumptions!$E$43</f>
        <v>2431.9535954866469</v>
      </c>
      <c r="L326" s="5">
        <f>K326*Assumptions!$D$44*-1</f>
        <v>-364.793039322997</v>
      </c>
      <c r="M326" s="2">
        <f>J326*Assumptions!$E$46*-1</f>
        <v>-90.500758179794431</v>
      </c>
      <c r="N326" s="5">
        <f t="shared" si="41"/>
        <v>2715065.1698181243</v>
      </c>
      <c r="O326" s="88">
        <f>Assumptions!$D$30</f>
        <v>2756</v>
      </c>
      <c r="P326" s="23">
        <f>(Model_Renter[[#This Row],[Monthly Investment]]*-1)+Model_Renter[[#This Row],[Less Renter''s Insurance]]</f>
        <v>-1422.0742579719654</v>
      </c>
    </row>
    <row r="327" spans="1:16" x14ac:dyDescent="0.25">
      <c r="A327" s="17">
        <f t="shared" si="35"/>
        <v>325</v>
      </c>
      <c r="B327" s="17">
        <f t="shared" si="36"/>
        <v>28</v>
      </c>
      <c r="C327" s="23">
        <f>MAX(Model_30y!V327, Model_15y!V327)</f>
        <v>8657.9985766221398</v>
      </c>
      <c r="D327" s="2">
        <f>D315*(1+Assumptions!$D$52)</f>
        <v>-7427.24571680587</v>
      </c>
      <c r="E327" s="2">
        <f>E315+(E315*Assumptions!$D$52)</f>
        <v>-61.983545532124289</v>
      </c>
      <c r="F327" s="22">
        <f t="shared" si="37"/>
        <v>1168.7693142841456</v>
      </c>
      <c r="G327" s="5">
        <f t="shared" si="38"/>
        <v>2715065.1698181243</v>
      </c>
      <c r="H327" s="5">
        <f t="shared" si="39"/>
        <v>1168.7693142841456</v>
      </c>
      <c r="I327" s="3">
        <f>Assumptions!$E$45</f>
        <v>6.9899151946608562E-3</v>
      </c>
      <c r="J327" s="5">
        <f t="shared" si="40"/>
        <v>2735212.0144174146</v>
      </c>
      <c r="K327" s="5">
        <f>J327*Assumptions!$E$43</f>
        <v>2449.5888659310285</v>
      </c>
      <c r="L327" s="5">
        <f>K327*Assumptions!$D$44*-1</f>
        <v>-367.43832988965426</v>
      </c>
      <c r="M327" s="2">
        <f>J327*Assumptions!$E$46*-1</f>
        <v>-91.157022900011228</v>
      </c>
      <c r="N327" s="5">
        <f t="shared" si="41"/>
        <v>2734753.4190646247</v>
      </c>
      <c r="O327" s="88">
        <f>Assumptions!$D$30</f>
        <v>2756</v>
      </c>
      <c r="P327" s="23">
        <f>(Model_Renter[[#This Row],[Monthly Investment]]*-1)+Model_Renter[[#This Row],[Less Renter''s Insurance]]</f>
        <v>-1230.7528598162698</v>
      </c>
    </row>
    <row r="328" spans="1:16" x14ac:dyDescent="0.25">
      <c r="A328" s="17">
        <f t="shared" si="35"/>
        <v>326</v>
      </c>
      <c r="B328" s="17">
        <f t="shared" si="36"/>
        <v>28</v>
      </c>
      <c r="C328" s="23">
        <f>MAX(Model_30y!V328, Model_15y!V328)</f>
        <v>8676.7530044117429</v>
      </c>
      <c r="D328" s="2">
        <f>D316*(1+Assumptions!$D$52)</f>
        <v>-7427.24571680587</v>
      </c>
      <c r="E328" s="2">
        <f>E316+(E316*Assumptions!$D$52)</f>
        <v>-61.983545532124289</v>
      </c>
      <c r="F328" s="22">
        <f t="shared" si="37"/>
        <v>1187.5237420737487</v>
      </c>
      <c r="G328" s="5">
        <f t="shared" si="38"/>
        <v>2734753.4190646247</v>
      </c>
      <c r="H328" s="5">
        <f t="shared" si="39"/>
        <v>1187.5237420737487</v>
      </c>
      <c r="I328" s="3">
        <f>Assumptions!$E$45</f>
        <v>6.9899151946608562E-3</v>
      </c>
      <c r="J328" s="5">
        <f t="shared" si="40"/>
        <v>2755056.6372842691</v>
      </c>
      <c r="K328" s="5">
        <f>J328*Assumptions!$E$43</f>
        <v>2467.3612239665358</v>
      </c>
      <c r="L328" s="5">
        <f>K328*Assumptions!$D$44*-1</f>
        <v>-370.10418359498038</v>
      </c>
      <c r="M328" s="2">
        <f>J328*Assumptions!$E$46*-1</f>
        <v>-91.818389087195541</v>
      </c>
      <c r="N328" s="5">
        <f t="shared" si="41"/>
        <v>2754594.7147115869</v>
      </c>
      <c r="O328" s="88">
        <f>Assumptions!$D$30</f>
        <v>2756</v>
      </c>
      <c r="P328" s="23">
        <f>(Model_Renter[[#This Row],[Monthly Investment]]*-1)+Model_Renter[[#This Row],[Less Renter''s Insurance]]</f>
        <v>-1249.507287605873</v>
      </c>
    </row>
    <row r="329" spans="1:16" x14ac:dyDescent="0.25">
      <c r="A329" s="17">
        <f t="shared" si="35"/>
        <v>327</v>
      </c>
      <c r="B329" s="17">
        <f t="shared" si="36"/>
        <v>28</v>
      </c>
      <c r="C329" s="23">
        <f>MAX(Model_30y!V329, Model_15y!V329)</f>
        <v>8695.5838400616503</v>
      </c>
      <c r="D329" s="2">
        <f>D317*(1+Assumptions!$D$52)</f>
        <v>-7427.24571680587</v>
      </c>
      <c r="E329" s="2">
        <f>E317+(E317*Assumptions!$D$52)</f>
        <v>-61.983545532124289</v>
      </c>
      <c r="F329" s="22">
        <f t="shared" si="37"/>
        <v>1206.3545777236561</v>
      </c>
      <c r="G329" s="5">
        <f t="shared" si="38"/>
        <v>2754594.7147115869</v>
      </c>
      <c r="H329" s="5">
        <f t="shared" si="39"/>
        <v>1206.3545777236561</v>
      </c>
      <c r="I329" s="3">
        <f>Assumptions!$E$45</f>
        <v>6.9899151946608562E-3</v>
      </c>
      <c r="J329" s="5">
        <f t="shared" si="40"/>
        <v>2775055.4527408052</v>
      </c>
      <c r="K329" s="5">
        <f>J329*Assumptions!$E$43</f>
        <v>2485.2716731075598</v>
      </c>
      <c r="L329" s="5">
        <f>K329*Assumptions!$D$44*-1</f>
        <v>-372.79075096613394</v>
      </c>
      <c r="M329" s="2">
        <f>J329*Assumptions!$E$46*-1</f>
        <v>-92.484894085321926</v>
      </c>
      <c r="N329" s="5">
        <f t="shared" si="41"/>
        <v>2774590.1770957536</v>
      </c>
      <c r="O329" s="88">
        <f>Assumptions!$D$30</f>
        <v>2756</v>
      </c>
      <c r="P329" s="23">
        <f>(Model_Renter[[#This Row],[Monthly Investment]]*-1)+Model_Renter[[#This Row],[Less Renter''s Insurance]]</f>
        <v>-1268.3381232557804</v>
      </c>
    </row>
    <row r="330" spans="1:16" x14ac:dyDescent="0.25">
      <c r="A330" s="17">
        <f t="shared" si="35"/>
        <v>328</v>
      </c>
      <c r="B330" s="17">
        <f t="shared" si="36"/>
        <v>28</v>
      </c>
      <c r="C330" s="23">
        <f>MAX(Model_30y!V330, Model_15y!V330)</f>
        <v>8714.4913948669473</v>
      </c>
      <c r="D330" s="2">
        <f>D318*(1+Assumptions!$D$52)</f>
        <v>-7427.24571680587</v>
      </c>
      <c r="E330" s="2">
        <f>E318+(E318*Assumptions!$D$52)</f>
        <v>-61.983545532124289</v>
      </c>
      <c r="F330" s="22">
        <f t="shared" si="37"/>
        <v>1225.2621325289531</v>
      </c>
      <c r="G330" s="5">
        <f t="shared" si="38"/>
        <v>2774590.1770957536</v>
      </c>
      <c r="H330" s="5">
        <f t="shared" si="39"/>
        <v>1225.2621325289531</v>
      </c>
      <c r="I330" s="3">
        <f>Assumptions!$E$45</f>
        <v>6.9899151946608562E-3</v>
      </c>
      <c r="J330" s="5">
        <f t="shared" si="40"/>
        <v>2795209.5892661209</v>
      </c>
      <c r="K330" s="5">
        <f>J330*Assumptions!$E$43</f>
        <v>2503.3212239923319</v>
      </c>
      <c r="L330" s="5">
        <f>K330*Assumptions!$D$44*-1</f>
        <v>-375.49818359884978</v>
      </c>
      <c r="M330" s="2">
        <f>J330*Assumptions!$E$46*-1</f>
        <v>-93.156575503465845</v>
      </c>
      <c r="N330" s="5">
        <f t="shared" si="41"/>
        <v>2794740.9345070184</v>
      </c>
      <c r="O330" s="88">
        <f>Assumptions!$D$30</f>
        <v>2756</v>
      </c>
      <c r="P330" s="23">
        <f>(Model_Renter[[#This Row],[Monthly Investment]]*-1)+Model_Renter[[#This Row],[Less Renter''s Insurance]]</f>
        <v>-1287.2456780610773</v>
      </c>
    </row>
    <row r="331" spans="1:16" x14ac:dyDescent="0.25">
      <c r="A331" s="17">
        <f t="shared" si="35"/>
        <v>329</v>
      </c>
      <c r="B331" s="17">
        <f t="shared" si="36"/>
        <v>28</v>
      </c>
      <c r="C331" s="23">
        <f>MAX(Model_30y!V331, Model_15y!V331)</f>
        <v>8733.4759813909677</v>
      </c>
      <c r="D331" s="2">
        <f>D319*(1+Assumptions!$D$52)</f>
        <v>-7427.24571680587</v>
      </c>
      <c r="E331" s="2">
        <f>E319+(E319*Assumptions!$D$52)</f>
        <v>-61.983545532124289</v>
      </c>
      <c r="F331" s="22">
        <f t="shared" si="37"/>
        <v>1244.2467190529735</v>
      </c>
      <c r="G331" s="5">
        <f t="shared" si="38"/>
        <v>2794740.9345070184</v>
      </c>
      <c r="H331" s="5">
        <f t="shared" si="39"/>
        <v>1244.2467190529735</v>
      </c>
      <c r="I331" s="3">
        <f>Assumptions!$E$45</f>
        <v>6.9899151946608562E-3</v>
      </c>
      <c r="J331" s="5">
        <f t="shared" si="40"/>
        <v>2815520.1833493225</v>
      </c>
      <c r="K331" s="5">
        <f>J331*Assumptions!$E$43</f>
        <v>2521.5108944326512</v>
      </c>
      <c r="L331" s="5">
        <f>K331*Assumptions!$D$44*-1</f>
        <v>-378.22663416489769</v>
      </c>
      <c r="M331" s="2">
        <f>J331*Assumptions!$E$46*-1</f>
        <v>-93.833471217654051</v>
      </c>
      <c r="N331" s="5">
        <f t="shared" si="41"/>
        <v>2815048.1232439401</v>
      </c>
      <c r="O331" s="88">
        <f>Assumptions!$D$30</f>
        <v>2756</v>
      </c>
      <c r="P331" s="23">
        <f>(Model_Renter[[#This Row],[Monthly Investment]]*-1)+Model_Renter[[#This Row],[Less Renter''s Insurance]]</f>
        <v>-1306.2302645850978</v>
      </c>
    </row>
    <row r="332" spans="1:16" x14ac:dyDescent="0.25">
      <c r="A332" s="17">
        <f t="shared" si="35"/>
        <v>330</v>
      </c>
      <c r="B332" s="17">
        <f t="shared" si="36"/>
        <v>28</v>
      </c>
      <c r="C332" s="23">
        <f>MAX(Model_30y!V332, Model_15y!V332)</f>
        <v>8752.5379134704672</v>
      </c>
      <c r="D332" s="2">
        <f>D320*(1+Assumptions!$D$52)</f>
        <v>-7427.24571680587</v>
      </c>
      <c r="E332" s="2">
        <f>E320+(E320*Assumptions!$D$52)</f>
        <v>-61.983545532124289</v>
      </c>
      <c r="F332" s="22">
        <f t="shared" si="37"/>
        <v>1263.308651132473</v>
      </c>
      <c r="G332" s="5">
        <f t="shared" si="38"/>
        <v>2815048.1232439401</v>
      </c>
      <c r="H332" s="5">
        <f t="shared" si="39"/>
        <v>1263.308651132473</v>
      </c>
      <c r="I332" s="3">
        <f>Assumptions!$E$45</f>
        <v>6.9899151946608562E-3</v>
      </c>
      <c r="J332" s="5">
        <f t="shared" si="40"/>
        <v>2835988.3795454367</v>
      </c>
      <c r="K332" s="5">
        <f>J332*Assumptions!$E$43</f>
        <v>2539.8417094639581</v>
      </c>
      <c r="L332" s="5">
        <f>K332*Assumptions!$D$44*-1</f>
        <v>-380.97625641959371</v>
      </c>
      <c r="M332" s="2">
        <f>J332*Assumptions!$E$46*-1</f>
        <v>-94.515619372728054</v>
      </c>
      <c r="N332" s="5">
        <f t="shared" si="41"/>
        <v>2835512.8876696443</v>
      </c>
      <c r="O332" s="88">
        <f>Assumptions!$D$30</f>
        <v>2756</v>
      </c>
      <c r="P332" s="23">
        <f>(Model_Renter[[#This Row],[Monthly Investment]]*-1)+Model_Renter[[#This Row],[Less Renter''s Insurance]]</f>
        <v>-1325.2921966645972</v>
      </c>
    </row>
    <row r="333" spans="1:16" x14ac:dyDescent="0.25">
      <c r="A333" s="17">
        <f t="shared" si="35"/>
        <v>331</v>
      </c>
      <c r="B333" s="17">
        <f t="shared" si="36"/>
        <v>28</v>
      </c>
      <c r="C333" s="23">
        <f>MAX(Model_30y!V333, Model_15y!V333)</f>
        <v>8771.6775062208126</v>
      </c>
      <c r="D333" s="2">
        <f>D321*(1+Assumptions!$D$52)</f>
        <v>-7427.24571680587</v>
      </c>
      <c r="E333" s="2">
        <f>E321+(E321*Assumptions!$D$52)</f>
        <v>-61.983545532124289</v>
      </c>
      <c r="F333" s="22">
        <f t="shared" si="37"/>
        <v>1282.4482438828184</v>
      </c>
      <c r="G333" s="5">
        <f t="shared" si="38"/>
        <v>2835512.8876696443</v>
      </c>
      <c r="H333" s="5">
        <f t="shared" si="39"/>
        <v>1282.4482438828184</v>
      </c>
      <c r="I333" s="3">
        <f>Assumptions!$E$45</f>
        <v>6.9899151946608562E-3</v>
      </c>
      <c r="J333" s="5">
        <f t="shared" si="40"/>
        <v>2856615.3305317061</v>
      </c>
      <c r="K333" s="5">
        <f>J333*Assumptions!$E$43</f>
        <v>2558.3147013957491</v>
      </c>
      <c r="L333" s="5">
        <f>K333*Assumptions!$D$44*-1</f>
        <v>-383.74720520936233</v>
      </c>
      <c r="M333" s="2">
        <f>J333*Assumptions!$E$46*-1</f>
        <v>-95.203058384220284</v>
      </c>
      <c r="N333" s="5">
        <f t="shared" si="41"/>
        <v>2856136.3802681123</v>
      </c>
      <c r="O333" s="88">
        <f>Assumptions!$D$30</f>
        <v>2756</v>
      </c>
      <c r="P333" s="23">
        <f>(Model_Renter[[#This Row],[Monthly Investment]]*-1)+Model_Renter[[#This Row],[Less Renter''s Insurance]]</f>
        <v>-1344.4317894149426</v>
      </c>
    </row>
    <row r="334" spans="1:16" x14ac:dyDescent="0.25">
      <c r="A334" s="17">
        <f t="shared" si="35"/>
        <v>332</v>
      </c>
      <c r="B334" s="17">
        <f t="shared" si="36"/>
        <v>28</v>
      </c>
      <c r="C334" s="23">
        <f>MAX(Model_30y!V334, Model_15y!V334)</f>
        <v>8790.8950760411935</v>
      </c>
      <c r="D334" s="2">
        <f>D322*(1+Assumptions!$D$52)</f>
        <v>-7427.24571680587</v>
      </c>
      <c r="E334" s="2">
        <f>E322+(E322*Assumptions!$D$52)</f>
        <v>-61.983545532124289</v>
      </c>
      <c r="F334" s="22">
        <f t="shared" si="37"/>
        <v>1301.6658137031993</v>
      </c>
      <c r="G334" s="5">
        <f t="shared" si="38"/>
        <v>2856136.3802681123</v>
      </c>
      <c r="H334" s="5">
        <f t="shared" si="39"/>
        <v>1301.6658137031993</v>
      </c>
      <c r="I334" s="3">
        <f>Assumptions!$E$45</f>
        <v>6.9899151946608562E-3</v>
      </c>
      <c r="J334" s="5">
        <f t="shared" si="40"/>
        <v>2877402.1971642752</v>
      </c>
      <c r="K334" s="5">
        <f>J334*Assumptions!$E$43</f>
        <v>2576.9309098623457</v>
      </c>
      <c r="L334" s="5">
        <f>K334*Assumptions!$D$44*-1</f>
        <v>-386.53963647935183</v>
      </c>
      <c r="M334" s="2">
        <f>J334*Assumptions!$E$46*-1</f>
        <v>-95.895826940243239</v>
      </c>
      <c r="N334" s="5">
        <f t="shared" si="41"/>
        <v>2876919.7617008556</v>
      </c>
      <c r="O334" s="88">
        <f>Assumptions!$D$30</f>
        <v>2756</v>
      </c>
      <c r="P334" s="23">
        <f>(Model_Renter[[#This Row],[Monthly Investment]]*-1)+Model_Renter[[#This Row],[Less Renter''s Insurance]]</f>
        <v>-1363.6493592353236</v>
      </c>
    </row>
    <row r="335" spans="1:16" x14ac:dyDescent="0.25">
      <c r="A335" s="17">
        <f t="shared" si="35"/>
        <v>333</v>
      </c>
      <c r="B335" s="17">
        <f t="shared" si="36"/>
        <v>28</v>
      </c>
      <c r="C335" s="23">
        <f>MAX(Model_30y!V335, Model_15y!V335)</f>
        <v>8810.1909406198429</v>
      </c>
      <c r="D335" s="2">
        <f>D323*(1+Assumptions!$D$52)</f>
        <v>-7427.24571680587</v>
      </c>
      <c r="E335" s="2">
        <f>E323+(E323*Assumptions!$D$52)</f>
        <v>-61.983545532124289</v>
      </c>
      <c r="F335" s="22">
        <f t="shared" si="37"/>
        <v>1320.9616782818487</v>
      </c>
      <c r="G335" s="5">
        <f t="shared" si="38"/>
        <v>2876919.7617008556</v>
      </c>
      <c r="H335" s="5">
        <f t="shared" si="39"/>
        <v>1320.9616782818487</v>
      </c>
      <c r="I335" s="3">
        <f>Assumptions!$E$45</f>
        <v>6.9899151946608562E-3</v>
      </c>
      <c r="J335" s="5">
        <f t="shared" si="40"/>
        <v>2898350.1485352702</v>
      </c>
      <c r="K335" s="5">
        <f>J335*Assumptions!$E$43</f>
        <v>2595.6913818740131</v>
      </c>
      <c r="L335" s="5">
        <f>K335*Assumptions!$D$44*-1</f>
        <v>-389.35370728110195</v>
      </c>
      <c r="M335" s="2">
        <f>J335*Assumptions!$E$46*-1</f>
        <v>-96.593964003391832</v>
      </c>
      <c r="N335" s="5">
        <f t="shared" si="41"/>
        <v>2897864.2008639858</v>
      </c>
      <c r="O335" s="88">
        <f>Assumptions!$D$30</f>
        <v>2756</v>
      </c>
      <c r="P335" s="23">
        <f>(Model_Renter[[#This Row],[Monthly Investment]]*-1)+Model_Renter[[#This Row],[Less Renter''s Insurance]]</f>
        <v>-1382.9452238139729</v>
      </c>
    </row>
    <row r="336" spans="1:16" x14ac:dyDescent="0.25">
      <c r="A336" s="17">
        <f t="shared" si="35"/>
        <v>334</v>
      </c>
      <c r="B336" s="17">
        <f t="shared" si="36"/>
        <v>28</v>
      </c>
      <c r="C336" s="23">
        <f>MAX(Model_30y!V336, Model_15y!V336)</f>
        <v>8829.565418939299</v>
      </c>
      <c r="D336" s="2">
        <f>D324*(1+Assumptions!$D$52)</f>
        <v>-7427.24571680587</v>
      </c>
      <c r="E336" s="2">
        <f>E324+(E324*Assumptions!$D$52)</f>
        <v>-61.983545532124289</v>
      </c>
      <c r="F336" s="22">
        <f t="shared" si="37"/>
        <v>1340.3361566013048</v>
      </c>
      <c r="G336" s="5">
        <f t="shared" si="38"/>
        <v>2897864.2008639858</v>
      </c>
      <c r="H336" s="5">
        <f t="shared" si="39"/>
        <v>1340.3361566013048</v>
      </c>
      <c r="I336" s="3">
        <f>Assumptions!$E$45</f>
        <v>6.9899151946608562E-3</v>
      </c>
      <c r="J336" s="5">
        <f t="shared" si="40"/>
        <v>2919460.3620302696</v>
      </c>
      <c r="K336" s="5">
        <f>J336*Assumptions!$E$43</f>
        <v>2614.5971718684282</v>
      </c>
      <c r="L336" s="5">
        <f>K336*Assumptions!$D$44*-1</f>
        <v>-392.18957578026419</v>
      </c>
      <c r="M336" s="2">
        <f>J336*Assumptions!$E$46*-1</f>
        <v>-97.297508812658705</v>
      </c>
      <c r="N336" s="5">
        <f t="shared" si="41"/>
        <v>2918970.8749456769</v>
      </c>
      <c r="O336" s="88">
        <f>Assumptions!$D$30</f>
        <v>2756</v>
      </c>
      <c r="P336" s="23">
        <f>(Model_Renter[[#This Row],[Monthly Investment]]*-1)+Model_Renter[[#This Row],[Less Renter''s Insurance]]</f>
        <v>-1402.319702133429</v>
      </c>
    </row>
    <row r="337" spans="1:16" x14ac:dyDescent="0.25">
      <c r="A337" s="17">
        <f t="shared" si="35"/>
        <v>335</v>
      </c>
      <c r="B337" s="17">
        <f t="shared" si="36"/>
        <v>28</v>
      </c>
      <c r="C337" s="23">
        <f>MAX(Model_30y!V337, Model_15y!V337)</f>
        <v>8849.0188312816717</v>
      </c>
      <c r="D337" s="2">
        <f>D325*(1+Assumptions!$D$52)</f>
        <v>-7427.24571680587</v>
      </c>
      <c r="E337" s="2">
        <f>E325+(E325*Assumptions!$D$52)</f>
        <v>-61.983545532124289</v>
      </c>
      <c r="F337" s="22">
        <f t="shared" si="37"/>
        <v>1359.7895689436775</v>
      </c>
      <c r="G337" s="5">
        <f t="shared" si="38"/>
        <v>2918970.8749456769</v>
      </c>
      <c r="H337" s="5">
        <f t="shared" si="39"/>
        <v>1359.7895689436775</v>
      </c>
      <c r="I337" s="3">
        <f>Assumptions!$E$45</f>
        <v>6.9899151946608562E-3</v>
      </c>
      <c r="J337" s="5">
        <f t="shared" si="40"/>
        <v>2940734.0233861762</v>
      </c>
      <c r="K337" s="5">
        <f>J337*Assumptions!$E$43</f>
        <v>2633.6493417625106</v>
      </c>
      <c r="L337" s="5">
        <f>K337*Assumptions!$D$44*-1</f>
        <v>-395.04740126437656</v>
      </c>
      <c r="M337" s="2">
        <f>J337*Assumptions!$E$46*-1</f>
        <v>-98.006500885362996</v>
      </c>
      <c r="N337" s="5">
        <f t="shared" si="41"/>
        <v>2940240.9694840265</v>
      </c>
      <c r="O337" s="88">
        <f>Assumptions!$D$30</f>
        <v>2756</v>
      </c>
      <c r="P337" s="23">
        <f>(Model_Renter[[#This Row],[Monthly Investment]]*-1)+Model_Renter[[#This Row],[Less Renter''s Insurance]]</f>
        <v>-1421.7731144758018</v>
      </c>
    </row>
    <row r="338" spans="1:16" x14ac:dyDescent="0.25">
      <c r="A338" s="17">
        <f t="shared" si="35"/>
        <v>336</v>
      </c>
      <c r="B338" s="17">
        <f t="shared" si="36"/>
        <v>28</v>
      </c>
      <c r="C338" s="23">
        <f>MAX(Model_30y!V338, Model_15y!V338)</f>
        <v>8868.5514992339413</v>
      </c>
      <c r="D338" s="2">
        <f>D326*(1+Assumptions!$D$52)</f>
        <v>-7427.24571680587</v>
      </c>
      <c r="E338" s="2">
        <f>E326+(E326*Assumptions!$D$52)</f>
        <v>-61.983545532124289</v>
      </c>
      <c r="F338" s="22">
        <f t="shared" si="37"/>
        <v>1379.3222368959471</v>
      </c>
      <c r="G338" s="5">
        <f t="shared" si="38"/>
        <v>2940240.9694840265</v>
      </c>
      <c r="H338" s="5">
        <f t="shared" si="39"/>
        <v>1379.3222368959471</v>
      </c>
      <c r="I338" s="3">
        <f>Assumptions!$E$45</f>
        <v>6.9899151946608562E-3</v>
      </c>
      <c r="J338" s="5">
        <f t="shared" si="40"/>
        <v>2962172.3267494831</v>
      </c>
      <c r="K338" s="5">
        <f>J338*Assumptions!$E$43</f>
        <v>2652.8489610046022</v>
      </c>
      <c r="L338" s="5">
        <f>K338*Assumptions!$D$44*-1</f>
        <v>-397.92734415069032</v>
      </c>
      <c r="M338" s="2">
        <f>J338*Assumptions!$E$46*-1</f>
        <v>-98.720980019092082</v>
      </c>
      <c r="N338" s="5">
        <f t="shared" si="41"/>
        <v>2961675.6784253134</v>
      </c>
      <c r="O338" s="88">
        <f>Assumptions!$D$30</f>
        <v>2756</v>
      </c>
      <c r="P338" s="23">
        <f>(Model_Renter[[#This Row],[Monthly Investment]]*-1)+Model_Renter[[#This Row],[Less Renter''s Insurance]]</f>
        <v>-1441.3057824280713</v>
      </c>
    </row>
    <row r="339" spans="1:16" x14ac:dyDescent="0.25">
      <c r="A339" s="17">
        <f t="shared" si="35"/>
        <v>337</v>
      </c>
      <c r="B339" s="17">
        <f t="shared" si="36"/>
        <v>29</v>
      </c>
      <c r="C339" s="23">
        <f>MAX(Model_30y!V339, Model_15y!V339)</f>
        <v>8948.816854863313</v>
      </c>
      <c r="D339" s="2">
        <f>D327*(1+Assumptions!$D$52)</f>
        <v>-7705.0247066144102</v>
      </c>
      <c r="E339" s="2">
        <f>E327+(E327*Assumptions!$D$52)</f>
        <v>-64.301730135025736</v>
      </c>
      <c r="F339" s="22">
        <f t="shared" si="37"/>
        <v>1179.490418113877</v>
      </c>
      <c r="G339" s="5">
        <f t="shared" si="38"/>
        <v>2961675.6784253134</v>
      </c>
      <c r="H339" s="5">
        <f t="shared" si="39"/>
        <v>1179.490418113877</v>
      </c>
      <c r="I339" s="3">
        <f>Assumptions!$E$45</f>
        <v>6.9899151946608562E-3</v>
      </c>
      <c r="J339" s="5">
        <f t="shared" si="40"/>
        <v>2983557.0306697097</v>
      </c>
      <c r="K339" s="5">
        <f>J339*Assumptions!$E$43</f>
        <v>2672.0005778986865</v>
      </c>
      <c r="L339" s="5">
        <f>K339*Assumptions!$D$44*-1</f>
        <v>-400.80008668480298</v>
      </c>
      <c r="M339" s="2">
        <f>J339*Assumptions!$E$46*-1</f>
        <v>-99.433672832186957</v>
      </c>
      <c r="N339" s="5">
        <f t="shared" si="41"/>
        <v>2983056.7969101928</v>
      </c>
      <c r="O339" s="88">
        <f>Assumptions!$D$30</f>
        <v>2756</v>
      </c>
      <c r="P339" s="23">
        <f>(Model_Renter[[#This Row],[Monthly Investment]]*-1)+Model_Renter[[#This Row],[Less Renter''s Insurance]]</f>
        <v>-1243.7921482489028</v>
      </c>
    </row>
    <row r="340" spans="1:16" x14ac:dyDescent="0.25">
      <c r="A340" s="17">
        <f t="shared" si="35"/>
        <v>338</v>
      </c>
      <c r="B340" s="17">
        <f t="shared" si="36"/>
        <v>29</v>
      </c>
      <c r="C340" s="23">
        <f>MAX(Model_30y!V340, Model_15y!V340)</f>
        <v>8968.5090040423966</v>
      </c>
      <c r="D340" s="2">
        <f>D328*(1+Assumptions!$D$52)</f>
        <v>-7705.0247066144102</v>
      </c>
      <c r="E340" s="2">
        <f>E328+(E328*Assumptions!$D$52)</f>
        <v>-64.301730135025736</v>
      </c>
      <c r="F340" s="22">
        <f t="shared" si="37"/>
        <v>1199.1825672929606</v>
      </c>
      <c r="G340" s="5">
        <f t="shared" si="38"/>
        <v>2983056.7969101928</v>
      </c>
      <c r="H340" s="5">
        <f t="shared" si="39"/>
        <v>1199.1825672929606</v>
      </c>
      <c r="I340" s="3">
        <f>Assumptions!$E$45</f>
        <v>6.9899151946608562E-3</v>
      </c>
      <c r="J340" s="5">
        <f t="shared" si="40"/>
        <v>3005107.2935087443</v>
      </c>
      <c r="K340" s="5">
        <f>J340*Assumptions!$E$43</f>
        <v>2691.3004653041717</v>
      </c>
      <c r="L340" s="5">
        <f>K340*Assumptions!$D$44*-1</f>
        <v>-403.69506979562573</v>
      </c>
      <c r="M340" s="2">
        <f>J340*Assumptions!$E$46*-1</f>
        <v>-100.15188326441832</v>
      </c>
      <c r="N340" s="5">
        <f t="shared" si="41"/>
        <v>3004603.4465556843</v>
      </c>
      <c r="O340" s="88">
        <f>Assumptions!$D$30</f>
        <v>2756</v>
      </c>
      <c r="P340" s="23">
        <f>(Model_Renter[[#This Row],[Monthly Investment]]*-1)+Model_Renter[[#This Row],[Less Renter''s Insurance]]</f>
        <v>-1263.4842974279863</v>
      </c>
    </row>
    <row r="341" spans="1:16" x14ac:dyDescent="0.25">
      <c r="A341" s="17">
        <f t="shared" si="35"/>
        <v>339</v>
      </c>
      <c r="B341" s="17">
        <f t="shared" si="36"/>
        <v>29</v>
      </c>
      <c r="C341" s="23">
        <f>MAX(Model_30y!V341, Model_15y!V341)</f>
        <v>8988.2813814748006</v>
      </c>
      <c r="D341" s="2">
        <f>D329*(1+Assumptions!$D$52)</f>
        <v>-7705.0247066144102</v>
      </c>
      <c r="E341" s="2">
        <f>E329+(E329*Assumptions!$D$52)</f>
        <v>-64.301730135025736</v>
      </c>
      <c r="F341" s="22">
        <f t="shared" si="37"/>
        <v>1218.9549447253646</v>
      </c>
      <c r="G341" s="5">
        <f t="shared" si="38"/>
        <v>3004603.4465556843</v>
      </c>
      <c r="H341" s="5">
        <f t="shared" si="39"/>
        <v>1218.9549447253646</v>
      </c>
      <c r="I341" s="3">
        <f>Assumptions!$E$45</f>
        <v>6.9899151946608562E-3</v>
      </c>
      <c r="J341" s="5">
        <f t="shared" si="40"/>
        <v>3026824.3247854193</v>
      </c>
      <c r="K341" s="5">
        <f>J341*Assumptions!$E$43</f>
        <v>2710.7497064364902</v>
      </c>
      <c r="L341" s="5">
        <f>K341*Assumptions!$D$44*-1</f>
        <v>-406.61245596547354</v>
      </c>
      <c r="M341" s="2">
        <f>J341*Assumptions!$E$46*-1</f>
        <v>-100.87565162569095</v>
      </c>
      <c r="N341" s="5">
        <f t="shared" si="41"/>
        <v>3026316.8366778283</v>
      </c>
      <c r="O341" s="88">
        <f>Assumptions!$D$30</f>
        <v>2756</v>
      </c>
      <c r="P341" s="23">
        <f>(Model_Renter[[#This Row],[Monthly Investment]]*-1)+Model_Renter[[#This Row],[Less Renter''s Insurance]]</f>
        <v>-1283.2566748603904</v>
      </c>
    </row>
    <row r="342" spans="1:16" x14ac:dyDescent="0.25">
      <c r="A342" s="17">
        <f t="shared" si="35"/>
        <v>340</v>
      </c>
      <c r="B342" s="17">
        <f t="shared" si="36"/>
        <v>29</v>
      </c>
      <c r="C342" s="23">
        <f>MAX(Model_30y!V342, Model_15y!V342)</f>
        <v>9008.1343140203626</v>
      </c>
      <c r="D342" s="2">
        <f>D330*(1+Assumptions!$D$52)</f>
        <v>-7705.0247066144102</v>
      </c>
      <c r="E342" s="2">
        <f>E330+(E330*Assumptions!$D$52)</f>
        <v>-64.301730135025736</v>
      </c>
      <c r="F342" s="22">
        <f t="shared" si="37"/>
        <v>1238.8078772709266</v>
      </c>
      <c r="G342" s="5">
        <f t="shared" si="38"/>
        <v>3026316.8366778283</v>
      </c>
      <c r="H342" s="5">
        <f t="shared" si="39"/>
        <v>1238.8078772709266</v>
      </c>
      <c r="I342" s="3">
        <f>Assumptions!$E$45</f>
        <v>6.9899151946608562E-3</v>
      </c>
      <c r="J342" s="5">
        <f t="shared" si="40"/>
        <v>3048709.3425956517</v>
      </c>
      <c r="K342" s="5">
        <f>J342*Assumptions!$E$43</f>
        <v>2730.3493921925015</v>
      </c>
      <c r="L342" s="5">
        <f>K342*Assumptions!$D$44*-1</f>
        <v>-409.55240882887523</v>
      </c>
      <c r="M342" s="2">
        <f>J342*Assumptions!$E$46*-1</f>
        <v>-101.60501851176009</v>
      </c>
      <c r="N342" s="5">
        <f t="shared" si="41"/>
        <v>3048198.185168311</v>
      </c>
      <c r="O342" s="88">
        <f>Assumptions!$D$30</f>
        <v>2756</v>
      </c>
      <c r="P342" s="23">
        <f>(Model_Renter[[#This Row],[Monthly Investment]]*-1)+Model_Renter[[#This Row],[Less Renter''s Insurance]]</f>
        <v>-1303.1096074059524</v>
      </c>
    </row>
    <row r="343" spans="1:16" x14ac:dyDescent="0.25">
      <c r="A343" s="17">
        <f t="shared" si="35"/>
        <v>341</v>
      </c>
      <c r="B343" s="17">
        <f t="shared" si="36"/>
        <v>29</v>
      </c>
      <c r="C343" s="23">
        <f>MAX(Model_30y!V343, Model_15y!V343)</f>
        <v>9028.0681298705822</v>
      </c>
      <c r="D343" s="2">
        <f>D331*(1+Assumptions!$D$52)</f>
        <v>-7705.0247066144102</v>
      </c>
      <c r="E343" s="2">
        <f>E331+(E331*Assumptions!$D$52)</f>
        <v>-64.301730135025736</v>
      </c>
      <c r="F343" s="22">
        <f t="shared" si="37"/>
        <v>1258.7416931211462</v>
      </c>
      <c r="G343" s="5">
        <f t="shared" si="38"/>
        <v>3048198.185168311</v>
      </c>
      <c r="H343" s="5">
        <f t="shared" si="39"/>
        <v>1258.7416931211462</v>
      </c>
      <c r="I343" s="3">
        <f>Assumptions!$E$45</f>
        <v>6.9899151946608562E-3</v>
      </c>
      <c r="J343" s="5">
        <f t="shared" si="40"/>
        <v>3070763.5736722774</v>
      </c>
      <c r="K343" s="5">
        <f>J343*Assumptions!$E$43</f>
        <v>2750.100621204077</v>
      </c>
      <c r="L343" s="5">
        <f>K343*Assumptions!$D$44*-1</f>
        <v>-412.51509318061153</v>
      </c>
      <c r="M343" s="2">
        <f>J343*Assumptions!$E$46*-1</f>
        <v>-102.34002480622546</v>
      </c>
      <c r="N343" s="5">
        <f t="shared" si="41"/>
        <v>3070248.7185542905</v>
      </c>
      <c r="O343" s="88">
        <f>Assumptions!$D$30</f>
        <v>2756</v>
      </c>
      <c r="P343" s="23">
        <f>(Model_Renter[[#This Row],[Monthly Investment]]*-1)+Model_Renter[[#This Row],[Less Renter''s Insurance]]</f>
        <v>-1323.043423256172</v>
      </c>
    </row>
    <row r="344" spans="1:16" x14ac:dyDescent="0.25">
      <c r="A344" s="17">
        <f t="shared" si="35"/>
        <v>342</v>
      </c>
      <c r="B344" s="17">
        <f t="shared" si="36"/>
        <v>29</v>
      </c>
      <c r="C344" s="23">
        <f>MAX(Model_30y!V344, Model_15y!V344)</f>
        <v>9048.0831585540564</v>
      </c>
      <c r="D344" s="2">
        <f>D332*(1+Assumptions!$D$52)</f>
        <v>-7705.0247066144102</v>
      </c>
      <c r="E344" s="2">
        <f>E332+(E332*Assumptions!$D$52)</f>
        <v>-64.301730135025736</v>
      </c>
      <c r="F344" s="22">
        <f t="shared" si="37"/>
        <v>1278.7567218046204</v>
      </c>
      <c r="G344" s="5">
        <f t="shared" si="38"/>
        <v>3070248.7185542905</v>
      </c>
      <c r="H344" s="5">
        <f t="shared" si="39"/>
        <v>1278.7567218046204</v>
      </c>
      <c r="I344" s="3">
        <f>Assumptions!$E$45</f>
        <v>6.9899151946608562E-3</v>
      </c>
      <c r="J344" s="5">
        <f t="shared" si="40"/>
        <v>3092988.2534453059</v>
      </c>
      <c r="K344" s="5">
        <f>J344*Assumptions!$E$43</f>
        <v>2770.0044998920657</v>
      </c>
      <c r="L344" s="5">
        <f>K344*Assumptions!$D$44*-1</f>
        <v>-415.50067498380986</v>
      </c>
      <c r="M344" s="2">
        <f>J344*Assumptions!$E$46*-1</f>
        <v>-103.08071168253947</v>
      </c>
      <c r="N344" s="5">
        <f t="shared" si="41"/>
        <v>3092469.6720586396</v>
      </c>
      <c r="O344" s="88">
        <f>Assumptions!$D$30</f>
        <v>2756</v>
      </c>
      <c r="P344" s="23">
        <f>(Model_Renter[[#This Row],[Monthly Investment]]*-1)+Model_Renter[[#This Row],[Less Renter''s Insurance]]</f>
        <v>-1343.0584519396461</v>
      </c>
    </row>
    <row r="345" spans="1:16" x14ac:dyDescent="0.25">
      <c r="A345" s="17">
        <f t="shared" si="35"/>
        <v>343</v>
      </c>
      <c r="B345" s="17">
        <f t="shared" si="36"/>
        <v>29</v>
      </c>
      <c r="C345" s="23">
        <f>MAX(Model_30y!V345, Model_15y!V345)</f>
        <v>9068.1797309419217</v>
      </c>
      <c r="D345" s="2">
        <f>D333*(1+Assumptions!$D$52)</f>
        <v>-7705.0247066144102</v>
      </c>
      <c r="E345" s="2">
        <f>E333+(E333*Assumptions!$D$52)</f>
        <v>-64.301730135025736</v>
      </c>
      <c r="F345" s="22">
        <f t="shared" si="37"/>
        <v>1298.8532941924857</v>
      </c>
      <c r="G345" s="5">
        <f t="shared" si="38"/>
        <v>3092469.6720586396</v>
      </c>
      <c r="H345" s="5">
        <f t="shared" si="39"/>
        <v>1298.8532941924857</v>
      </c>
      <c r="I345" s="3">
        <f>Assumptions!$E$45</f>
        <v>6.9899151946608562E-3</v>
      </c>
      <c r="J345" s="5">
        <f t="shared" si="40"/>
        <v>3115384.6261025826</v>
      </c>
      <c r="K345" s="5">
        <f>J345*Assumptions!$E$43</f>
        <v>2790.0621425206182</v>
      </c>
      <c r="L345" s="5">
        <f>K345*Assumptions!$D$44*-1</f>
        <v>-418.50932137809269</v>
      </c>
      <c r="M345" s="2">
        <f>J345*Assumptions!$E$46*-1</f>
        <v>-103.82712060602886</v>
      </c>
      <c r="N345" s="5">
        <f t="shared" si="41"/>
        <v>3114862.2896605986</v>
      </c>
      <c r="O345" s="88">
        <f>Assumptions!$D$30</f>
        <v>2756</v>
      </c>
      <c r="P345" s="23">
        <f>(Model_Renter[[#This Row],[Monthly Investment]]*-1)+Model_Renter[[#This Row],[Less Renter''s Insurance]]</f>
        <v>-1363.1550243275115</v>
      </c>
    </row>
    <row r="346" spans="1:16" x14ac:dyDescent="0.25">
      <c r="A346" s="17">
        <f t="shared" si="35"/>
        <v>344</v>
      </c>
      <c r="B346" s="17">
        <f t="shared" si="36"/>
        <v>29</v>
      </c>
      <c r="C346" s="23">
        <f>MAX(Model_30y!V346, Model_15y!V346)</f>
        <v>9088.3581792533205</v>
      </c>
      <c r="D346" s="2">
        <f>D334*(1+Assumptions!$D$52)</f>
        <v>-7705.0247066144102</v>
      </c>
      <c r="E346" s="2">
        <f>E334+(E334*Assumptions!$D$52)</f>
        <v>-64.301730135025736</v>
      </c>
      <c r="F346" s="22">
        <f t="shared" si="37"/>
        <v>1319.0317425038845</v>
      </c>
      <c r="G346" s="5">
        <f t="shared" si="38"/>
        <v>3114862.2896605986</v>
      </c>
      <c r="H346" s="5">
        <f t="shared" si="39"/>
        <v>1319.0317425038845</v>
      </c>
      <c r="I346" s="3">
        <f>Assumptions!$E$45</f>
        <v>6.9899151946608562E-3</v>
      </c>
      <c r="J346" s="5">
        <f t="shared" si="40"/>
        <v>3137953.9446508773</v>
      </c>
      <c r="K346" s="5">
        <f>J346*Assumptions!$E$43</f>
        <v>2810.2746712518979</v>
      </c>
      <c r="L346" s="5">
        <f>K346*Assumptions!$D$44*-1</f>
        <v>-421.54120068778468</v>
      </c>
      <c r="M346" s="2">
        <f>J346*Assumptions!$E$46*-1</f>
        <v>-104.57929333593066</v>
      </c>
      <c r="N346" s="5">
        <f t="shared" si="41"/>
        <v>3137427.8241568534</v>
      </c>
      <c r="O346" s="88">
        <f>Assumptions!$D$30</f>
        <v>2756</v>
      </c>
      <c r="P346" s="23">
        <f>(Model_Renter[[#This Row],[Monthly Investment]]*-1)+Model_Renter[[#This Row],[Less Renter''s Insurance]]</f>
        <v>-1383.3334726389103</v>
      </c>
    </row>
    <row r="347" spans="1:16" x14ac:dyDescent="0.25">
      <c r="A347" s="17">
        <f t="shared" si="35"/>
        <v>345</v>
      </c>
      <c r="B347" s="17">
        <f t="shared" si="36"/>
        <v>29</v>
      </c>
      <c r="C347" s="23">
        <f>MAX(Model_30y!V347, Model_15y!V347)</f>
        <v>9108.6188370609034</v>
      </c>
      <c r="D347" s="2">
        <f>D335*(1+Assumptions!$D$52)</f>
        <v>-7705.0247066144102</v>
      </c>
      <c r="E347" s="2">
        <f>E335+(E335*Assumptions!$D$52)</f>
        <v>-64.301730135025736</v>
      </c>
      <c r="F347" s="22">
        <f t="shared" si="37"/>
        <v>1339.2924003114674</v>
      </c>
      <c r="G347" s="5">
        <f t="shared" si="38"/>
        <v>3137427.8241568534</v>
      </c>
      <c r="H347" s="5">
        <f t="shared" si="39"/>
        <v>1339.2924003114674</v>
      </c>
      <c r="I347" s="3">
        <f>Assumptions!$E$45</f>
        <v>6.9899151946608562E-3</v>
      </c>
      <c r="J347" s="5">
        <f t="shared" si="40"/>
        <v>3160697.4709773907</v>
      </c>
      <c r="K347" s="5">
        <f>J347*Assumptions!$E$43</f>
        <v>2830.6432162011647</v>
      </c>
      <c r="L347" s="5">
        <f>K347*Assumptions!$D$44*-1</f>
        <v>-424.59648243017472</v>
      </c>
      <c r="M347" s="2">
        <f>J347*Assumptions!$E$46*-1</f>
        <v>-105.33727192744199</v>
      </c>
      <c r="N347" s="5">
        <f t="shared" si="41"/>
        <v>3160167.5372230331</v>
      </c>
      <c r="O347" s="88">
        <f>Assumptions!$D$30</f>
        <v>2756</v>
      </c>
      <c r="P347" s="23">
        <f>(Model_Renter[[#This Row],[Monthly Investment]]*-1)+Model_Renter[[#This Row],[Less Renter''s Insurance]]</f>
        <v>-1403.5941304464932</v>
      </c>
    </row>
    <row r="348" spans="1:16" x14ac:dyDescent="0.25">
      <c r="A348" s="17">
        <f t="shared" si="35"/>
        <v>346</v>
      </c>
      <c r="B348" s="17">
        <f t="shared" si="36"/>
        <v>29</v>
      </c>
      <c r="C348" s="23">
        <f>MAX(Model_30y!V348, Model_15y!V348)</f>
        <v>9128.9620392963316</v>
      </c>
      <c r="D348" s="2">
        <f>D336*(1+Assumptions!$D$52)</f>
        <v>-7705.0247066144102</v>
      </c>
      <c r="E348" s="2">
        <f>E336+(E336*Assumptions!$D$52)</f>
        <v>-64.301730135025736</v>
      </c>
      <c r="F348" s="22">
        <f t="shared" si="37"/>
        <v>1359.6356025468956</v>
      </c>
      <c r="G348" s="5">
        <f t="shared" si="38"/>
        <v>3160167.5372230331</v>
      </c>
      <c r="H348" s="5">
        <f t="shared" si="39"/>
        <v>1359.6356025468956</v>
      </c>
      <c r="I348" s="3">
        <f>Assumptions!$E$45</f>
        <v>6.9899151946608562E-3</v>
      </c>
      <c r="J348" s="5">
        <f t="shared" si="40"/>
        <v>3183616.4759116895</v>
      </c>
      <c r="K348" s="5">
        <f>J348*Assumptions!$E$43</f>
        <v>2851.1689154922433</v>
      </c>
      <c r="L348" s="5">
        <f>K348*Assumptions!$D$44*-1</f>
        <v>-427.67533732383646</v>
      </c>
      <c r="M348" s="2">
        <f>J348*Assumptions!$E$46*-1</f>
        <v>-106.10109873378423</v>
      </c>
      <c r="N348" s="5">
        <f t="shared" si="41"/>
        <v>3183082.699475632</v>
      </c>
      <c r="O348" s="88">
        <f>Assumptions!$D$30</f>
        <v>2756</v>
      </c>
      <c r="P348" s="23">
        <f>(Model_Renter[[#This Row],[Monthly Investment]]*-1)+Model_Renter[[#This Row],[Less Renter''s Insurance]]</f>
        <v>-1423.9373326819214</v>
      </c>
    </row>
    <row r="349" spans="1:16" x14ac:dyDescent="0.25">
      <c r="A349" s="17">
        <f t="shared" si="35"/>
        <v>347</v>
      </c>
      <c r="B349" s="17">
        <f t="shared" si="36"/>
        <v>29</v>
      </c>
      <c r="C349" s="23">
        <f>MAX(Model_30y!V349, Model_15y!V349)</f>
        <v>9149.3881222558211</v>
      </c>
      <c r="D349" s="2">
        <f>D337*(1+Assumptions!$D$52)</f>
        <v>-7705.0247066144102</v>
      </c>
      <c r="E349" s="2">
        <f>E337+(E337*Assumptions!$D$52)</f>
        <v>-64.301730135025736</v>
      </c>
      <c r="F349" s="22">
        <f t="shared" si="37"/>
        <v>1380.0616855063852</v>
      </c>
      <c r="G349" s="5">
        <f t="shared" si="38"/>
        <v>3183082.699475632</v>
      </c>
      <c r="H349" s="5">
        <f t="shared" si="39"/>
        <v>1380.0616855063852</v>
      </c>
      <c r="I349" s="3">
        <f>Assumptions!$E$45</f>
        <v>6.9899151946608562E-3</v>
      </c>
      <c r="J349" s="5">
        <f t="shared" si="40"/>
        <v>3206712.2392880651</v>
      </c>
      <c r="K349" s="5">
        <f>J349*Assumptions!$E$43</f>
        <v>2871.8529153133677</v>
      </c>
      <c r="L349" s="5">
        <f>K349*Assumptions!$D$44*-1</f>
        <v>-430.77793729700517</v>
      </c>
      <c r="M349" s="2">
        <f>J349*Assumptions!$E$46*-1</f>
        <v>-106.87081640828119</v>
      </c>
      <c r="N349" s="5">
        <f t="shared" si="41"/>
        <v>3206174.5905343597</v>
      </c>
      <c r="O349" s="88">
        <f>Assumptions!$D$30</f>
        <v>2756</v>
      </c>
      <c r="P349" s="23">
        <f>(Model_Renter[[#This Row],[Monthly Investment]]*-1)+Model_Renter[[#This Row],[Less Renter''s Insurance]]</f>
        <v>-1444.3634156414109</v>
      </c>
    </row>
    <row r="350" spans="1:16" x14ac:dyDescent="0.25">
      <c r="A350" s="17">
        <f t="shared" si="35"/>
        <v>348</v>
      </c>
      <c r="B350" s="17">
        <f t="shared" si="36"/>
        <v>29</v>
      </c>
      <c r="C350" s="23">
        <f>MAX(Model_30y!V350, Model_15y!V350)</f>
        <v>9169.8974236057056</v>
      </c>
      <c r="D350" s="2">
        <f>D338*(1+Assumptions!$D$52)</f>
        <v>-7705.0247066144102</v>
      </c>
      <c r="E350" s="2">
        <f>E338+(E338*Assumptions!$D$52)</f>
        <v>-64.301730135025736</v>
      </c>
      <c r="F350" s="22">
        <f t="shared" si="37"/>
        <v>1400.5709868562697</v>
      </c>
      <c r="G350" s="5">
        <f t="shared" si="38"/>
        <v>3206174.5905343597</v>
      </c>
      <c r="H350" s="5">
        <f t="shared" si="39"/>
        <v>1400.5709868562697</v>
      </c>
      <c r="I350" s="3">
        <f>Assumptions!$E$45</f>
        <v>6.9899151946608562E-3</v>
      </c>
      <c r="J350" s="5">
        <f t="shared" si="40"/>
        <v>3229986.0500083277</v>
      </c>
      <c r="K350" s="5">
        <f>J350*Assumptions!$E$43</f>
        <v>2892.6963699734206</v>
      </c>
      <c r="L350" s="5">
        <f>K350*Assumptions!$D$44*-1</f>
        <v>-433.9044554960131</v>
      </c>
      <c r="M350" s="2">
        <f>J350*Assumptions!$E$46*-1</f>
        <v>-107.64646790645193</v>
      </c>
      <c r="N350" s="5">
        <f t="shared" si="41"/>
        <v>3229444.4990849253</v>
      </c>
      <c r="O350" s="88">
        <f>Assumptions!$D$30</f>
        <v>2756</v>
      </c>
      <c r="P350" s="23">
        <f>(Model_Renter[[#This Row],[Monthly Investment]]*-1)+Model_Renter[[#This Row],[Less Renter''s Insurance]]</f>
        <v>-1464.8727169912954</v>
      </c>
    </row>
    <row r="351" spans="1:16" x14ac:dyDescent="0.25">
      <c r="A351" s="17">
        <f t="shared" si="35"/>
        <v>349</v>
      </c>
      <c r="B351" s="17">
        <f t="shared" si="36"/>
        <v>30</v>
      </c>
      <c r="C351" s="23">
        <f>MAX(Model_30y!V351, Model_15y!V351)</f>
        <v>9254.1760470165482</v>
      </c>
      <c r="D351" s="2">
        <f>D339*(1+Assumptions!$D$52)</f>
        <v>-7993.1926306417899</v>
      </c>
      <c r="E351" s="2">
        <f>E339+(E339*Assumptions!$D$52)</f>
        <v>-66.706614842075695</v>
      </c>
      <c r="F351" s="22">
        <f t="shared" si="37"/>
        <v>1194.2768015326826</v>
      </c>
      <c r="G351" s="5">
        <f t="shared" si="38"/>
        <v>3229444.4990849253</v>
      </c>
      <c r="H351" s="5">
        <f t="shared" si="39"/>
        <v>1194.2768015326826</v>
      </c>
      <c r="I351" s="3">
        <f>Assumptions!$E$45</f>
        <v>6.9899151946608562E-3</v>
      </c>
      <c r="J351" s="5">
        <f t="shared" si="40"/>
        <v>3253212.3190609254</v>
      </c>
      <c r="K351" s="5">
        <f>J351*Assumptions!$E$43</f>
        <v>2913.4972474807096</v>
      </c>
      <c r="L351" s="5">
        <f>K351*Assumptions!$D$44*-1</f>
        <v>-437.02458712210642</v>
      </c>
      <c r="M351" s="2">
        <f>J351*Assumptions!$E$46*-1</f>
        <v>-108.42053497282537</v>
      </c>
      <c r="N351" s="5">
        <f t="shared" si="41"/>
        <v>3252666.8739388306</v>
      </c>
      <c r="O351" s="88">
        <f>Assumptions!$D$30</f>
        <v>2756</v>
      </c>
      <c r="P351" s="23">
        <f>(Model_Renter[[#This Row],[Monthly Investment]]*-1)+Model_Renter[[#This Row],[Less Renter''s Insurance]]</f>
        <v>-1260.9834163747582</v>
      </c>
    </row>
    <row r="352" spans="1:16" x14ac:dyDescent="0.25">
      <c r="A352" s="17">
        <f t="shared" si="35"/>
        <v>350</v>
      </c>
      <c r="B352" s="17">
        <f t="shared" si="36"/>
        <v>30</v>
      </c>
      <c r="C352" s="23">
        <f>MAX(Model_30y!V352, Model_15y!V352)</f>
        <v>9274.8528036545849</v>
      </c>
      <c r="D352" s="2">
        <f>D340*(1+Assumptions!$D$52)</f>
        <v>-7993.1926306417899</v>
      </c>
      <c r="E352" s="2">
        <f>E340+(E340*Assumptions!$D$52)</f>
        <v>-66.706614842075695</v>
      </c>
      <c r="F352" s="22">
        <f t="shared" si="37"/>
        <v>1214.9535581707194</v>
      </c>
      <c r="G352" s="5">
        <f t="shared" si="38"/>
        <v>3252666.8739388306</v>
      </c>
      <c r="H352" s="5">
        <f t="shared" si="39"/>
        <v>1214.9535581707194</v>
      </c>
      <c r="I352" s="3">
        <f>Assumptions!$E$45</f>
        <v>6.9899151946608562E-3</v>
      </c>
      <c r="J352" s="5">
        <f t="shared" si="40"/>
        <v>3276617.6931023165</v>
      </c>
      <c r="K352" s="5">
        <f>J352*Assumptions!$E$43</f>
        <v>2934.4585270277921</v>
      </c>
      <c r="L352" s="5">
        <f>K352*Assumptions!$D$44*-1</f>
        <v>-440.16877905416879</v>
      </c>
      <c r="M352" s="2">
        <f>J352*Assumptions!$E$46*-1</f>
        <v>-109.20057111124108</v>
      </c>
      <c r="N352" s="5">
        <f t="shared" si="41"/>
        <v>3276068.3237521509</v>
      </c>
      <c r="O352" s="88">
        <f>Assumptions!$D$30</f>
        <v>2756</v>
      </c>
      <c r="P352" s="23">
        <f>(Model_Renter[[#This Row],[Monthly Investment]]*-1)+Model_Renter[[#This Row],[Less Renter''s Insurance]]</f>
        <v>-1281.660173012795</v>
      </c>
    </row>
    <row r="353" spans="1:16" x14ac:dyDescent="0.25">
      <c r="A353" s="17">
        <f t="shared" si="35"/>
        <v>351</v>
      </c>
      <c r="B353" s="17">
        <f t="shared" si="36"/>
        <v>30</v>
      </c>
      <c r="C353" s="23">
        <f>MAX(Model_30y!V353, Model_15y!V353)</f>
        <v>9295.6137999586099</v>
      </c>
      <c r="D353" s="2">
        <f>D341*(1+Assumptions!$D$52)</f>
        <v>-7993.1926306417899</v>
      </c>
      <c r="E353" s="2">
        <f>E341+(E341*Assumptions!$D$52)</f>
        <v>-66.706614842075695</v>
      </c>
      <c r="F353" s="22">
        <f t="shared" si="37"/>
        <v>1235.7145544747443</v>
      </c>
      <c r="G353" s="5">
        <f t="shared" si="38"/>
        <v>3276068.3237521509</v>
      </c>
      <c r="H353" s="5">
        <f t="shared" si="39"/>
        <v>1235.7145544747443</v>
      </c>
      <c r="I353" s="3">
        <f>Assumptions!$E$45</f>
        <v>6.9899151946608562E-3</v>
      </c>
      <c r="J353" s="5">
        <f t="shared" si="40"/>
        <v>3300203.478061568</v>
      </c>
      <c r="K353" s="5">
        <f>J353*Assumptions!$E$43</f>
        <v>2955.5813781727452</v>
      </c>
      <c r="L353" s="5">
        <f>K353*Assumptions!$D$44*-1</f>
        <v>-443.33720672591176</v>
      </c>
      <c r="M353" s="2">
        <f>J353*Assumptions!$E$46*-1</f>
        <v>-109.98661984468933</v>
      </c>
      <c r="N353" s="5">
        <f t="shared" si="41"/>
        <v>3299650.1542349975</v>
      </c>
      <c r="O353" s="88">
        <f>Assumptions!$D$30</f>
        <v>2756</v>
      </c>
      <c r="P353" s="23">
        <f>(Model_Renter[[#This Row],[Monthly Investment]]*-1)+Model_Renter[[#This Row],[Less Renter''s Insurance]]</f>
        <v>-1302.4211693168199</v>
      </c>
    </row>
    <row r="354" spans="1:16" x14ac:dyDescent="0.25">
      <c r="A354" s="17">
        <f t="shared" si="35"/>
        <v>352</v>
      </c>
      <c r="B354" s="17">
        <f t="shared" si="36"/>
        <v>30</v>
      </c>
      <c r="C354" s="23">
        <f>MAX(Model_30y!V354, Model_15y!V354)</f>
        <v>9316.4593791314492</v>
      </c>
      <c r="D354" s="2">
        <f>D342*(1+Assumptions!$D$52)</f>
        <v>-7993.1926306417899</v>
      </c>
      <c r="E354" s="2">
        <f>E342+(E342*Assumptions!$D$52)</f>
        <v>-66.706614842075695</v>
      </c>
      <c r="F354" s="22">
        <f t="shared" si="37"/>
        <v>1256.5601336475836</v>
      </c>
      <c r="G354" s="5">
        <f t="shared" si="38"/>
        <v>3299650.1542349975</v>
      </c>
      <c r="H354" s="5">
        <f t="shared" si="39"/>
        <v>1256.5601336475836</v>
      </c>
      <c r="I354" s="3">
        <f>Assumptions!$E$45</f>
        <v>6.9899151946608562E-3</v>
      </c>
      <c r="J354" s="5">
        <f t="shared" si="40"/>
        <v>3323970.9891187972</v>
      </c>
      <c r="K354" s="5">
        <f>J354*Assumptions!$E$43</f>
        <v>2976.8669787586591</v>
      </c>
      <c r="L354" s="5">
        <f>K354*Assumptions!$D$44*-1</f>
        <v>-446.53004681379883</v>
      </c>
      <c r="M354" s="2">
        <f>J354*Assumptions!$E$46*-1</f>
        <v>-110.77872500447219</v>
      </c>
      <c r="N354" s="5">
        <f t="shared" si="41"/>
        <v>3323413.6803469788</v>
      </c>
      <c r="O354" s="88">
        <f>Assumptions!$D$30</f>
        <v>2756</v>
      </c>
      <c r="P354" s="23">
        <f>(Model_Renter[[#This Row],[Monthly Investment]]*-1)+Model_Renter[[#This Row],[Less Renter''s Insurance]]</f>
        <v>-1323.2667484896592</v>
      </c>
    </row>
    <row r="355" spans="1:16" x14ac:dyDescent="0.25">
      <c r="A355" s="17">
        <f t="shared" si="35"/>
        <v>353</v>
      </c>
      <c r="B355" s="17">
        <f t="shared" si="36"/>
        <v>30</v>
      </c>
      <c r="C355" s="23">
        <f>MAX(Model_30y!V355, Model_15y!V355)</f>
        <v>9337.3898857741806</v>
      </c>
      <c r="D355" s="2">
        <f>D343*(1+Assumptions!$D$52)</f>
        <v>-7993.1926306417899</v>
      </c>
      <c r="E355" s="2">
        <f>E343+(E343*Assumptions!$D$52)</f>
        <v>-66.706614842075695</v>
      </c>
      <c r="F355" s="22">
        <f t="shared" si="37"/>
        <v>1277.490640290315</v>
      </c>
      <c r="G355" s="5">
        <f t="shared" si="38"/>
        <v>3323413.6803469788</v>
      </c>
      <c r="H355" s="5">
        <f t="shared" si="39"/>
        <v>1277.490640290315</v>
      </c>
      <c r="I355" s="3">
        <f>Assumptions!$E$45</f>
        <v>6.9899151946608562E-3</v>
      </c>
      <c r="J355" s="5">
        <f t="shared" si="40"/>
        <v>3347921.5507696704</v>
      </c>
      <c r="K355" s="5">
        <f>J355*Assumptions!$E$43</f>
        <v>2998.3165149714009</v>
      </c>
      <c r="L355" s="5">
        <f>K355*Assumptions!$D$44*-1</f>
        <v>-449.74747724571012</v>
      </c>
      <c r="M355" s="2">
        <f>J355*Assumptions!$E$46*-1</f>
        <v>-111.57693073235313</v>
      </c>
      <c r="N355" s="5">
        <f t="shared" si="41"/>
        <v>3347360.2263616924</v>
      </c>
      <c r="O355" s="88">
        <f>Assumptions!$D$30</f>
        <v>2756</v>
      </c>
      <c r="P355" s="23">
        <f>(Model_Renter[[#This Row],[Monthly Investment]]*-1)+Model_Renter[[#This Row],[Less Renter''s Insurance]]</f>
        <v>-1344.1972551323906</v>
      </c>
    </row>
    <row r="356" spans="1:16" x14ac:dyDescent="0.25">
      <c r="A356" s="17">
        <f t="shared" si="35"/>
        <v>354</v>
      </c>
      <c r="B356" s="17">
        <f t="shared" si="36"/>
        <v>30</v>
      </c>
      <c r="C356" s="23">
        <f>MAX(Model_30y!V356, Model_15y!V356)</f>
        <v>9358.4056658918289</v>
      </c>
      <c r="D356" s="2">
        <f>D344*(1+Assumptions!$D$52)</f>
        <v>-7993.1926306417899</v>
      </c>
      <c r="E356" s="2">
        <f>E344+(E344*Assumptions!$D$52)</f>
        <v>-66.706614842075695</v>
      </c>
      <c r="F356" s="22">
        <f t="shared" si="37"/>
        <v>1298.5064204079633</v>
      </c>
      <c r="G356" s="5">
        <f t="shared" si="38"/>
        <v>3347360.2263616924</v>
      </c>
      <c r="H356" s="5">
        <f t="shared" si="39"/>
        <v>1298.5064204079633</v>
      </c>
      <c r="I356" s="3">
        <f>Assumptions!$E$45</f>
        <v>6.9899151946608562E-3</v>
      </c>
      <c r="J356" s="5">
        <f t="shared" si="40"/>
        <v>3372056.4968903493</v>
      </c>
      <c r="K356" s="5">
        <f>J356*Assumptions!$E$43</f>
        <v>3019.9311813977815</v>
      </c>
      <c r="L356" s="5">
        <f>K356*Assumptions!$D$44*-1</f>
        <v>-452.98967720966721</v>
      </c>
      <c r="M356" s="2">
        <f>J356*Assumptions!$E$46*-1</f>
        <v>-112.38128148272152</v>
      </c>
      <c r="N356" s="5">
        <f t="shared" si="41"/>
        <v>3371491.1259316569</v>
      </c>
      <c r="O356" s="88">
        <f>Assumptions!$D$30</f>
        <v>2756</v>
      </c>
      <c r="P356" s="23">
        <f>(Model_Renter[[#This Row],[Monthly Investment]]*-1)+Model_Renter[[#This Row],[Less Renter''s Insurance]]</f>
        <v>-1365.213035250039</v>
      </c>
    </row>
    <row r="357" spans="1:16" x14ac:dyDescent="0.25">
      <c r="A357" s="17">
        <f t="shared" si="35"/>
        <v>355</v>
      </c>
      <c r="B357" s="17">
        <f t="shared" si="36"/>
        <v>30</v>
      </c>
      <c r="C357" s="23">
        <f>MAX(Model_30y!V357, Model_15y!V357)</f>
        <v>9379.5070668990866</v>
      </c>
      <c r="D357" s="2">
        <f>D345*(1+Assumptions!$D$52)</f>
        <v>-7993.1926306417899</v>
      </c>
      <c r="E357" s="2">
        <f>E345+(E345*Assumptions!$D$52)</f>
        <v>-66.706614842075695</v>
      </c>
      <c r="F357" s="22">
        <f t="shared" si="37"/>
        <v>1319.607821415221</v>
      </c>
      <c r="G357" s="5">
        <f t="shared" si="38"/>
        <v>3371491.1259316569</v>
      </c>
      <c r="H357" s="5">
        <f t="shared" si="39"/>
        <v>1319.607821415221</v>
      </c>
      <c r="I357" s="3">
        <f>Assumptions!$E$45</f>
        <v>6.9899151946608562E-3</v>
      </c>
      <c r="J357" s="5">
        <f t="shared" si="40"/>
        <v>3396377.1708028861</v>
      </c>
      <c r="K357" s="5">
        <f>J357*Assumptions!$E$43</f>
        <v>3041.7121810841181</v>
      </c>
      <c r="L357" s="5">
        <f>K357*Assumptions!$D$44*-1</f>
        <v>-456.2568271626177</v>
      </c>
      <c r="M357" s="2">
        <f>J357*Assumptions!$E$46*-1</f>
        <v>-113.19182202477198</v>
      </c>
      <c r="N357" s="5">
        <f t="shared" si="41"/>
        <v>3395807.7221536986</v>
      </c>
      <c r="O357" s="88">
        <f>Assumptions!$D$30</f>
        <v>2756</v>
      </c>
      <c r="P357" s="23">
        <f>(Model_Renter[[#This Row],[Monthly Investment]]*-1)+Model_Renter[[#This Row],[Less Renter''s Insurance]]</f>
        <v>-1386.3144362572966</v>
      </c>
    </row>
    <row r="358" spans="1:16" x14ac:dyDescent="0.25">
      <c r="A358" s="17">
        <f t="shared" si="35"/>
        <v>356</v>
      </c>
      <c r="B358" s="17">
        <f t="shared" si="36"/>
        <v>30</v>
      </c>
      <c r="C358" s="23">
        <f>MAX(Model_30y!V358, Model_15y!V358)</f>
        <v>9400.6944376260562</v>
      </c>
      <c r="D358" s="2">
        <f>D346*(1+Assumptions!$D$52)</f>
        <v>-7993.1926306417899</v>
      </c>
      <c r="E358" s="2">
        <f>E346+(E346*Assumptions!$D$52)</f>
        <v>-66.706614842075695</v>
      </c>
      <c r="F358" s="22">
        <f t="shared" si="37"/>
        <v>1340.7951921421907</v>
      </c>
      <c r="G358" s="5">
        <f t="shared" si="38"/>
        <v>3395807.7221536986</v>
      </c>
      <c r="H358" s="5">
        <f t="shared" si="39"/>
        <v>1340.7951921421907</v>
      </c>
      <c r="I358" s="3">
        <f>Assumptions!$E$45</f>
        <v>6.9899151946608562E-3</v>
      </c>
      <c r="J358" s="5">
        <f t="shared" si="40"/>
        <v>3420884.9253410692</v>
      </c>
      <c r="K358" s="5">
        <f>J358*Assumptions!$E$43</f>
        <v>3063.6607255952063</v>
      </c>
      <c r="L358" s="5">
        <f>K358*Assumptions!$D$44*-1</f>
        <v>-459.5491088392809</v>
      </c>
      <c r="M358" s="2">
        <f>J358*Assumptions!$E$46*-1</f>
        <v>-114.00859744469894</v>
      </c>
      <c r="N358" s="5">
        <f t="shared" si="41"/>
        <v>3420311.3676347854</v>
      </c>
      <c r="O358" s="88">
        <f>Assumptions!$D$30</f>
        <v>2756</v>
      </c>
      <c r="P358" s="23">
        <f>(Model_Renter[[#This Row],[Monthly Investment]]*-1)+Model_Renter[[#This Row],[Less Renter''s Insurance]]</f>
        <v>-1407.5018069842663</v>
      </c>
    </row>
    <row r="359" spans="1:16" x14ac:dyDescent="0.25">
      <c r="A359" s="17">
        <f t="shared" si="35"/>
        <v>357</v>
      </c>
      <c r="B359" s="17">
        <f t="shared" si="36"/>
        <v>30</v>
      </c>
      <c r="C359" s="23">
        <f>MAX(Model_30y!V359, Model_15y!V359)</f>
        <v>9421.968128324017</v>
      </c>
      <c r="D359" s="2">
        <f>D347*(1+Assumptions!$D$52)</f>
        <v>-7993.1926306417899</v>
      </c>
      <c r="E359" s="2">
        <f>E347+(E347*Assumptions!$D$52)</f>
        <v>-66.706614842075695</v>
      </c>
      <c r="F359" s="22">
        <f t="shared" si="37"/>
        <v>1362.0688828401514</v>
      </c>
      <c r="G359" s="5">
        <f t="shared" si="38"/>
        <v>3420311.3676347854</v>
      </c>
      <c r="H359" s="5">
        <f t="shared" si="39"/>
        <v>1362.0688828401514</v>
      </c>
      <c r="I359" s="3">
        <f>Assumptions!$E$45</f>
        <v>6.9899151946608562E-3</v>
      </c>
      <c r="J359" s="5">
        <f t="shared" si="40"/>
        <v>3445581.1229167273</v>
      </c>
      <c r="K359" s="5">
        <f>J359*Assumptions!$E$43</f>
        <v>3085.7780350737003</v>
      </c>
      <c r="L359" s="5">
        <f>K359*Assumptions!$D$44*-1</f>
        <v>-462.86670526105502</v>
      </c>
      <c r="M359" s="2">
        <f>J359*Assumptions!$E$46*-1</f>
        <v>-114.83165314790627</v>
      </c>
      <c r="N359" s="5">
        <f t="shared" si="41"/>
        <v>3445003.4245583182</v>
      </c>
      <c r="O359" s="88">
        <f>Assumptions!$D$30</f>
        <v>2756</v>
      </c>
      <c r="P359" s="23">
        <f>(Model_Renter[[#This Row],[Monthly Investment]]*-1)+Model_Renter[[#This Row],[Less Renter''s Insurance]]</f>
        <v>-1428.7754976822271</v>
      </c>
    </row>
    <row r="360" spans="1:16" x14ac:dyDescent="0.25">
      <c r="A360" s="17">
        <f t="shared" si="35"/>
        <v>358</v>
      </c>
      <c r="B360" s="17">
        <f t="shared" si="36"/>
        <v>30</v>
      </c>
      <c r="C360" s="23">
        <f>MAX(Model_30y!V360, Model_15y!V360)</f>
        <v>9443.3284906712179</v>
      </c>
      <c r="D360" s="2">
        <f>D348*(1+Assumptions!$D$52)</f>
        <v>-7993.1926306417899</v>
      </c>
      <c r="E360" s="2">
        <f>E348+(E348*Assumptions!$D$52)</f>
        <v>-66.706614842075695</v>
      </c>
      <c r="F360" s="22">
        <f t="shared" si="37"/>
        <v>1383.4292451873523</v>
      </c>
      <c r="G360" s="5">
        <f t="shared" si="38"/>
        <v>3445003.4245583182</v>
      </c>
      <c r="H360" s="5">
        <f t="shared" si="39"/>
        <v>1383.4292451873523</v>
      </c>
      <c r="I360" s="3">
        <f>Assumptions!$E$45</f>
        <v>6.9899151946608562E-3</v>
      </c>
      <c r="J360" s="5">
        <f t="shared" si="40"/>
        <v>3470467.1355864843</v>
      </c>
      <c r="K360" s="5">
        <f>J360*Assumptions!$E$43</f>
        <v>3108.0653382998962</v>
      </c>
      <c r="L360" s="5">
        <f>K360*Assumptions!$D$44*-1</f>
        <v>-466.20980074498442</v>
      </c>
      <c r="M360" s="2">
        <f>J360*Assumptions!$E$46*-1</f>
        <v>-115.66103486123212</v>
      </c>
      <c r="N360" s="5">
        <f t="shared" si="41"/>
        <v>3469885.2647508783</v>
      </c>
      <c r="O360" s="88">
        <f>Assumptions!$D$30</f>
        <v>2756</v>
      </c>
      <c r="P360" s="23">
        <f>(Model_Renter[[#This Row],[Monthly Investment]]*-1)+Model_Renter[[#This Row],[Less Renter''s Insurance]]</f>
        <v>-1450.1358600294279</v>
      </c>
    </row>
    <row r="361" spans="1:16" x14ac:dyDescent="0.25">
      <c r="A361" s="17">
        <f t="shared" si="35"/>
        <v>359</v>
      </c>
      <c r="B361" s="17">
        <f t="shared" si="36"/>
        <v>30</v>
      </c>
      <c r="C361" s="23">
        <f>MAX(Model_30y!V361, Model_15y!V361)</f>
        <v>9464.7758777786821</v>
      </c>
      <c r="D361" s="2">
        <f>D349*(1+Assumptions!$D$52)</f>
        <v>-7993.1926306417899</v>
      </c>
      <c r="E361" s="2">
        <f>E349+(E349*Assumptions!$D$52)</f>
        <v>-66.706614842075695</v>
      </c>
      <c r="F361" s="22">
        <f t="shared" si="37"/>
        <v>1404.8766322948165</v>
      </c>
      <c r="G361" s="5">
        <f t="shared" si="38"/>
        <v>3469885.2647508783</v>
      </c>
      <c r="H361" s="5">
        <f t="shared" si="39"/>
        <v>1404.8766322948165</v>
      </c>
      <c r="I361" s="3">
        <f>Assumptions!$E$45</f>
        <v>6.9899151946608562E-3</v>
      </c>
      <c r="J361" s="5">
        <f t="shared" si="40"/>
        <v>3495544.345118985</v>
      </c>
      <c r="K361" s="5">
        <f>J361*Assumptions!$E$43</f>
        <v>3130.5238727519381</v>
      </c>
      <c r="L361" s="5">
        <f>K361*Assumptions!$D$44*-1</f>
        <v>-469.5785809127907</v>
      </c>
      <c r="M361" s="2">
        <f>J361*Assumptions!$E$46*-1</f>
        <v>-116.49678863518938</v>
      </c>
      <c r="N361" s="5">
        <f t="shared" si="41"/>
        <v>3494958.269749437</v>
      </c>
      <c r="O361" s="88">
        <f>Assumptions!$D$30</f>
        <v>2756</v>
      </c>
      <c r="P361" s="23">
        <f>(Model_Renter[[#This Row],[Monthly Investment]]*-1)+Model_Renter[[#This Row],[Less Renter''s Insurance]]</f>
        <v>-1471.5832471368922</v>
      </c>
    </row>
    <row r="362" spans="1:16" x14ac:dyDescent="0.25">
      <c r="A362" s="17">
        <f t="shared" si="35"/>
        <v>360</v>
      </c>
      <c r="B362" s="17">
        <f t="shared" si="36"/>
        <v>30</v>
      </c>
      <c r="C362" s="23">
        <f>MAX(Model_30y!V362, Model_15y!V362)</f>
        <v>9486.310644196059</v>
      </c>
      <c r="D362" s="2">
        <f>D350*(1+Assumptions!$D$52)</f>
        <v>-7993.1926306417899</v>
      </c>
      <c r="E362" s="2">
        <f>E350+(E350*Assumptions!$D$52)</f>
        <v>-66.706614842075695</v>
      </c>
      <c r="F362" s="22">
        <f t="shared" si="37"/>
        <v>1426.4113987121934</v>
      </c>
      <c r="G362" s="5">
        <f t="shared" si="38"/>
        <v>3494958.269749437</v>
      </c>
      <c r="H362" s="5">
        <f t="shared" si="39"/>
        <v>1426.4113987121934</v>
      </c>
      <c r="I362" s="3">
        <f>Assumptions!$E$45</f>
        <v>6.9899151946608562E-3</v>
      </c>
      <c r="J362" s="5">
        <f t="shared" si="40"/>
        <v>3520814.1430625762</v>
      </c>
      <c r="K362" s="5">
        <f>J362*Assumptions!$E$43</f>
        <v>3153.1548846664323</v>
      </c>
      <c r="L362" s="5">
        <f>K362*Assumptions!$D$44*-1</f>
        <v>-472.9732326999648</v>
      </c>
      <c r="M362" s="2">
        <f>J362*Assumptions!$E$46*-1</f>
        <v>-117.33896084622114</v>
      </c>
      <c r="N362" s="5">
        <f t="shared" si="41"/>
        <v>3520223.8308690302</v>
      </c>
      <c r="O362" s="88">
        <f>Assumptions!$D$30</f>
        <v>2756</v>
      </c>
      <c r="P362" s="23">
        <f>(Model_Renter[[#This Row],[Monthly Investment]]*-1)+Model_Renter[[#This Row],[Less Renter''s Insurance]]</f>
        <v>-1493.1180135542691</v>
      </c>
    </row>
    <row r="363" spans="1:16" x14ac:dyDescent="0.25">
      <c r="A363" s="17">
        <f t="shared" si="35"/>
        <v>361</v>
      </c>
      <c r="B363" s="17">
        <f t="shared" si="36"/>
        <v>31</v>
      </c>
      <c r="C363" s="23">
        <f>MAX(Model_30y!V363, Model_15y!V363)</f>
        <v>9574.803198777443</v>
      </c>
      <c r="D363" s="2">
        <f>D351*(1+Assumptions!$D$52)</f>
        <v>-8292.1380350277941</v>
      </c>
      <c r="E363" s="2">
        <f>E351+(E351*Assumptions!$D$52)</f>
        <v>-69.201442237169331</v>
      </c>
      <c r="F363" s="22">
        <f t="shared" si="37"/>
        <v>1213.4637215124794</v>
      </c>
      <c r="G363" s="5">
        <f t="shared" si="38"/>
        <v>3520223.8308690302</v>
      </c>
      <c r="H363" s="5">
        <f t="shared" si="39"/>
        <v>1213.4637215124794</v>
      </c>
      <c r="I363" s="3">
        <f>Assumptions!$E$45</f>
        <v>6.9899151946608562E-3</v>
      </c>
      <c r="J363" s="5">
        <f t="shared" si="40"/>
        <v>3546043.3606345411</v>
      </c>
      <c r="K363" s="5">
        <f>J363*Assumptions!$E$43</f>
        <v>3175.7495537943391</v>
      </c>
      <c r="L363" s="5">
        <f>K363*Assumptions!$D$44*-1</f>
        <v>-476.36243306915082</v>
      </c>
      <c r="M363" s="2">
        <f>J363*Assumptions!$E$46*-1</f>
        <v>-118.17978062612652</v>
      </c>
      <c r="N363" s="5">
        <f t="shared" si="41"/>
        <v>3545448.818420846</v>
      </c>
      <c r="O363" s="88">
        <f>Assumptions!$D$30</f>
        <v>2756</v>
      </c>
      <c r="P363" s="23">
        <f>(Model_Renter[[#This Row],[Monthly Investment]]*-1)+Model_Renter[[#This Row],[Less Renter''s Insurance]]</f>
        <v>-1282.6651637496489</v>
      </c>
    </row>
    <row r="364" spans="1:16" x14ac:dyDescent="0.25">
      <c r="A364" s="17">
        <f t="shared" si="35"/>
        <v>362</v>
      </c>
      <c r="B364" s="17">
        <f t="shared" si="36"/>
        <v>31</v>
      </c>
      <c r="C364" s="23">
        <f>MAX(Model_30y!V364, Model_15y!V364)</f>
        <v>9596.5137932473808</v>
      </c>
      <c r="D364" s="2">
        <f>D352*(1+Assumptions!$D$52)</f>
        <v>-8292.1380350277941</v>
      </c>
      <c r="E364" s="2">
        <f>E352+(E352*Assumptions!$D$52)</f>
        <v>-69.201442237169331</v>
      </c>
      <c r="F364" s="22">
        <f t="shared" si="37"/>
        <v>1235.1743159824173</v>
      </c>
      <c r="G364" s="5">
        <f t="shared" si="38"/>
        <v>3545448.818420846</v>
      </c>
      <c r="H364" s="5">
        <f t="shared" si="39"/>
        <v>1235.1743159824173</v>
      </c>
      <c r="I364" s="3">
        <f>Assumptions!$E$45</f>
        <v>6.9899151946608562E-3</v>
      </c>
      <c r="J364" s="5">
        <f t="shared" si="40"/>
        <v>3571466.3793046009</v>
      </c>
      <c r="K364" s="5">
        <f>J364*Assumptions!$E$43</f>
        <v>3198.5177864374673</v>
      </c>
      <c r="L364" s="5">
        <f>K364*Assumptions!$D$44*-1</f>
        <v>-479.77766796562008</v>
      </c>
      <c r="M364" s="2">
        <f>J364*Assumptions!$E$46*-1</f>
        <v>-119.02705925859759</v>
      </c>
      <c r="N364" s="5">
        <f t="shared" si="41"/>
        <v>3570867.5745773767</v>
      </c>
      <c r="O364" s="88">
        <f>Assumptions!$D$30</f>
        <v>2756</v>
      </c>
      <c r="P364" s="23">
        <f>(Model_Renter[[#This Row],[Monthly Investment]]*-1)+Model_Renter[[#This Row],[Less Renter''s Insurance]]</f>
        <v>-1304.3757582195867</v>
      </c>
    </row>
    <row r="365" spans="1:16" x14ac:dyDescent="0.25">
      <c r="A365" s="17">
        <f t="shared" si="35"/>
        <v>363</v>
      </c>
      <c r="B365" s="17">
        <f t="shared" si="36"/>
        <v>31</v>
      </c>
      <c r="C365" s="23">
        <f>MAX(Model_30y!V365, Model_15y!V365)</f>
        <v>9618.3128393666084</v>
      </c>
      <c r="D365" s="2">
        <f>D353*(1+Assumptions!$D$52)</f>
        <v>-8292.1380350277941</v>
      </c>
      <c r="E365" s="2">
        <f>E353+(E353*Assumptions!$D$52)</f>
        <v>-69.201442237169331</v>
      </c>
      <c r="F365" s="22">
        <f t="shared" si="37"/>
        <v>1256.9733621016449</v>
      </c>
      <c r="G365" s="5">
        <f t="shared" si="38"/>
        <v>3570867.5745773767</v>
      </c>
      <c r="H365" s="5">
        <f t="shared" si="39"/>
        <v>1256.9733621016449</v>
      </c>
      <c r="I365" s="3">
        <f>Assumptions!$E$45</f>
        <v>6.9899151946608562E-3</v>
      </c>
      <c r="J365" s="5">
        <f t="shared" si="40"/>
        <v>3597084.6094571385</v>
      </c>
      <c r="K365" s="5">
        <f>J365*Assumptions!$E$43</f>
        <v>3221.4608457015152</v>
      </c>
      <c r="L365" s="5">
        <f>K365*Assumptions!$D$44*-1</f>
        <v>-483.21912685522727</v>
      </c>
      <c r="M365" s="2">
        <f>J365*Assumptions!$E$46*-1</f>
        <v>-119.88084374783034</v>
      </c>
      <c r="N365" s="5">
        <f t="shared" si="41"/>
        <v>3596481.5094865356</v>
      </c>
      <c r="O365" s="88">
        <f>Assumptions!$D$30</f>
        <v>2756</v>
      </c>
      <c r="P365" s="23">
        <f>(Model_Renter[[#This Row],[Monthly Investment]]*-1)+Model_Renter[[#This Row],[Less Renter''s Insurance]]</f>
        <v>-1326.1748043388143</v>
      </c>
    </row>
    <row r="366" spans="1:16" x14ac:dyDescent="0.25">
      <c r="A366" s="17">
        <f t="shared" si="35"/>
        <v>364</v>
      </c>
      <c r="B366" s="17">
        <f t="shared" si="36"/>
        <v>31</v>
      </c>
      <c r="C366" s="23">
        <f>MAX(Model_30y!V366, Model_15y!V366)</f>
        <v>9640.2006974980886</v>
      </c>
      <c r="D366" s="2">
        <f>D354*(1+Assumptions!$D$52)</f>
        <v>-8292.1380350277941</v>
      </c>
      <c r="E366" s="2">
        <f>E354+(E354*Assumptions!$D$52)</f>
        <v>-69.201442237169331</v>
      </c>
      <c r="F366" s="22">
        <f t="shared" si="37"/>
        <v>1278.8612202331251</v>
      </c>
      <c r="G366" s="5">
        <f t="shared" si="38"/>
        <v>3596481.5094865356</v>
      </c>
      <c r="H366" s="5">
        <f t="shared" si="39"/>
        <v>1278.8612202331251</v>
      </c>
      <c r="I366" s="3">
        <f>Assumptions!$E$45</f>
        <v>6.9899151946608562E-3</v>
      </c>
      <c r="J366" s="5">
        <f t="shared" si="40"/>
        <v>3622899.4714572453</v>
      </c>
      <c r="K366" s="5">
        <f>J366*Assumptions!$E$43</f>
        <v>3244.5800036306591</v>
      </c>
      <c r="L366" s="5">
        <f>K366*Assumptions!$D$44*-1</f>
        <v>-486.68700054459885</v>
      </c>
      <c r="M366" s="2">
        <f>J366*Assumptions!$E$46*-1</f>
        <v>-120.74118143064999</v>
      </c>
      <c r="N366" s="5">
        <f t="shared" si="41"/>
        <v>3622292.0432752701</v>
      </c>
      <c r="O366" s="88">
        <f>Assumptions!$D$30</f>
        <v>2756</v>
      </c>
      <c r="P366" s="23">
        <f>(Model_Renter[[#This Row],[Monthly Investment]]*-1)+Model_Renter[[#This Row],[Less Renter''s Insurance]]</f>
        <v>-1348.0626624702945</v>
      </c>
    </row>
    <row r="367" spans="1:16" x14ac:dyDescent="0.25">
      <c r="A367" s="17">
        <f t="shared" ref="A367:A430" si="42">A366+1</f>
        <v>365</v>
      </c>
      <c r="B367" s="17">
        <f t="shared" si="36"/>
        <v>31</v>
      </c>
      <c r="C367" s="23">
        <f>MAX(Model_30y!V367, Model_15y!V367)</f>
        <v>9662.1777294729582</v>
      </c>
      <c r="D367" s="2">
        <f>D355*(1+Assumptions!$D$52)</f>
        <v>-8292.1380350277941</v>
      </c>
      <c r="E367" s="2">
        <f>E355+(E355*Assumptions!$D$52)</f>
        <v>-69.201442237169331</v>
      </c>
      <c r="F367" s="22">
        <f t="shared" si="37"/>
        <v>1300.8382522079946</v>
      </c>
      <c r="G367" s="5">
        <f t="shared" si="38"/>
        <v>3622292.0432752701</v>
      </c>
      <c r="H367" s="5">
        <f t="shared" si="39"/>
        <v>1300.8382522079946</v>
      </c>
      <c r="I367" s="3">
        <f>Assumptions!$E$45</f>
        <v>6.9899151946608562E-3</v>
      </c>
      <c r="J367" s="5">
        <f t="shared" si="40"/>
        <v>3648912.3957202672</v>
      </c>
      <c r="K367" s="5">
        <f>J367*Assumptions!$E$43</f>
        <v>3267.8765412698363</v>
      </c>
      <c r="L367" s="5">
        <f>K367*Assumptions!$D$44*-1</f>
        <v>-490.18148119047544</v>
      </c>
      <c r="M367" s="2">
        <f>J367*Assumptions!$E$46*-1</f>
        <v>-121.60811997882891</v>
      </c>
      <c r="N367" s="5">
        <f t="shared" si="41"/>
        <v>3648300.6061190977</v>
      </c>
      <c r="O367" s="88">
        <f>Assumptions!$D$30</f>
        <v>2756</v>
      </c>
      <c r="P367" s="23">
        <f>(Model_Renter[[#This Row],[Monthly Investment]]*-1)+Model_Renter[[#This Row],[Less Renter''s Insurance]]</f>
        <v>-1370.0396944451641</v>
      </c>
    </row>
    <row r="368" spans="1:16" x14ac:dyDescent="0.25">
      <c r="A368" s="17">
        <f t="shared" si="42"/>
        <v>366</v>
      </c>
      <c r="B368" s="17">
        <f t="shared" si="36"/>
        <v>31</v>
      </c>
      <c r="C368" s="23">
        <f>MAX(Model_30y!V368, Model_15y!V368)</f>
        <v>9684.2442985964881</v>
      </c>
      <c r="D368" s="2">
        <f>D356*(1+Assumptions!$D$52)</f>
        <v>-8292.1380350277941</v>
      </c>
      <c r="E368" s="2">
        <f>E356+(E356*Assumptions!$D$52)</f>
        <v>-69.201442237169331</v>
      </c>
      <c r="F368" s="22">
        <f t="shared" si="37"/>
        <v>1322.9048213315245</v>
      </c>
      <c r="G368" s="5">
        <f t="shared" si="38"/>
        <v>3648300.6061190977</v>
      </c>
      <c r="H368" s="5">
        <f t="shared" si="39"/>
        <v>1322.9048213315245</v>
      </c>
      <c r="I368" s="3">
        <f>Assumptions!$E$45</f>
        <v>6.9899151946608562E-3</v>
      </c>
      <c r="J368" s="5">
        <f t="shared" si="40"/>
        <v>3675124.8227818315</v>
      </c>
      <c r="K368" s="5">
        <f>J368*Assumptions!$E$43</f>
        <v>3291.3517487274612</v>
      </c>
      <c r="L368" s="5">
        <f>K368*Assumptions!$D$44*-1</f>
        <v>-493.70276230911918</v>
      </c>
      <c r="M368" s="2">
        <f>J368*Assumptions!$E$46*-1</f>
        <v>-122.48170740142028</v>
      </c>
      <c r="N368" s="5">
        <f t="shared" si="41"/>
        <v>3674508.6383121209</v>
      </c>
      <c r="O368" s="88">
        <f>Assumptions!$D$30</f>
        <v>2756</v>
      </c>
      <c r="P368" s="23">
        <f>(Model_Renter[[#This Row],[Monthly Investment]]*-1)+Model_Renter[[#This Row],[Less Renter''s Insurance]]</f>
        <v>-1392.106263568694</v>
      </c>
    </row>
    <row r="369" spans="1:16" x14ac:dyDescent="0.25">
      <c r="A369" s="17">
        <f t="shared" si="42"/>
        <v>367</v>
      </c>
      <c r="B369" s="17">
        <f t="shared" si="36"/>
        <v>31</v>
      </c>
      <c r="C369" s="23">
        <f>MAX(Model_30y!V369, Model_15y!V369)</f>
        <v>9706.4007696541084</v>
      </c>
      <c r="D369" s="2">
        <f>D357*(1+Assumptions!$D$52)</f>
        <v>-8292.1380350277941</v>
      </c>
      <c r="E369" s="2">
        <f>E357+(E357*Assumptions!$D$52)</f>
        <v>-69.201442237169331</v>
      </c>
      <c r="F369" s="22">
        <f t="shared" si="37"/>
        <v>1345.0612923891449</v>
      </c>
      <c r="G369" s="5">
        <f t="shared" si="38"/>
        <v>3674508.6383121209</v>
      </c>
      <c r="H369" s="5">
        <f t="shared" si="39"/>
        <v>1345.0612923891449</v>
      </c>
      <c r="I369" s="3">
        <f>Assumptions!$E$45</f>
        <v>6.9899151946608562E-3</v>
      </c>
      <c r="J369" s="5">
        <f t="shared" si="40"/>
        <v>3701538.2033683602</v>
      </c>
      <c r="K369" s="5">
        <f>J369*Assumptions!$E$43</f>
        <v>3315.0069252385738</v>
      </c>
      <c r="L369" s="5">
        <f>K369*Assumptions!$D$44*-1</f>
        <v>-497.25103878578602</v>
      </c>
      <c r="M369" s="2">
        <f>J369*Assumptions!$E$46*-1</f>
        <v>-123.36199204710826</v>
      </c>
      <c r="N369" s="5">
        <f t="shared" si="41"/>
        <v>3700917.5903375275</v>
      </c>
      <c r="O369" s="88">
        <f>Assumptions!$D$30</f>
        <v>2756</v>
      </c>
      <c r="P369" s="23">
        <f>(Model_Renter[[#This Row],[Monthly Investment]]*-1)+Model_Renter[[#This Row],[Less Renter''s Insurance]]</f>
        <v>-1414.2627346263143</v>
      </c>
    </row>
    <row r="370" spans="1:16" x14ac:dyDescent="0.25">
      <c r="A370" s="17">
        <f t="shared" si="42"/>
        <v>368</v>
      </c>
      <c r="B370" s="17">
        <f t="shared" si="36"/>
        <v>31</v>
      </c>
      <c r="C370" s="23">
        <f>MAX(Model_30y!V370, Model_15y!V370)</f>
        <v>9728.6475089174273</v>
      </c>
      <c r="D370" s="2">
        <f>D358*(1+Assumptions!$D$52)</f>
        <v>-8292.1380350277941</v>
      </c>
      <c r="E370" s="2">
        <f>E358+(E358*Assumptions!$D$52)</f>
        <v>-69.201442237169331</v>
      </c>
      <c r="F370" s="22">
        <f t="shared" si="37"/>
        <v>1367.3080316524638</v>
      </c>
      <c r="G370" s="5">
        <f t="shared" si="38"/>
        <v>3700917.5903375275</v>
      </c>
      <c r="H370" s="5">
        <f t="shared" si="39"/>
        <v>1367.3080316524638</v>
      </c>
      <c r="I370" s="3">
        <f>Assumptions!$E$45</f>
        <v>6.9899151946608562E-3</v>
      </c>
      <c r="J370" s="5">
        <f t="shared" si="40"/>
        <v>3728153.998468068</v>
      </c>
      <c r="K370" s="5">
        <f>J370*Assumptions!$E$43</f>
        <v>3338.8433792284241</v>
      </c>
      <c r="L370" s="5">
        <f>K370*Assumptions!$D$44*-1</f>
        <v>-500.82650688426361</v>
      </c>
      <c r="M370" s="2">
        <f>J370*Assumptions!$E$46*-1</f>
        <v>-124.24902260657399</v>
      </c>
      <c r="N370" s="5">
        <f t="shared" si="41"/>
        <v>3727528.9229385769</v>
      </c>
      <c r="O370" s="88">
        <f>Assumptions!$D$30</f>
        <v>2756</v>
      </c>
      <c r="P370" s="23">
        <f>(Model_Renter[[#This Row],[Monthly Investment]]*-1)+Model_Renter[[#This Row],[Less Renter''s Insurance]]</f>
        <v>-1436.5094738896332</v>
      </c>
    </row>
    <row r="371" spans="1:16" x14ac:dyDescent="0.25">
      <c r="A371" s="17">
        <f t="shared" si="42"/>
        <v>369</v>
      </c>
      <c r="B371" s="17">
        <f t="shared" si="36"/>
        <v>31</v>
      </c>
      <c r="C371" s="23">
        <f>MAX(Model_30y!V371, Model_15y!V371)</f>
        <v>9750.9848841502862</v>
      </c>
      <c r="D371" s="2">
        <f>D359*(1+Assumptions!$D$52)</f>
        <v>-8292.1380350277941</v>
      </c>
      <c r="E371" s="2">
        <f>E359+(E359*Assumptions!$D$52)</f>
        <v>-69.201442237169331</v>
      </c>
      <c r="F371" s="22">
        <f t="shared" si="37"/>
        <v>1389.6454068853227</v>
      </c>
      <c r="G371" s="5">
        <f t="shared" si="38"/>
        <v>3727528.9229385769</v>
      </c>
      <c r="H371" s="5">
        <f t="shared" si="39"/>
        <v>1389.6454068853227</v>
      </c>
      <c r="I371" s="3">
        <f>Assumptions!$E$45</f>
        <v>6.9899151946608562E-3</v>
      </c>
      <c r="J371" s="5">
        <f t="shared" si="40"/>
        <v>3754973.6794024487</v>
      </c>
      <c r="K371" s="5">
        <f>J371*Assumptions!$E$43</f>
        <v>3362.8624283764934</v>
      </c>
      <c r="L371" s="5">
        <f>K371*Assumptions!$D$44*-1</f>
        <v>-504.429364256474</v>
      </c>
      <c r="M371" s="2">
        <f>J371*Assumptions!$E$46*-1</f>
        <v>-125.14284811487816</v>
      </c>
      <c r="N371" s="5">
        <f t="shared" si="41"/>
        <v>3754344.1071900772</v>
      </c>
      <c r="O371" s="88">
        <f>Assumptions!$D$30</f>
        <v>2756</v>
      </c>
      <c r="P371" s="23">
        <f>(Model_Renter[[#This Row],[Monthly Investment]]*-1)+Model_Renter[[#This Row],[Less Renter''s Insurance]]</f>
        <v>-1458.8468491224921</v>
      </c>
    </row>
    <row r="372" spans="1:16" x14ac:dyDescent="0.25">
      <c r="A372" s="17">
        <f t="shared" si="42"/>
        <v>370</v>
      </c>
      <c r="B372" s="17">
        <f t="shared" si="36"/>
        <v>31</v>
      </c>
      <c r="C372" s="23">
        <f>MAX(Model_30y!V372, Model_15y!V372)</f>
        <v>9773.4132646148464</v>
      </c>
      <c r="D372" s="2">
        <f>D360*(1+Assumptions!$D$52)</f>
        <v>-8292.1380350277941</v>
      </c>
      <c r="E372" s="2">
        <f>E360+(E360*Assumptions!$D$52)</f>
        <v>-69.201442237169331</v>
      </c>
      <c r="F372" s="22">
        <f t="shared" si="37"/>
        <v>1412.0737873498829</v>
      </c>
      <c r="G372" s="5">
        <f t="shared" si="38"/>
        <v>3754344.1071900772</v>
      </c>
      <c r="H372" s="5">
        <f t="shared" si="39"/>
        <v>1412.0737873498829</v>
      </c>
      <c r="I372" s="3">
        <f>Assumptions!$E$45</f>
        <v>6.9899151946608562E-3</v>
      </c>
      <c r="J372" s="5">
        <f t="shared" si="40"/>
        <v>3781998.7278982601</v>
      </c>
      <c r="K372" s="5">
        <f>J372*Assumptions!$E$43</f>
        <v>3387.0653996809629</v>
      </c>
      <c r="L372" s="5">
        <f>K372*Assumptions!$D$44*-1</f>
        <v>-508.05980995214441</v>
      </c>
      <c r="M372" s="2">
        <f>J372*Assumptions!$E$46*-1</f>
        <v>-126.04351795386003</v>
      </c>
      <c r="N372" s="5">
        <f t="shared" si="41"/>
        <v>3781364.6245703539</v>
      </c>
      <c r="O372" s="88">
        <f>Assumptions!$D$30</f>
        <v>2756</v>
      </c>
      <c r="P372" s="23">
        <f>(Model_Renter[[#This Row],[Monthly Investment]]*-1)+Model_Renter[[#This Row],[Less Renter''s Insurance]]</f>
        <v>-1481.2752295870523</v>
      </c>
    </row>
    <row r="373" spans="1:16" x14ac:dyDescent="0.25">
      <c r="A373" s="17">
        <f t="shared" si="42"/>
        <v>371</v>
      </c>
      <c r="B373" s="17">
        <f t="shared" si="36"/>
        <v>31</v>
      </c>
      <c r="C373" s="23">
        <f>MAX(Model_30y!V373, Model_15y!V373)</f>
        <v>9795.9330210776843</v>
      </c>
      <c r="D373" s="2">
        <f>D361*(1+Assumptions!$D$52)</f>
        <v>-8292.1380350277941</v>
      </c>
      <c r="E373" s="2">
        <f>E361+(E361*Assumptions!$D$52)</f>
        <v>-69.201442237169331</v>
      </c>
      <c r="F373" s="22">
        <f t="shared" si="37"/>
        <v>1434.5935438127208</v>
      </c>
      <c r="G373" s="5">
        <f t="shared" si="38"/>
        <v>3781364.6245703539</v>
      </c>
      <c r="H373" s="5">
        <f t="shared" si="39"/>
        <v>1434.5935438127208</v>
      </c>
      <c r="I373" s="3">
        <f>Assumptions!$E$45</f>
        <v>6.9899151946608562E-3</v>
      </c>
      <c r="J373" s="5">
        <f t="shared" si="40"/>
        <v>3809230.636160004</v>
      </c>
      <c r="K373" s="5">
        <f>J373*Assumptions!$E$43</f>
        <v>3411.4536295236253</v>
      </c>
      <c r="L373" s="5">
        <f>K373*Assumptions!$D$44*-1</f>
        <v>-511.71804442854375</v>
      </c>
      <c r="M373" s="2">
        <f>J373*Assumptions!$E$46*-1</f>
        <v>-126.95108185455294</v>
      </c>
      <c r="N373" s="5">
        <f t="shared" si="41"/>
        <v>3808591.967033721</v>
      </c>
      <c r="O373" s="88">
        <f>Assumptions!$D$30</f>
        <v>2756</v>
      </c>
      <c r="P373" s="23">
        <f>(Model_Renter[[#This Row],[Monthly Investment]]*-1)+Model_Renter[[#This Row],[Less Renter''s Insurance]]</f>
        <v>-1503.7949860498902</v>
      </c>
    </row>
    <row r="374" spans="1:16" x14ac:dyDescent="0.25">
      <c r="A374" s="17">
        <f t="shared" si="42"/>
        <v>372</v>
      </c>
      <c r="B374" s="17">
        <f t="shared" si="36"/>
        <v>31</v>
      </c>
      <c r="C374" s="23">
        <f>MAX(Model_30y!V374, Model_15y!V374)</f>
        <v>9818.5445258159307</v>
      </c>
      <c r="D374" s="2">
        <f>D362*(1+Assumptions!$D$52)</f>
        <v>-8292.1380350277941</v>
      </c>
      <c r="E374" s="2">
        <f>E362+(E362*Assumptions!$D$52)</f>
        <v>-69.201442237169331</v>
      </c>
      <c r="F374" s="22">
        <f t="shared" si="37"/>
        <v>1457.2050485509671</v>
      </c>
      <c r="G374" s="5">
        <f t="shared" si="38"/>
        <v>3808591.967033721</v>
      </c>
      <c r="H374" s="5">
        <f t="shared" si="39"/>
        <v>1457.2050485509671</v>
      </c>
      <c r="I374" s="3">
        <f>Assumptions!$E$45</f>
        <v>6.9899151946608562E-3</v>
      </c>
      <c r="J374" s="5">
        <f t="shared" si="40"/>
        <v>3836670.906942904</v>
      </c>
      <c r="K374" s="5">
        <f>J374*Assumptions!$E$43</f>
        <v>3436.0284637352397</v>
      </c>
      <c r="L374" s="5">
        <f>K374*Assumptions!$D$44*-1</f>
        <v>-515.40426956028591</v>
      </c>
      <c r="M374" s="2">
        <f>J374*Assumptions!$E$46*-1</f>
        <v>-127.86558989961654</v>
      </c>
      <c r="N374" s="5">
        <f t="shared" si="41"/>
        <v>3836027.6370834443</v>
      </c>
      <c r="O374" s="88">
        <f>Assumptions!$D$30</f>
        <v>2756</v>
      </c>
      <c r="P374" s="23">
        <f>(Model_Renter[[#This Row],[Monthly Investment]]*-1)+Model_Renter[[#This Row],[Less Renter''s Insurance]]</f>
        <v>-1526.4064907881366</v>
      </c>
    </row>
    <row r="375" spans="1:16" x14ac:dyDescent="0.25">
      <c r="A375" s="17">
        <f t="shared" si="42"/>
        <v>373</v>
      </c>
      <c r="B375" s="17">
        <f t="shared" si="36"/>
        <v>32</v>
      </c>
      <c r="C375" s="23">
        <f>MAX(Model_30y!V375, Model_15y!V375)</f>
        <v>9911.4617081263859</v>
      </c>
      <c r="D375" s="2">
        <f>D363*(1+Assumptions!$D$52)</f>
        <v>-8602.2639975378352</v>
      </c>
      <c r="E375" s="2">
        <f>E363+(E363*Assumptions!$D$52)</f>
        <v>-71.789576176839461</v>
      </c>
      <c r="F375" s="22">
        <f t="shared" si="37"/>
        <v>1237.4081344117112</v>
      </c>
      <c r="G375" s="5">
        <f t="shared" si="38"/>
        <v>3836027.6370834443</v>
      </c>
      <c r="H375" s="5">
        <f t="shared" si="39"/>
        <v>1237.4081344117112</v>
      </c>
      <c r="I375" s="3">
        <f>Assumptions!$E$45</f>
        <v>6.9899151946608562E-3</v>
      </c>
      <c r="J375" s="5">
        <f t="shared" si="40"/>
        <v>3864078.5530854445</v>
      </c>
      <c r="K375" s="5">
        <f>J375*Assumptions!$E$43</f>
        <v>3460.5740801182701</v>
      </c>
      <c r="L375" s="5">
        <f>K375*Assumptions!$D$44*-1</f>
        <v>-519.08611201774045</v>
      </c>
      <c r="M375" s="2">
        <f>J375*Assumptions!$E$46*-1</f>
        <v>-128.77901065599002</v>
      </c>
      <c r="N375" s="5">
        <f t="shared" si="41"/>
        <v>3863430.6879627709</v>
      </c>
      <c r="O375" s="88">
        <f>Assumptions!$D$30</f>
        <v>2756</v>
      </c>
      <c r="P375" s="23">
        <f>(Model_Renter[[#This Row],[Monthly Investment]]*-1)+Model_Renter[[#This Row],[Less Renter''s Insurance]]</f>
        <v>-1309.1977105885508</v>
      </c>
    </row>
    <row r="376" spans="1:16" x14ac:dyDescent="0.25">
      <c r="A376" s="17">
        <f t="shared" si="42"/>
        <v>374</v>
      </c>
      <c r="B376" s="17">
        <f t="shared" si="36"/>
        <v>32</v>
      </c>
      <c r="C376" s="23">
        <f>MAX(Model_30y!V376, Model_15y!V376)</f>
        <v>9934.2578323198213</v>
      </c>
      <c r="D376" s="2">
        <f>D364*(1+Assumptions!$D$52)</f>
        <v>-8602.2639975378352</v>
      </c>
      <c r="E376" s="2">
        <f>E364+(E364*Assumptions!$D$52)</f>
        <v>-71.789576176839461</v>
      </c>
      <c r="F376" s="22">
        <f t="shared" si="37"/>
        <v>1260.2042586051466</v>
      </c>
      <c r="G376" s="5">
        <f t="shared" si="38"/>
        <v>3863430.6879627709</v>
      </c>
      <c r="H376" s="5">
        <f t="shared" si="39"/>
        <v>1260.2042586051466</v>
      </c>
      <c r="I376" s="3">
        <f>Assumptions!$E$45</f>
        <v>6.9899151946608562E-3</v>
      </c>
      <c r="J376" s="5">
        <f t="shared" si="40"/>
        <v>3891695.9450906864</v>
      </c>
      <c r="K376" s="5">
        <f>J376*Assumptions!$E$43</f>
        <v>3485.3075397570478</v>
      </c>
      <c r="L376" s="5">
        <f>K376*Assumptions!$D$44*-1</f>
        <v>-522.79613096355718</v>
      </c>
      <c r="M376" s="2">
        <f>J376*Assumptions!$E$46*-1</f>
        <v>-129.69942165966742</v>
      </c>
      <c r="N376" s="5">
        <f t="shared" si="41"/>
        <v>3891043.4495380633</v>
      </c>
      <c r="O376" s="88">
        <f>Assumptions!$D$30</f>
        <v>2756</v>
      </c>
      <c r="P376" s="23">
        <f>(Model_Renter[[#This Row],[Monthly Investment]]*-1)+Model_Renter[[#This Row],[Less Renter''s Insurance]]</f>
        <v>-1331.9938347819862</v>
      </c>
    </row>
    <row r="377" spans="1:16" x14ac:dyDescent="0.25">
      <c r="A377" s="17">
        <f t="shared" si="42"/>
        <v>375</v>
      </c>
      <c r="B377" s="17">
        <f t="shared" si="36"/>
        <v>32</v>
      </c>
      <c r="C377" s="23">
        <f>MAX(Model_30y!V377, Model_15y!V377)</f>
        <v>9957.1468307450086</v>
      </c>
      <c r="D377" s="2">
        <f>D365*(1+Assumptions!$D$52)</f>
        <v>-8602.2639975378352</v>
      </c>
      <c r="E377" s="2">
        <f>E365+(E365*Assumptions!$D$52)</f>
        <v>-71.789576176839461</v>
      </c>
      <c r="F377" s="22">
        <f t="shared" si="37"/>
        <v>1283.0932570303339</v>
      </c>
      <c r="G377" s="5">
        <f t="shared" si="38"/>
        <v>3891043.4495380633</v>
      </c>
      <c r="H377" s="5">
        <f t="shared" si="39"/>
        <v>1283.0932570303339</v>
      </c>
      <c r="I377" s="3">
        <f>Assumptions!$E$45</f>
        <v>6.9899151946608562E-3</v>
      </c>
      <c r="J377" s="5">
        <f t="shared" si="40"/>
        <v>3919524.6065261057</v>
      </c>
      <c r="K377" s="5">
        <f>J377*Assumptions!$E$43</f>
        <v>3510.2302071212766</v>
      </c>
      <c r="L377" s="5">
        <f>K377*Assumptions!$D$44*-1</f>
        <v>-526.53453106819143</v>
      </c>
      <c r="M377" s="2">
        <f>J377*Assumptions!$E$46*-1</f>
        <v>-130.62687368692298</v>
      </c>
      <c r="N377" s="5">
        <f t="shared" si="41"/>
        <v>3918867.4451213507</v>
      </c>
      <c r="O377" s="88">
        <f>Assumptions!$D$30</f>
        <v>2756</v>
      </c>
      <c r="P377" s="23">
        <f>(Model_Renter[[#This Row],[Monthly Investment]]*-1)+Model_Renter[[#This Row],[Less Renter''s Insurance]]</f>
        <v>-1354.8828332071735</v>
      </c>
    </row>
    <row r="378" spans="1:16" x14ac:dyDescent="0.25">
      <c r="A378" s="17">
        <f t="shared" si="42"/>
        <v>376</v>
      </c>
      <c r="B378" s="17">
        <f t="shared" si="36"/>
        <v>32</v>
      </c>
      <c r="C378" s="23">
        <f>MAX(Model_30y!V378, Model_15y!V378)</f>
        <v>9980.129081783065</v>
      </c>
      <c r="D378" s="2">
        <f>D366*(1+Assumptions!$D$52)</f>
        <v>-8602.2639975378352</v>
      </c>
      <c r="E378" s="2">
        <f>E366+(E366*Assumptions!$D$52)</f>
        <v>-71.789576176839461</v>
      </c>
      <c r="F378" s="22">
        <f t="shared" si="37"/>
        <v>1306.0755080683903</v>
      </c>
      <c r="G378" s="5">
        <f t="shared" si="38"/>
        <v>3918867.4451213507</v>
      </c>
      <c r="H378" s="5">
        <f t="shared" si="39"/>
        <v>1306.0755080683903</v>
      </c>
      <c r="I378" s="3">
        <f>Assumptions!$E$45</f>
        <v>6.9899151946608562E-3</v>
      </c>
      <c r="J378" s="5">
        <f t="shared" si="40"/>
        <v>3947566.0717299343</v>
      </c>
      <c r="K378" s="5">
        <f>J378*Assumptions!$E$43</f>
        <v>3535.3434563266846</v>
      </c>
      <c r="L378" s="5">
        <f>K378*Assumptions!$D$44*-1</f>
        <v>-530.30151844900263</v>
      </c>
      <c r="M378" s="2">
        <f>J378*Assumptions!$E$46*-1</f>
        <v>-131.56141787299029</v>
      </c>
      <c r="N378" s="5">
        <f t="shared" si="41"/>
        <v>3946904.2087936122</v>
      </c>
      <c r="O378" s="88">
        <f>Assumptions!$D$30</f>
        <v>2756</v>
      </c>
      <c r="P378" s="23">
        <f>(Model_Renter[[#This Row],[Monthly Investment]]*-1)+Model_Renter[[#This Row],[Less Renter''s Insurance]]</f>
        <v>-1377.8650842452298</v>
      </c>
    </row>
    <row r="379" spans="1:16" x14ac:dyDescent="0.25">
      <c r="A379" s="17">
        <f t="shared" si="42"/>
        <v>377</v>
      </c>
      <c r="B379" s="17">
        <f t="shared" si="36"/>
        <v>32</v>
      </c>
      <c r="C379" s="23">
        <f>MAX(Model_30y!V379, Model_15y!V379)</f>
        <v>10003.204965356676</v>
      </c>
      <c r="D379" s="2">
        <f>D367*(1+Assumptions!$D$52)</f>
        <v>-8602.2639975378352</v>
      </c>
      <c r="E379" s="2">
        <f>E367+(E367*Assumptions!$D$52)</f>
        <v>-71.789576176839461</v>
      </c>
      <c r="F379" s="22">
        <f t="shared" si="37"/>
        <v>1329.1513916420008</v>
      </c>
      <c r="G379" s="5">
        <f t="shared" si="38"/>
        <v>3946904.2087936122</v>
      </c>
      <c r="H379" s="5">
        <f t="shared" si="39"/>
        <v>1329.1513916420008</v>
      </c>
      <c r="I379" s="3">
        <f>Assumptions!$E$45</f>
        <v>6.9899151946608562E-3</v>
      </c>
      <c r="J379" s="5">
        <f t="shared" si="40"/>
        <v>3975821.8858861718</v>
      </c>
      <c r="K379" s="5">
        <f>J379*Assumptions!$E$43</f>
        <v>3560.6486712022042</v>
      </c>
      <c r="L379" s="5">
        <f>K379*Assumptions!$D$44*-1</f>
        <v>-534.09730068033059</v>
      </c>
      <c r="M379" s="2">
        <f>J379*Assumptions!$E$46*-1</f>
        <v>-132.50310571456231</v>
      </c>
      <c r="N379" s="5">
        <f t="shared" si="41"/>
        <v>3975155.285479777</v>
      </c>
      <c r="O379" s="88">
        <f>Assumptions!$D$30</f>
        <v>2756</v>
      </c>
      <c r="P379" s="23">
        <f>(Model_Renter[[#This Row],[Monthly Investment]]*-1)+Model_Renter[[#This Row],[Less Renter''s Insurance]]</f>
        <v>-1400.9409678188404</v>
      </c>
    </row>
    <row r="380" spans="1:16" x14ac:dyDescent="0.25">
      <c r="A380" s="17">
        <f t="shared" si="42"/>
        <v>378</v>
      </c>
      <c r="B380" s="17">
        <f t="shared" si="36"/>
        <v>32</v>
      </c>
      <c r="C380" s="23">
        <f>MAX(Model_30y!V380, Model_15y!V380)</f>
        <v>10026.374862936382</v>
      </c>
      <c r="D380" s="2">
        <f>D368*(1+Assumptions!$D$52)</f>
        <v>-8602.2639975378352</v>
      </c>
      <c r="E380" s="2">
        <f>E368+(E368*Assumptions!$D$52)</f>
        <v>-71.789576176839461</v>
      </c>
      <c r="F380" s="22">
        <f t="shared" si="37"/>
        <v>1352.321289221707</v>
      </c>
      <c r="G380" s="5">
        <f t="shared" si="38"/>
        <v>3975155.285479777</v>
      </c>
      <c r="H380" s="5">
        <f t="shared" si="39"/>
        <v>1352.321289221707</v>
      </c>
      <c r="I380" s="3">
        <f>Assumptions!$E$45</f>
        <v>6.9899151946608562E-3</v>
      </c>
      <c r="J380" s="5">
        <f t="shared" si="40"/>
        <v>4004293.6051001102</v>
      </c>
      <c r="K380" s="5">
        <f>J380*Assumptions!$E$43</f>
        <v>3586.1472453576098</v>
      </c>
      <c r="L380" s="5">
        <f>K380*Assumptions!$D$44*-1</f>
        <v>-537.92208680364149</v>
      </c>
      <c r="M380" s="2">
        <f>J380*Assumptions!$E$46*-1</f>
        <v>-133.45198907230832</v>
      </c>
      <c r="N380" s="5">
        <f t="shared" si="41"/>
        <v>4003622.2310242341</v>
      </c>
      <c r="O380" s="88">
        <f>Assumptions!$D$30</f>
        <v>2756</v>
      </c>
      <c r="P380" s="23">
        <f>(Model_Renter[[#This Row],[Monthly Investment]]*-1)+Model_Renter[[#This Row],[Less Renter''s Insurance]]</f>
        <v>-1424.1108653985466</v>
      </c>
    </row>
    <row r="381" spans="1:16" x14ac:dyDescent="0.25">
      <c r="A381" s="17">
        <f t="shared" si="42"/>
        <v>379</v>
      </c>
      <c r="B381" s="17">
        <f t="shared" si="36"/>
        <v>32</v>
      </c>
      <c r="C381" s="23">
        <f>MAX(Model_30y!V381, Model_15y!V381)</f>
        <v>10049.639157546884</v>
      </c>
      <c r="D381" s="2">
        <f>D369*(1+Assumptions!$D$52)</f>
        <v>-8602.2639975378352</v>
      </c>
      <c r="E381" s="2">
        <f>E369+(E369*Assumptions!$D$52)</f>
        <v>-71.789576176839461</v>
      </c>
      <c r="F381" s="22">
        <f t="shared" si="37"/>
        <v>1375.5855838322095</v>
      </c>
      <c r="G381" s="5">
        <f t="shared" si="38"/>
        <v>4003622.2310242341</v>
      </c>
      <c r="H381" s="5">
        <f t="shared" si="39"/>
        <v>1375.5855838322095</v>
      </c>
      <c r="I381" s="3">
        <f>Assumptions!$E$45</f>
        <v>6.9899151946608562E-3</v>
      </c>
      <c r="J381" s="5">
        <f t="shared" si="40"/>
        <v>4032982.7964743846</v>
      </c>
      <c r="K381" s="5">
        <f>J381*Assumptions!$E$43</f>
        <v>3611.8405822516256</v>
      </c>
      <c r="L381" s="5">
        <f>K381*Assumptions!$D$44*-1</f>
        <v>-541.77608733774377</v>
      </c>
      <c r="M381" s="2">
        <f>J381*Assumptions!$E$46*-1</f>
        <v>-134.40812017340858</v>
      </c>
      <c r="N381" s="5">
        <f t="shared" si="41"/>
        <v>4032306.6122668735</v>
      </c>
      <c r="O381" s="88">
        <f>Assumptions!$D$30</f>
        <v>2756</v>
      </c>
      <c r="P381" s="23">
        <f>(Model_Renter[[#This Row],[Monthly Investment]]*-1)+Model_Renter[[#This Row],[Less Renter''s Insurance]]</f>
        <v>-1447.3751600090491</v>
      </c>
    </row>
    <row r="382" spans="1:16" x14ac:dyDescent="0.25">
      <c r="A382" s="17">
        <f t="shared" si="42"/>
        <v>380</v>
      </c>
      <c r="B382" s="17">
        <f t="shared" si="36"/>
        <v>32</v>
      </c>
      <c r="C382" s="23">
        <f>MAX(Model_30y!V382, Model_15y!V382)</f>
        <v>10072.998233773367</v>
      </c>
      <c r="D382" s="2">
        <f>D370*(1+Assumptions!$D$52)</f>
        <v>-8602.2639975378352</v>
      </c>
      <c r="E382" s="2">
        <f>E370+(E370*Assumptions!$D$52)</f>
        <v>-71.789576176839461</v>
      </c>
      <c r="F382" s="22">
        <f t="shared" si="37"/>
        <v>1398.9446600586925</v>
      </c>
      <c r="G382" s="5">
        <f t="shared" si="38"/>
        <v>4032306.6122668735</v>
      </c>
      <c r="H382" s="5">
        <f t="shared" si="39"/>
        <v>1398.9446600586925</v>
      </c>
      <c r="I382" s="3">
        <f>Assumptions!$E$45</f>
        <v>6.9899151946608562E-3</v>
      </c>
      <c r="J382" s="5">
        <f t="shared" si="40"/>
        <v>4061891.038185548</v>
      </c>
      <c r="K382" s="5">
        <f>J382*Assumptions!$E$43</f>
        <v>3637.7300952605074</v>
      </c>
      <c r="L382" s="5">
        <f>K382*Assumptions!$D$44*-1</f>
        <v>-545.65951428907613</v>
      </c>
      <c r="M382" s="2">
        <f>J382*Assumptions!$E$46*-1</f>
        <v>-135.37155161410618</v>
      </c>
      <c r="N382" s="5">
        <f t="shared" si="41"/>
        <v>4061210.0071196449</v>
      </c>
      <c r="O382" s="88">
        <f>Assumptions!$D$30</f>
        <v>2756</v>
      </c>
      <c r="P382" s="23">
        <f>(Model_Renter[[#This Row],[Monthly Investment]]*-1)+Model_Renter[[#This Row],[Less Renter''s Insurance]]</f>
        <v>-1470.7342362355321</v>
      </c>
    </row>
    <row r="383" spans="1:16" x14ac:dyDescent="0.25">
      <c r="A383" s="17">
        <f t="shared" si="42"/>
        <v>381</v>
      </c>
      <c r="B383" s="17">
        <f t="shared" si="36"/>
        <v>32</v>
      </c>
      <c r="C383" s="23">
        <f>MAX(Model_30y!V383, Model_15y!V383)</f>
        <v>10096.452477767871</v>
      </c>
      <c r="D383" s="2">
        <f>D371*(1+Assumptions!$D$52)</f>
        <v>-8602.2639975378352</v>
      </c>
      <c r="E383" s="2">
        <f>E371+(E371*Assumptions!$D$52)</f>
        <v>-71.789576176839461</v>
      </c>
      <c r="F383" s="22">
        <f t="shared" si="37"/>
        <v>1422.398904053196</v>
      </c>
      <c r="G383" s="5">
        <f t="shared" si="38"/>
        <v>4061210.0071196449</v>
      </c>
      <c r="H383" s="5">
        <f t="shared" si="39"/>
        <v>1422.398904053196</v>
      </c>
      <c r="I383" s="3">
        <f>Assumptions!$E$45</f>
        <v>6.9899151946608562E-3</v>
      </c>
      <c r="J383" s="5">
        <f t="shared" si="40"/>
        <v>4091019.9195611724</v>
      </c>
      <c r="K383" s="5">
        <f>J383*Assumptions!$E$43</f>
        <v>3663.8172077470886</v>
      </c>
      <c r="L383" s="5">
        <f>K383*Assumptions!$D$44*-1</f>
        <v>-549.57258116206322</v>
      </c>
      <c r="M383" s="2">
        <f>J383*Assumptions!$E$46*-1</f>
        <v>-136.34233636227682</v>
      </c>
      <c r="N383" s="5">
        <f t="shared" si="41"/>
        <v>4090334.0046436479</v>
      </c>
      <c r="O383" s="88">
        <f>Assumptions!$D$30</f>
        <v>2756</v>
      </c>
      <c r="P383" s="23">
        <f>(Model_Renter[[#This Row],[Monthly Investment]]*-1)+Model_Renter[[#This Row],[Less Renter''s Insurance]]</f>
        <v>-1494.1884802300356</v>
      </c>
    </row>
    <row r="384" spans="1:16" x14ac:dyDescent="0.25">
      <c r="A384" s="17">
        <f t="shared" si="42"/>
        <v>382</v>
      </c>
      <c r="B384" s="17">
        <f t="shared" si="36"/>
        <v>32</v>
      </c>
      <c r="C384" s="23">
        <f>MAX(Model_30y!V384, Model_15y!V384)</f>
        <v>10120.002277255657</v>
      </c>
      <c r="D384" s="2">
        <f>D372*(1+Assumptions!$D$52)</f>
        <v>-8602.2639975378352</v>
      </c>
      <c r="E384" s="2">
        <f>E372+(E372*Assumptions!$D$52)</f>
        <v>-71.789576176839461</v>
      </c>
      <c r="F384" s="22">
        <f t="shared" si="37"/>
        <v>1445.948703540982</v>
      </c>
      <c r="G384" s="5">
        <f t="shared" si="38"/>
        <v>4090334.0046436479</v>
      </c>
      <c r="H384" s="5">
        <f t="shared" si="39"/>
        <v>1445.948703540982</v>
      </c>
      <c r="I384" s="3">
        <f>Assumptions!$E$45</f>
        <v>6.9899151946608562E-3</v>
      </c>
      <c r="J384" s="5">
        <f t="shared" si="40"/>
        <v>4120371.0411574855</v>
      </c>
      <c r="K384" s="5">
        <f>J384*Assumptions!$E$43</f>
        <v>3690.1033531303119</v>
      </c>
      <c r="L384" s="5">
        <f>K384*Assumptions!$D$44*-1</f>
        <v>-553.51550296954679</v>
      </c>
      <c r="M384" s="2">
        <f>J384*Assumptions!$E$46*-1</f>
        <v>-137.32052776001606</v>
      </c>
      <c r="N384" s="5">
        <f t="shared" si="41"/>
        <v>4119680.2051267559</v>
      </c>
      <c r="O384" s="88">
        <f>Assumptions!$D$30</f>
        <v>2756</v>
      </c>
      <c r="P384" s="23">
        <f>(Model_Renter[[#This Row],[Monthly Investment]]*-1)+Model_Renter[[#This Row],[Less Renter''s Insurance]]</f>
        <v>-1517.7382797178216</v>
      </c>
    </row>
    <row r="385" spans="1:16" x14ac:dyDescent="0.25">
      <c r="A385" s="17">
        <f t="shared" si="42"/>
        <v>383</v>
      </c>
      <c r="B385" s="17">
        <f t="shared" si="36"/>
        <v>32</v>
      </c>
      <c r="C385" s="23">
        <f>MAX(Model_30y!V385, Model_15y!V385)</f>
        <v>10143.64802154164</v>
      </c>
      <c r="D385" s="2">
        <f>D373*(1+Assumptions!$D$52)</f>
        <v>-8602.2639975378352</v>
      </c>
      <c r="E385" s="2">
        <f>E373+(E373*Assumptions!$D$52)</f>
        <v>-71.789576176839461</v>
      </c>
      <c r="F385" s="22">
        <f t="shared" si="37"/>
        <v>1469.5944478269648</v>
      </c>
      <c r="G385" s="5">
        <f t="shared" si="38"/>
        <v>4119680.2051267559</v>
      </c>
      <c r="H385" s="5">
        <f t="shared" si="39"/>
        <v>1469.5944478269648</v>
      </c>
      <c r="I385" s="3">
        <f>Assumptions!$E$45</f>
        <v>6.9899151946608562E-3</v>
      </c>
      <c r="J385" s="5">
        <f t="shared" si="40"/>
        <v>4149946.0148375421</v>
      </c>
      <c r="K385" s="5">
        <f>J385*Assumptions!$E$43</f>
        <v>3716.5899749552386</v>
      </c>
      <c r="L385" s="5">
        <f>K385*Assumptions!$D$44*-1</f>
        <v>-557.48849624328579</v>
      </c>
      <c r="M385" s="2">
        <f>J385*Assumptions!$E$46*-1</f>
        <v>-138.30617952624465</v>
      </c>
      <c r="N385" s="5">
        <f t="shared" si="41"/>
        <v>4149250.2201617723</v>
      </c>
      <c r="O385" s="88">
        <f>Assumptions!$D$30</f>
        <v>2756</v>
      </c>
      <c r="P385" s="23">
        <f>(Model_Renter[[#This Row],[Monthly Investment]]*-1)+Model_Renter[[#This Row],[Less Renter''s Insurance]]</f>
        <v>-1541.3840240038044</v>
      </c>
    </row>
    <row r="386" spans="1:16" x14ac:dyDescent="0.25">
      <c r="A386" s="17">
        <f t="shared" si="42"/>
        <v>384</v>
      </c>
      <c r="B386" s="17">
        <f t="shared" si="36"/>
        <v>32</v>
      </c>
      <c r="C386" s="23">
        <f>MAX(Model_30y!V386, Model_15y!V386)</f>
        <v>10167.390101516798</v>
      </c>
      <c r="D386" s="2">
        <f>D374*(1+Assumptions!$D$52)</f>
        <v>-8602.2639975378352</v>
      </c>
      <c r="E386" s="2">
        <f>E374+(E374*Assumptions!$D$52)</f>
        <v>-71.789576176839461</v>
      </c>
      <c r="F386" s="22">
        <f t="shared" si="37"/>
        <v>1493.3365278021229</v>
      </c>
      <c r="G386" s="5">
        <f t="shared" si="38"/>
        <v>4149250.2201617723</v>
      </c>
      <c r="H386" s="5">
        <f t="shared" si="39"/>
        <v>1493.3365278021229</v>
      </c>
      <c r="I386" s="3">
        <f>Assumptions!$E$45</f>
        <v>6.9899151946608562E-3</v>
      </c>
      <c r="J386" s="5">
        <f t="shared" si="40"/>
        <v>4179746.4638499329</v>
      </c>
      <c r="K386" s="5">
        <f>J386*Assumptions!$E$43</f>
        <v>3743.2785269635356</v>
      </c>
      <c r="L386" s="5">
        <f>K386*Assumptions!$D$44*-1</f>
        <v>-561.49177904453029</v>
      </c>
      <c r="M386" s="2">
        <f>J386*Assumptions!$E$46*-1</f>
        <v>-139.2993457593316</v>
      </c>
      <c r="N386" s="5">
        <f t="shared" si="41"/>
        <v>4179045.6727251289</v>
      </c>
      <c r="O386" s="88">
        <f>Assumptions!$D$30</f>
        <v>2756</v>
      </c>
      <c r="P386" s="23">
        <f>(Model_Renter[[#This Row],[Monthly Investment]]*-1)+Model_Renter[[#This Row],[Less Renter''s Insurance]]</f>
        <v>-1565.1261039789624</v>
      </c>
    </row>
    <row r="387" spans="1:16" x14ac:dyDescent="0.25">
      <c r="A387" s="17">
        <f t="shared" si="42"/>
        <v>385</v>
      </c>
      <c r="B387" s="17">
        <f t="shared" ref="B387:B450" si="43">ROUNDUP(A387/12, 0)</f>
        <v>33</v>
      </c>
      <c r="C387" s="23">
        <f>MAX(Model_30y!V387, Model_15y!V387)</f>
        <v>10264.953142942773</v>
      </c>
      <c r="D387" s="2">
        <f>D375*(1+Assumptions!$D$52)</f>
        <v>-8923.9886710457504</v>
      </c>
      <c r="E387" s="2">
        <f>E375+(E375*Assumptions!$D$52)</f>
        <v>-74.474506325853255</v>
      </c>
      <c r="F387" s="22">
        <f t="shared" ref="F387:F450" si="44">SUM(C387:E387)</f>
        <v>1266.4899655711697</v>
      </c>
      <c r="G387" s="5">
        <f t="shared" si="38"/>
        <v>4179045.6727251289</v>
      </c>
      <c r="H387" s="5">
        <f t="shared" si="39"/>
        <v>1266.4899655711697</v>
      </c>
      <c r="I387" s="3">
        <f>Assumptions!$E$45</f>
        <v>6.9899151946608562E-3</v>
      </c>
      <c r="J387" s="5">
        <f t="shared" si="40"/>
        <v>4209523.3375376631</v>
      </c>
      <c r="K387" s="5">
        <f>J387*Assumptions!$E$43</f>
        <v>3769.945965488675</v>
      </c>
      <c r="L387" s="5">
        <f>K387*Assumptions!$D$44*-1</f>
        <v>-565.49189482330121</v>
      </c>
      <c r="M387" s="2">
        <f>J387*Assumptions!$E$46*-1</f>
        <v>-140.29172629229782</v>
      </c>
      <c r="N387" s="5">
        <f t="shared" si="41"/>
        <v>4208817.5539165474</v>
      </c>
      <c r="O387" s="88">
        <f>Assumptions!$D$30</f>
        <v>2756</v>
      </c>
      <c r="P387" s="23">
        <f>(Model_Renter[[#This Row],[Monthly Investment]]*-1)+Model_Renter[[#This Row],[Less Renter''s Insurance]]</f>
        <v>-1340.964471897023</v>
      </c>
    </row>
    <row r="388" spans="1:16" x14ac:dyDescent="0.25">
      <c r="A388" s="17">
        <f t="shared" si="42"/>
        <v>386</v>
      </c>
      <c r="B388" s="17">
        <f t="shared" si="43"/>
        <v>33</v>
      </c>
      <c r="C388" s="23">
        <f>MAX(Model_30y!V388, Model_15y!V388)</f>
        <v>10288.889073345881</v>
      </c>
      <c r="D388" s="2">
        <f>D376*(1+Assumptions!$D$52)</f>
        <v>-8923.9886710457504</v>
      </c>
      <c r="E388" s="2">
        <f>E376+(E376*Assumptions!$D$52)</f>
        <v>-74.474506325853255</v>
      </c>
      <c r="F388" s="22">
        <f t="shared" si="44"/>
        <v>1290.4258959742774</v>
      </c>
      <c r="G388" s="5">
        <f t="shared" ref="G388:G451" si="45">N387</f>
        <v>4208817.5539165474</v>
      </c>
      <c r="H388" s="5">
        <f t="shared" ref="H388:H451" si="46">F388</f>
        <v>1290.4258959742774</v>
      </c>
      <c r="I388" s="3">
        <f>Assumptions!$E$45</f>
        <v>6.9899151946608562E-3</v>
      </c>
      <c r="J388" s="5">
        <f t="shared" ref="J388:J451" si="47">(G388+H388)+(G388*I388)</f>
        <v>4239527.2575841984</v>
      </c>
      <c r="K388" s="5">
        <f>J388*Assumptions!$E$43</f>
        <v>3796.8167411700006</v>
      </c>
      <c r="L388" s="5">
        <f>K388*Assumptions!$D$44*-1</f>
        <v>-569.52251117550009</v>
      </c>
      <c r="M388" s="2">
        <f>J388*Assumptions!$E$46*-1</f>
        <v>-141.29167365007316</v>
      </c>
      <c r="N388" s="5">
        <f t="shared" ref="N388:N451" si="48">J388+SUM(L388:M388)</f>
        <v>4238816.4433993725</v>
      </c>
      <c r="O388" s="88">
        <f>Assumptions!$D$30</f>
        <v>2756</v>
      </c>
      <c r="P388" s="23">
        <f>(Model_Renter[[#This Row],[Monthly Investment]]*-1)+Model_Renter[[#This Row],[Less Renter''s Insurance]]</f>
        <v>-1364.9004023001307</v>
      </c>
    </row>
    <row r="389" spans="1:16" x14ac:dyDescent="0.25">
      <c r="A389" s="17">
        <f t="shared" si="42"/>
        <v>387</v>
      </c>
      <c r="B389" s="17">
        <f t="shared" si="43"/>
        <v>33</v>
      </c>
      <c r="C389" s="23">
        <f>MAX(Model_30y!V389, Model_15y!V389)</f>
        <v>10312.922521692328</v>
      </c>
      <c r="D389" s="2">
        <f>D377*(1+Assumptions!$D$52)</f>
        <v>-8923.9886710457504</v>
      </c>
      <c r="E389" s="2">
        <f>E377+(E377*Assumptions!$D$52)</f>
        <v>-74.474506325853255</v>
      </c>
      <c r="F389" s="22">
        <f t="shared" si="44"/>
        <v>1314.4593443207241</v>
      </c>
      <c r="G389" s="5">
        <f t="shared" si="45"/>
        <v>4238816.4433993725</v>
      </c>
      <c r="H389" s="5">
        <f t="shared" si="46"/>
        <v>1314.4593443207241</v>
      </c>
      <c r="I389" s="3">
        <f>Assumptions!$E$45</f>
        <v>6.9899151946608562E-3</v>
      </c>
      <c r="J389" s="5">
        <f t="shared" si="47"/>
        <v>4269759.8702087887</v>
      </c>
      <c r="K389" s="5">
        <f>J389*Assumptions!$E$43</f>
        <v>3823.8923283211402</v>
      </c>
      <c r="L389" s="5">
        <f>K389*Assumptions!$D$44*-1</f>
        <v>-573.58384924817096</v>
      </c>
      <c r="M389" s="2">
        <f>J389*Assumptions!$E$46*-1</f>
        <v>-142.29924269657502</v>
      </c>
      <c r="N389" s="5">
        <f t="shared" si="48"/>
        <v>4269043.9871168435</v>
      </c>
      <c r="O389" s="88">
        <f>Assumptions!$D$30</f>
        <v>2756</v>
      </c>
      <c r="P389" s="23">
        <f>(Model_Renter[[#This Row],[Monthly Investment]]*-1)+Model_Renter[[#This Row],[Less Renter''s Insurance]]</f>
        <v>-1388.9338506465774</v>
      </c>
    </row>
    <row r="390" spans="1:16" x14ac:dyDescent="0.25">
      <c r="A390" s="17">
        <f t="shared" si="42"/>
        <v>388</v>
      </c>
      <c r="B390" s="17">
        <f t="shared" si="43"/>
        <v>33</v>
      </c>
      <c r="C390" s="23">
        <f>MAX(Model_30y!V390, Model_15y!V390)</f>
        <v>10337.053885282287</v>
      </c>
      <c r="D390" s="2">
        <f>D378*(1+Assumptions!$D$52)</f>
        <v>-8923.9886710457504</v>
      </c>
      <c r="E390" s="2">
        <f>E378+(E378*Assumptions!$D$52)</f>
        <v>-74.474506325853255</v>
      </c>
      <c r="F390" s="22">
        <f t="shared" si="44"/>
        <v>1338.5907079106828</v>
      </c>
      <c r="G390" s="5">
        <f t="shared" si="45"/>
        <v>4269043.9871168435</v>
      </c>
      <c r="H390" s="5">
        <f t="shared" si="46"/>
        <v>1338.5907079106828</v>
      </c>
      <c r="I390" s="3">
        <f>Assumptions!$E$45</f>
        <v>6.9899151946608562E-3</v>
      </c>
      <c r="J390" s="5">
        <f t="shared" si="47"/>
        <v>4300222.8332569776</v>
      </c>
      <c r="K390" s="5">
        <f>J390*Assumptions!$E$43</f>
        <v>3851.1742116679438</v>
      </c>
      <c r="L390" s="5">
        <f>K390*Assumptions!$D$44*-1</f>
        <v>-577.67613175019153</v>
      </c>
      <c r="M390" s="2">
        <f>J390*Assumptions!$E$46*-1</f>
        <v>-143.31448868319279</v>
      </c>
      <c r="N390" s="5">
        <f t="shared" si="48"/>
        <v>4299501.8426365443</v>
      </c>
      <c r="O390" s="88">
        <f>Assumptions!$D$30</f>
        <v>2756</v>
      </c>
      <c r="P390" s="23">
        <f>(Model_Renter[[#This Row],[Monthly Investment]]*-1)+Model_Renter[[#This Row],[Less Renter''s Insurance]]</f>
        <v>-1413.0652142365361</v>
      </c>
    </row>
    <row r="391" spans="1:16" x14ac:dyDescent="0.25">
      <c r="A391" s="17">
        <f t="shared" si="42"/>
        <v>389</v>
      </c>
      <c r="B391" s="17">
        <f t="shared" si="43"/>
        <v>33</v>
      </c>
      <c r="C391" s="23">
        <f>MAX(Model_30y!V391, Model_15y!V391)</f>
        <v>10361.283563034578</v>
      </c>
      <c r="D391" s="2">
        <f>D379*(1+Assumptions!$D$52)</f>
        <v>-8923.9886710457504</v>
      </c>
      <c r="E391" s="2">
        <f>E379+(E379*Assumptions!$D$52)</f>
        <v>-74.474506325853255</v>
      </c>
      <c r="F391" s="22">
        <f t="shared" si="44"/>
        <v>1362.8203856629743</v>
      </c>
      <c r="G391" s="5">
        <f t="shared" si="45"/>
        <v>4299501.8426365443</v>
      </c>
      <c r="H391" s="5">
        <f t="shared" si="46"/>
        <v>1362.8203856629743</v>
      </c>
      <c r="I391" s="3">
        <f>Assumptions!$E$45</f>
        <v>6.9899151946608562E-3</v>
      </c>
      <c r="J391" s="5">
        <f t="shared" si="47"/>
        <v>4330917.8162815245</v>
      </c>
      <c r="K391" s="5">
        <f>J391*Assumptions!$E$43</f>
        <v>3878.6638864209581</v>
      </c>
      <c r="L391" s="5">
        <f>K391*Assumptions!$D$44*-1</f>
        <v>-581.79958296314373</v>
      </c>
      <c r="M391" s="2">
        <f>J391*Assumptions!$E$46*-1</f>
        <v>-144.33746725148487</v>
      </c>
      <c r="N391" s="5">
        <f t="shared" si="48"/>
        <v>4330191.6792313103</v>
      </c>
      <c r="O391" s="88">
        <f>Assumptions!$D$30</f>
        <v>2756</v>
      </c>
      <c r="P391" s="23">
        <f>(Model_Renter[[#This Row],[Monthly Investment]]*-1)+Model_Renter[[#This Row],[Less Renter''s Insurance]]</f>
        <v>-1437.2948919888277</v>
      </c>
    </row>
    <row r="392" spans="1:16" x14ac:dyDescent="0.25">
      <c r="A392" s="17">
        <f t="shared" si="42"/>
        <v>390</v>
      </c>
      <c r="B392" s="17">
        <f t="shared" si="43"/>
        <v>33</v>
      </c>
      <c r="C392" s="23">
        <f>MAX(Model_30y!V392, Model_15y!V392)</f>
        <v>10385.61195549327</v>
      </c>
      <c r="D392" s="2">
        <f>D380*(1+Assumptions!$D$52)</f>
        <v>-8923.9886710457504</v>
      </c>
      <c r="E392" s="2">
        <f>E380+(E380*Assumptions!$D$52)</f>
        <v>-74.474506325853255</v>
      </c>
      <c r="F392" s="22">
        <f t="shared" si="44"/>
        <v>1387.1487781216665</v>
      </c>
      <c r="G392" s="5">
        <f t="shared" si="45"/>
        <v>4330191.6792313103</v>
      </c>
      <c r="H392" s="5">
        <f t="shared" si="46"/>
        <v>1387.1487781216665</v>
      </c>
      <c r="I392" s="3">
        <f>Assumptions!$E$45</f>
        <v>6.9899151946608562E-3</v>
      </c>
      <c r="J392" s="5">
        <f t="shared" si="47"/>
        <v>4361846.5006238855</v>
      </c>
      <c r="K392" s="5">
        <f>J392*Assumptions!$E$43</f>
        <v>3906.3628583483978</v>
      </c>
      <c r="L392" s="5">
        <f>K392*Assumptions!$D$44*-1</f>
        <v>-585.95442875225967</v>
      </c>
      <c r="M392" s="2">
        <f>J392*Assumptions!$E$46*-1</f>
        <v>-145.36823443589429</v>
      </c>
      <c r="N392" s="5">
        <f t="shared" si="48"/>
        <v>4361115.1779606976</v>
      </c>
      <c r="O392" s="88">
        <f>Assumptions!$D$30</f>
        <v>2756</v>
      </c>
      <c r="P392" s="23">
        <f>(Model_Renter[[#This Row],[Monthly Investment]]*-1)+Model_Renter[[#This Row],[Less Renter''s Insurance]]</f>
        <v>-1461.6232844475198</v>
      </c>
    </row>
    <row r="393" spans="1:16" x14ac:dyDescent="0.25">
      <c r="A393" s="17">
        <f t="shared" si="42"/>
        <v>391</v>
      </c>
      <c r="B393" s="17">
        <f t="shared" si="43"/>
        <v>33</v>
      </c>
      <c r="C393" s="23">
        <f>MAX(Model_30y!V393, Model_15y!V393)</f>
        <v>10410.039464834297</v>
      </c>
      <c r="D393" s="2">
        <f>D381*(1+Assumptions!$D$52)</f>
        <v>-8923.9886710457504</v>
      </c>
      <c r="E393" s="2">
        <f>E381+(E381*Assumptions!$D$52)</f>
        <v>-74.474506325853255</v>
      </c>
      <c r="F393" s="22">
        <f t="shared" si="44"/>
        <v>1411.5762874626935</v>
      </c>
      <c r="G393" s="5">
        <f t="shared" si="45"/>
        <v>4361115.1779606976</v>
      </c>
      <c r="H393" s="5">
        <f t="shared" si="46"/>
        <v>1411.5762874626935</v>
      </c>
      <c r="I393" s="3">
        <f>Assumptions!$E$45</f>
        <v>6.9899151946608562E-3</v>
      </c>
      <c r="J393" s="5">
        <f t="shared" si="47"/>
        <v>4393010.5794962533</v>
      </c>
      <c r="K393" s="5">
        <f>J393*Assumptions!$E$43</f>
        <v>3934.272643849617</v>
      </c>
      <c r="L393" s="5">
        <f>K393*Assumptions!$D$44*-1</f>
        <v>-590.1408965774425</v>
      </c>
      <c r="M393" s="2">
        <f>J393*Assumptions!$E$46*-1</f>
        <v>-146.40684666648266</v>
      </c>
      <c r="N393" s="5">
        <f t="shared" si="48"/>
        <v>4392274.0317530092</v>
      </c>
      <c r="O393" s="88">
        <f>Assumptions!$D$30</f>
        <v>2756</v>
      </c>
      <c r="P393" s="23">
        <f>(Model_Renter[[#This Row],[Monthly Investment]]*-1)+Model_Renter[[#This Row],[Less Renter''s Insurance]]</f>
        <v>-1486.0507937885468</v>
      </c>
    </row>
    <row r="394" spans="1:16" x14ac:dyDescent="0.25">
      <c r="A394" s="17">
        <f t="shared" si="42"/>
        <v>392</v>
      </c>
      <c r="B394" s="17">
        <f t="shared" si="43"/>
        <v>33</v>
      </c>
      <c r="C394" s="23">
        <f>MAX(Model_30y!V394, Model_15y!V394)</f>
        <v>10434.566494872106</v>
      </c>
      <c r="D394" s="2">
        <f>D382*(1+Assumptions!$D$52)</f>
        <v>-8923.9886710457504</v>
      </c>
      <c r="E394" s="2">
        <f>E382+(E382*Assumptions!$D$52)</f>
        <v>-74.474506325853255</v>
      </c>
      <c r="F394" s="22">
        <f t="shared" si="44"/>
        <v>1436.1033175005023</v>
      </c>
      <c r="G394" s="5">
        <f t="shared" si="45"/>
        <v>4392274.0317530092</v>
      </c>
      <c r="H394" s="5">
        <f t="shared" si="46"/>
        <v>1436.1033175005023</v>
      </c>
      <c r="I394" s="3">
        <f>Assumptions!$E$45</f>
        <v>6.9899151946608562E-3</v>
      </c>
      <c r="J394" s="5">
        <f t="shared" si="47"/>
        <v>4424411.7580641741</v>
      </c>
      <c r="K394" s="5">
        <f>J394*Assumptions!$E$43</f>
        <v>3962.3947700291023</v>
      </c>
      <c r="L394" s="5">
        <f>K394*Assumptions!$D$44*-1</f>
        <v>-594.35921550436535</v>
      </c>
      <c r="M394" s="2">
        <f>J394*Assumptions!$E$46*-1</f>
        <v>-147.45336077168375</v>
      </c>
      <c r="N394" s="5">
        <f t="shared" si="48"/>
        <v>4423669.9454878978</v>
      </c>
      <c r="O394" s="88">
        <f>Assumptions!$D$30</f>
        <v>2756</v>
      </c>
      <c r="P394" s="23">
        <f>(Model_Renter[[#This Row],[Monthly Investment]]*-1)+Model_Renter[[#This Row],[Less Renter''s Insurance]]</f>
        <v>-1510.5778238263556</v>
      </c>
    </row>
    <row r="395" spans="1:16" x14ac:dyDescent="0.25">
      <c r="A395" s="17">
        <f t="shared" si="42"/>
        <v>393</v>
      </c>
      <c r="B395" s="17">
        <f t="shared" si="43"/>
        <v>33</v>
      </c>
      <c r="C395" s="23">
        <f>MAX(Model_30y!V395, Model_15y!V395)</f>
        <v>10459.193451066332</v>
      </c>
      <c r="D395" s="2">
        <f>D383*(1+Assumptions!$D$52)</f>
        <v>-8923.9886710457504</v>
      </c>
      <c r="E395" s="2">
        <f>E383+(E383*Assumptions!$D$52)</f>
        <v>-74.474506325853255</v>
      </c>
      <c r="F395" s="22">
        <f t="shared" si="44"/>
        <v>1460.7302736947286</v>
      </c>
      <c r="G395" s="5">
        <f t="shared" si="45"/>
        <v>4423669.9454878978</v>
      </c>
      <c r="H395" s="5">
        <f t="shared" si="46"/>
        <v>1460.7302736947286</v>
      </c>
      <c r="I395" s="3">
        <f>Assumptions!$E$45</f>
        <v>6.9899151946608562E-3</v>
      </c>
      <c r="J395" s="5">
        <f t="shared" si="47"/>
        <v>4456051.7535297228</v>
      </c>
      <c r="K395" s="5">
        <f>J395*Assumptions!$E$43</f>
        <v>3990.7307747709597</v>
      </c>
      <c r="L395" s="5">
        <f>K395*Assumptions!$D$44*-1</f>
        <v>-598.60961621564388</v>
      </c>
      <c r="M395" s="2">
        <f>J395*Assumptions!$E$46*-1</f>
        <v>-148.50783398107538</v>
      </c>
      <c r="N395" s="5">
        <f t="shared" si="48"/>
        <v>4455304.6360795265</v>
      </c>
      <c r="O395" s="88">
        <f>Assumptions!$D$30</f>
        <v>2756</v>
      </c>
      <c r="P395" s="23">
        <f>(Model_Renter[[#This Row],[Monthly Investment]]*-1)+Model_Renter[[#This Row],[Less Renter''s Insurance]]</f>
        <v>-1535.2047800205819</v>
      </c>
    </row>
    <row r="396" spans="1:16" x14ac:dyDescent="0.25">
      <c r="A396" s="17">
        <f t="shared" si="42"/>
        <v>394</v>
      </c>
      <c r="B396" s="17">
        <f t="shared" si="43"/>
        <v>33</v>
      </c>
      <c r="C396" s="23">
        <f>MAX(Model_30y!V396, Model_15y!V396)</f>
        <v>10483.920740528511</v>
      </c>
      <c r="D396" s="2">
        <f>D384*(1+Assumptions!$D$52)</f>
        <v>-8923.9886710457504</v>
      </c>
      <c r="E396" s="2">
        <f>E384+(E384*Assumptions!$D$52)</f>
        <v>-74.474506325853255</v>
      </c>
      <c r="F396" s="22">
        <f t="shared" si="44"/>
        <v>1485.4575631569069</v>
      </c>
      <c r="G396" s="5">
        <f t="shared" si="45"/>
        <v>4455304.6360795265</v>
      </c>
      <c r="H396" s="5">
        <f t="shared" si="46"/>
        <v>1485.4575631569069</v>
      </c>
      <c r="I396" s="3">
        <f>Assumptions!$E$45</f>
        <v>6.9899151946608562E-3</v>
      </c>
      <c r="J396" s="5">
        <f t="shared" si="47"/>
        <v>4487932.2952152593</v>
      </c>
      <c r="K396" s="5">
        <f>J396*Assumptions!$E$43</f>
        <v>4019.2822068139244</v>
      </c>
      <c r="L396" s="5">
        <f>K396*Assumptions!$D$44*-1</f>
        <v>-602.89233102208868</v>
      </c>
      <c r="M396" s="2">
        <f>J396*Assumptions!$E$46*-1</f>
        <v>-149.57032392817084</v>
      </c>
      <c r="N396" s="5">
        <f t="shared" si="48"/>
        <v>4487179.8325603092</v>
      </c>
      <c r="O396" s="88">
        <f>Assumptions!$D$30</f>
        <v>2756</v>
      </c>
      <c r="P396" s="23">
        <f>(Model_Renter[[#This Row],[Monthly Investment]]*-1)+Model_Renter[[#This Row],[Less Renter''s Insurance]]</f>
        <v>-1559.9320694827602</v>
      </c>
    </row>
    <row r="397" spans="1:16" x14ac:dyDescent="0.25">
      <c r="A397" s="17">
        <f t="shared" si="42"/>
        <v>395</v>
      </c>
      <c r="B397" s="17">
        <f t="shared" si="43"/>
        <v>33</v>
      </c>
      <c r="C397" s="23">
        <f>MAX(Model_30y!V397, Model_15y!V397)</f>
        <v>10508.74877202879</v>
      </c>
      <c r="D397" s="2">
        <f>D385*(1+Assumptions!$D$52)</f>
        <v>-8923.9886710457504</v>
      </c>
      <c r="E397" s="2">
        <f>E385+(E385*Assumptions!$D$52)</f>
        <v>-74.474506325853255</v>
      </c>
      <c r="F397" s="22">
        <f t="shared" si="44"/>
        <v>1510.2855946571863</v>
      </c>
      <c r="G397" s="5">
        <f t="shared" si="45"/>
        <v>4487179.8325603092</v>
      </c>
      <c r="H397" s="5">
        <f t="shared" si="46"/>
        <v>1510.2855946571863</v>
      </c>
      <c r="I397" s="3">
        <f>Assumptions!$E$45</f>
        <v>6.9899151946608562E-3</v>
      </c>
      <c r="J397" s="5">
        <f t="shared" si="47"/>
        <v>4520055.1246477552</v>
      </c>
      <c r="K397" s="5">
        <f>J397*Assumptions!$E$43</f>
        <v>4048.0506258268847</v>
      </c>
      <c r="L397" s="5">
        <f>K397*Assumptions!$D$44*-1</f>
        <v>-607.20759387403268</v>
      </c>
      <c r="M397" s="2">
        <f>J397*Assumptions!$E$46*-1</f>
        <v>-150.64088865322921</v>
      </c>
      <c r="N397" s="5">
        <f t="shared" si="48"/>
        <v>4519297.2761652283</v>
      </c>
      <c r="O397" s="88">
        <f>Assumptions!$D$30</f>
        <v>2756</v>
      </c>
      <c r="P397" s="23">
        <f>(Model_Renter[[#This Row],[Monthly Investment]]*-1)+Model_Renter[[#This Row],[Less Renter''s Insurance]]</f>
        <v>-1584.7601009830396</v>
      </c>
    </row>
    <row r="398" spans="1:16" x14ac:dyDescent="0.25">
      <c r="A398" s="17">
        <f t="shared" si="42"/>
        <v>396</v>
      </c>
      <c r="B398" s="17">
        <f t="shared" si="43"/>
        <v>33</v>
      </c>
      <c r="C398" s="23">
        <f>MAX(Model_30y!V398, Model_15y!V398)</f>
        <v>10533.677956002708</v>
      </c>
      <c r="D398" s="2">
        <f>D386*(1+Assumptions!$D$52)</f>
        <v>-8923.9886710457504</v>
      </c>
      <c r="E398" s="2">
        <f>E386+(E386*Assumptions!$D$52)</f>
        <v>-74.474506325853255</v>
      </c>
      <c r="F398" s="22">
        <f t="shared" si="44"/>
        <v>1535.2147786311043</v>
      </c>
      <c r="G398" s="5">
        <f t="shared" si="45"/>
        <v>4519297.2761652283</v>
      </c>
      <c r="H398" s="5">
        <f t="shared" si="46"/>
        <v>1535.2147786311043</v>
      </c>
      <c r="I398" s="3">
        <f>Assumptions!$E$45</f>
        <v>6.9899151946608562E-3</v>
      </c>
      <c r="J398" s="5">
        <f t="shared" si="47"/>
        <v>4552421.9956437163</v>
      </c>
      <c r="K398" s="5">
        <f>J398*Assumptions!$E$43</f>
        <v>4077.0376024849338</v>
      </c>
      <c r="L398" s="5">
        <f>K398*Assumptions!$D$44*-1</f>
        <v>-611.55564037274007</v>
      </c>
      <c r="M398" s="2">
        <f>J398*Assumptions!$E$46*-1</f>
        <v>-151.7195866060857</v>
      </c>
      <c r="N398" s="5">
        <f t="shared" si="48"/>
        <v>4551658.7204167377</v>
      </c>
      <c r="O398" s="88">
        <f>Assumptions!$D$30</f>
        <v>2756</v>
      </c>
      <c r="P398" s="23">
        <f>(Model_Renter[[#This Row],[Monthly Investment]]*-1)+Model_Renter[[#This Row],[Less Renter''s Insurance]]</f>
        <v>-1609.6892849569576</v>
      </c>
    </row>
    <row r="399" spans="1:16" x14ac:dyDescent="0.25">
      <c r="A399" s="17">
        <f t="shared" si="42"/>
        <v>397</v>
      </c>
      <c r="B399" s="17">
        <f t="shared" si="43"/>
        <v>34</v>
      </c>
      <c r="C399" s="23">
        <f>MAX(Model_30y!V399, Model_15y!V399)</f>
        <v>10636.11914949998</v>
      </c>
      <c r="D399" s="2">
        <f>D387*(1+Assumptions!$D$52)</f>
        <v>-9257.7458473428615</v>
      </c>
      <c r="E399" s="2">
        <f>E387+(E387*Assumptions!$D$52)</f>
        <v>-77.259852862440169</v>
      </c>
      <c r="F399" s="22">
        <f t="shared" si="44"/>
        <v>1301.1134492946787</v>
      </c>
      <c r="G399" s="5">
        <f t="shared" si="45"/>
        <v>4551658.7204167377</v>
      </c>
      <c r="H399" s="5">
        <f t="shared" si="46"/>
        <v>1301.1134492946787</v>
      </c>
      <c r="I399" s="3">
        <f>Assumptions!$E$45</f>
        <v>6.9899151946608562E-3</v>
      </c>
      <c r="J399" s="5">
        <f t="shared" si="47"/>
        <v>4584775.5423167842</v>
      </c>
      <c r="K399" s="5">
        <f>J399*Assumptions!$E$43</f>
        <v>4106.0126462058524</v>
      </c>
      <c r="L399" s="5">
        <f>K399*Assumptions!$D$44*-1</f>
        <v>-615.9018969308778</v>
      </c>
      <c r="M399" s="2">
        <f>J399*Assumptions!$E$46*-1</f>
        <v>-152.79784049625138</v>
      </c>
      <c r="N399" s="5">
        <f t="shared" si="48"/>
        <v>4584006.8425793573</v>
      </c>
      <c r="O399" s="88">
        <f>Assumptions!$D$30</f>
        <v>2756</v>
      </c>
      <c r="P399" s="23">
        <f>(Model_Renter[[#This Row],[Monthly Investment]]*-1)+Model_Renter[[#This Row],[Less Renter''s Insurance]]</f>
        <v>-1378.3733021571188</v>
      </c>
    </row>
    <row r="400" spans="1:16" x14ac:dyDescent="0.25">
      <c r="A400" s="17">
        <f t="shared" si="42"/>
        <v>398</v>
      </c>
      <c r="B400" s="17">
        <f t="shared" si="43"/>
        <v>34</v>
      </c>
      <c r="C400" s="23">
        <f>MAX(Model_30y!V400, Model_15y!V400)</f>
        <v>10661.251876423245</v>
      </c>
      <c r="D400" s="2">
        <f>D388*(1+Assumptions!$D$52)</f>
        <v>-9257.7458473428615</v>
      </c>
      <c r="E400" s="2">
        <f>E388+(E388*Assumptions!$D$52)</f>
        <v>-77.259852862440169</v>
      </c>
      <c r="F400" s="22">
        <f t="shared" si="44"/>
        <v>1326.246176217943</v>
      </c>
      <c r="G400" s="5">
        <f t="shared" si="45"/>
        <v>4584006.8425793573</v>
      </c>
      <c r="H400" s="5">
        <f t="shared" si="46"/>
        <v>1326.246176217943</v>
      </c>
      <c r="I400" s="3">
        <f>Assumptions!$E$45</f>
        <v>6.9899151946608562E-3</v>
      </c>
      <c r="J400" s="5">
        <f t="shared" si="47"/>
        <v>4617374.9078369495</v>
      </c>
      <c r="K400" s="5">
        <f>J400*Assumptions!$E$43</f>
        <v>4135.2078392635367</v>
      </c>
      <c r="L400" s="5">
        <f>K400*Assumptions!$D$44*-1</f>
        <v>-620.28117588953046</v>
      </c>
      <c r="M400" s="2">
        <f>J400*Assumptions!$E$46*-1</f>
        <v>-153.88428684614448</v>
      </c>
      <c r="N400" s="5">
        <f t="shared" si="48"/>
        <v>4616600.7423742134</v>
      </c>
      <c r="O400" s="88">
        <f>Assumptions!$D$30</f>
        <v>2756</v>
      </c>
      <c r="P400" s="23">
        <f>(Model_Renter[[#This Row],[Monthly Investment]]*-1)+Model_Renter[[#This Row],[Less Renter''s Insurance]]</f>
        <v>-1403.5060290803831</v>
      </c>
    </row>
    <row r="401" spans="1:16" x14ac:dyDescent="0.25">
      <c r="A401" s="17">
        <f t="shared" si="42"/>
        <v>399</v>
      </c>
      <c r="B401" s="17">
        <f t="shared" si="43"/>
        <v>34</v>
      </c>
      <c r="C401" s="23">
        <f>MAX(Model_30y!V401, Model_15y!V401)</f>
        <v>10686.486997187012</v>
      </c>
      <c r="D401" s="2">
        <f>D389*(1+Assumptions!$D$52)</f>
        <v>-9257.7458473428615</v>
      </c>
      <c r="E401" s="2">
        <f>E389+(E389*Assumptions!$D$52)</f>
        <v>-77.259852862440169</v>
      </c>
      <c r="F401" s="22">
        <f t="shared" si="44"/>
        <v>1351.4812969817106</v>
      </c>
      <c r="G401" s="5">
        <f t="shared" si="45"/>
        <v>4616600.7423742134</v>
      </c>
      <c r="H401" s="5">
        <f t="shared" si="46"/>
        <v>1351.4812969817106</v>
      </c>
      <c r="I401" s="3">
        <f>Assumptions!$E$45</f>
        <v>6.9899151946608562E-3</v>
      </c>
      <c r="J401" s="5">
        <f t="shared" si="47"/>
        <v>4650221.8713479992</v>
      </c>
      <c r="K401" s="5">
        <f>J401*Assumptions!$E$43</f>
        <v>4164.6247750155708</v>
      </c>
      <c r="L401" s="5">
        <f>K401*Assumptions!$D$44*-1</f>
        <v>-624.69371625233555</v>
      </c>
      <c r="M401" s="2">
        <f>J401*Assumptions!$E$46*-1</f>
        <v>-154.97898494968814</v>
      </c>
      <c r="N401" s="5">
        <f t="shared" si="48"/>
        <v>4649442.1986467969</v>
      </c>
      <c r="O401" s="88">
        <f>Assumptions!$D$30</f>
        <v>2756</v>
      </c>
      <c r="P401" s="23">
        <f>(Model_Renter[[#This Row],[Monthly Investment]]*-1)+Model_Renter[[#This Row],[Less Renter''s Insurance]]</f>
        <v>-1428.7411498441506</v>
      </c>
    </row>
    <row r="402" spans="1:16" x14ac:dyDescent="0.25">
      <c r="A402" s="17">
        <f t="shared" si="42"/>
        <v>400</v>
      </c>
      <c r="B402" s="17">
        <f t="shared" si="43"/>
        <v>34</v>
      </c>
      <c r="C402" s="23">
        <f>MAX(Model_30y!V402, Model_15y!V402)</f>
        <v>10711.82492895647</v>
      </c>
      <c r="D402" s="2">
        <f>D390*(1+Assumptions!$D$52)</f>
        <v>-9257.7458473428615</v>
      </c>
      <c r="E402" s="2">
        <f>E390+(E390*Assumptions!$D$52)</f>
        <v>-77.259852862440169</v>
      </c>
      <c r="F402" s="22">
        <f t="shared" si="44"/>
        <v>1376.8192287511686</v>
      </c>
      <c r="G402" s="5">
        <f t="shared" si="45"/>
        <v>4649442.1986467969</v>
      </c>
      <c r="H402" s="5">
        <f t="shared" si="46"/>
        <v>1376.8192287511686</v>
      </c>
      <c r="I402" s="3">
        <f>Assumptions!$E$45</f>
        <v>6.9899151946608562E-3</v>
      </c>
      <c r="J402" s="5">
        <f t="shared" si="47"/>
        <v>4683318.2245465675</v>
      </c>
      <c r="K402" s="5">
        <f>J402*Assumptions!$E$43</f>
        <v>4194.2650580615646</v>
      </c>
      <c r="L402" s="5">
        <f>K402*Assumptions!$D$44*-1</f>
        <v>-629.13975870923468</v>
      </c>
      <c r="M402" s="2">
        <f>J402*Assumptions!$E$46*-1</f>
        <v>-156.08199451915704</v>
      </c>
      <c r="N402" s="5">
        <f t="shared" si="48"/>
        <v>4682533.0027933391</v>
      </c>
      <c r="O402" s="88">
        <f>Assumptions!$D$30</f>
        <v>2756</v>
      </c>
      <c r="P402" s="23">
        <f>(Model_Renter[[#This Row],[Monthly Investment]]*-1)+Model_Renter[[#This Row],[Less Renter''s Insurance]]</f>
        <v>-1454.0790816136087</v>
      </c>
    </row>
    <row r="403" spans="1:16" x14ac:dyDescent="0.25">
      <c r="A403" s="17">
        <f t="shared" si="42"/>
        <v>401</v>
      </c>
      <c r="B403" s="17">
        <f t="shared" si="43"/>
        <v>34</v>
      </c>
      <c r="C403" s="23">
        <f>MAX(Model_30y!V403, Model_15y!V403)</f>
        <v>10737.266090596377</v>
      </c>
      <c r="D403" s="2">
        <f>D391*(1+Assumptions!$D$52)</f>
        <v>-9257.7458473428615</v>
      </c>
      <c r="E403" s="2">
        <f>E391+(E391*Assumptions!$D$52)</f>
        <v>-77.259852862440169</v>
      </c>
      <c r="F403" s="22">
        <f t="shared" si="44"/>
        <v>1402.2603903910751</v>
      </c>
      <c r="G403" s="5">
        <f t="shared" si="45"/>
        <v>4682533.0027933391</v>
      </c>
      <c r="H403" s="5">
        <f t="shared" si="46"/>
        <v>1402.2603903910751</v>
      </c>
      <c r="I403" s="3">
        <f>Assumptions!$E$45</f>
        <v>6.9899151946608562E-3</v>
      </c>
      <c r="J403" s="5">
        <f t="shared" si="47"/>
        <v>4716665.7717694556</v>
      </c>
      <c r="K403" s="5">
        <f>J403*Assumptions!$E$43</f>
        <v>4224.1303043213484</v>
      </c>
      <c r="L403" s="5">
        <f>K403*Assumptions!$D$44*-1</f>
        <v>-633.61954564820223</v>
      </c>
      <c r="M403" s="2">
        <f>J403*Assumptions!$E$46*-1</f>
        <v>-157.19337568808757</v>
      </c>
      <c r="N403" s="5">
        <f t="shared" si="48"/>
        <v>4715874.9588481197</v>
      </c>
      <c r="O403" s="88">
        <f>Assumptions!$D$30</f>
        <v>2756</v>
      </c>
      <c r="P403" s="23">
        <f>(Model_Renter[[#This Row],[Monthly Investment]]*-1)+Model_Renter[[#This Row],[Less Renter''s Insurance]]</f>
        <v>-1479.5202432535152</v>
      </c>
    </row>
    <row r="404" spans="1:16" x14ac:dyDescent="0.25">
      <c r="A404" s="17">
        <f t="shared" si="42"/>
        <v>402</v>
      </c>
      <c r="B404" s="17">
        <f t="shared" si="43"/>
        <v>34</v>
      </c>
      <c r="C404" s="23">
        <f>MAX(Model_30y!V404, Model_15y!V404)</f>
        <v>10762.810902678004</v>
      </c>
      <c r="D404" s="2">
        <f>D392*(1+Assumptions!$D$52)</f>
        <v>-9257.7458473428615</v>
      </c>
      <c r="E404" s="2">
        <f>E392+(E392*Assumptions!$D$52)</f>
        <v>-77.259852862440169</v>
      </c>
      <c r="F404" s="22">
        <f t="shared" si="44"/>
        <v>1427.8052024727024</v>
      </c>
      <c r="G404" s="5">
        <f t="shared" si="45"/>
        <v>4715874.9588481197</v>
      </c>
      <c r="H404" s="5">
        <f t="shared" si="46"/>
        <v>1427.8052024727024</v>
      </c>
      <c r="I404" s="3">
        <f>Assumptions!$E$45</f>
        <v>6.9899151946608562E-3</v>
      </c>
      <c r="J404" s="5">
        <f t="shared" si="47"/>
        <v>4750266.3300815662</v>
      </c>
      <c r="K404" s="5">
        <f>J404*Assumptions!$E$43</f>
        <v>4254.2221411137307</v>
      </c>
      <c r="L404" s="5">
        <f>K404*Assumptions!$D$44*-1</f>
        <v>-638.13332116705953</v>
      </c>
      <c r="M404" s="2">
        <f>J404*Assumptions!$E$46*-1</f>
        <v>-158.31318901420832</v>
      </c>
      <c r="N404" s="5">
        <f t="shared" si="48"/>
        <v>4749469.8835713854</v>
      </c>
      <c r="O404" s="88">
        <f>Assumptions!$D$30</f>
        <v>2756</v>
      </c>
      <c r="P404" s="23">
        <f>(Model_Renter[[#This Row],[Monthly Investment]]*-1)+Model_Renter[[#This Row],[Less Renter''s Insurance]]</f>
        <v>-1505.0650553351425</v>
      </c>
    </row>
    <row r="405" spans="1:16" x14ac:dyDescent="0.25">
      <c r="A405" s="17">
        <f t="shared" si="42"/>
        <v>403</v>
      </c>
      <c r="B405" s="17">
        <f t="shared" si="43"/>
        <v>34</v>
      </c>
      <c r="C405" s="23">
        <f>MAX(Model_30y!V405, Model_15y!V405)</f>
        <v>10788.459787486081</v>
      </c>
      <c r="D405" s="2">
        <f>D393*(1+Assumptions!$D$52)</f>
        <v>-9257.7458473428615</v>
      </c>
      <c r="E405" s="2">
        <f>E393+(E393*Assumptions!$D$52)</f>
        <v>-77.259852862440169</v>
      </c>
      <c r="F405" s="22">
        <f t="shared" si="44"/>
        <v>1453.4540872807795</v>
      </c>
      <c r="G405" s="5">
        <f t="shared" si="45"/>
        <v>4749469.8835713854</v>
      </c>
      <c r="H405" s="5">
        <f t="shared" si="46"/>
        <v>1453.4540872807795</v>
      </c>
      <c r="I405" s="3">
        <f>Assumptions!$E$45</f>
        <v>6.9899151946608562E-3</v>
      </c>
      <c r="J405" s="5">
        <f t="shared" si="47"/>
        <v>4784121.7293644259</v>
      </c>
      <c r="K405" s="5">
        <f>J405*Assumptions!$E$43</f>
        <v>4284.5422072357733</v>
      </c>
      <c r="L405" s="5">
        <f>K405*Assumptions!$D$44*-1</f>
        <v>-642.68133108536597</v>
      </c>
      <c r="M405" s="2">
        <f>J405*Assumptions!$E$46*-1</f>
        <v>-159.44149548239045</v>
      </c>
      <c r="N405" s="5">
        <f t="shared" si="48"/>
        <v>4783319.606537858</v>
      </c>
      <c r="O405" s="88">
        <f>Assumptions!$D$30</f>
        <v>2756</v>
      </c>
      <c r="P405" s="23">
        <f>(Model_Renter[[#This Row],[Monthly Investment]]*-1)+Model_Renter[[#This Row],[Less Renter''s Insurance]]</f>
        <v>-1530.7139401432196</v>
      </c>
    </row>
    <row r="406" spans="1:16" x14ac:dyDescent="0.25">
      <c r="A406" s="17">
        <f t="shared" si="42"/>
        <v>404</v>
      </c>
      <c r="B406" s="17">
        <f t="shared" si="43"/>
        <v>34</v>
      </c>
      <c r="C406" s="23">
        <f>MAX(Model_30y!V406, Model_15y!V406)</f>
        <v>10814.213169025781</v>
      </c>
      <c r="D406" s="2">
        <f>D394*(1+Assumptions!$D$52)</f>
        <v>-9257.7458473428615</v>
      </c>
      <c r="E406" s="2">
        <f>E394+(E394*Assumptions!$D$52)</f>
        <v>-77.259852862440169</v>
      </c>
      <c r="F406" s="22">
        <f t="shared" si="44"/>
        <v>1479.2074688204796</v>
      </c>
      <c r="G406" s="5">
        <f t="shared" si="45"/>
        <v>4783319.606537858</v>
      </c>
      <c r="H406" s="5">
        <f t="shared" si="46"/>
        <v>1479.2074688204796</v>
      </c>
      <c r="I406" s="3">
        <f>Assumptions!$E$45</f>
        <v>6.9899151946608562E-3</v>
      </c>
      <c r="J406" s="5">
        <f t="shared" si="47"/>
        <v>4818233.8124053366</v>
      </c>
      <c r="K406" s="5">
        <f>J406*Assumptions!$E$43</f>
        <v>4315.0921530426358</v>
      </c>
      <c r="L406" s="5">
        <f>K406*Assumptions!$D$44*-1</f>
        <v>-647.2638229563953</v>
      </c>
      <c r="M406" s="2">
        <f>J406*Assumptions!$E$46*-1</f>
        <v>-160.57835650761876</v>
      </c>
      <c r="N406" s="5">
        <f t="shared" si="48"/>
        <v>4817425.9702258725</v>
      </c>
      <c r="O406" s="88">
        <f>Assumptions!$D$30</f>
        <v>2756</v>
      </c>
      <c r="P406" s="23">
        <f>(Model_Renter[[#This Row],[Monthly Investment]]*-1)+Model_Renter[[#This Row],[Less Renter''s Insurance]]</f>
        <v>-1556.4673216829196</v>
      </c>
    </row>
    <row r="407" spans="1:16" x14ac:dyDescent="0.25">
      <c r="A407" s="17">
        <f t="shared" si="42"/>
        <v>405</v>
      </c>
      <c r="B407" s="17">
        <f t="shared" si="43"/>
        <v>34</v>
      </c>
      <c r="C407" s="23">
        <f>MAX(Model_30y!V407, Model_15y!V407)</f>
        <v>10840.07147302972</v>
      </c>
      <c r="D407" s="2">
        <f>D395*(1+Assumptions!$D$52)</f>
        <v>-9257.7458473428615</v>
      </c>
      <c r="E407" s="2">
        <f>E395+(E395*Assumptions!$D$52)</f>
        <v>-77.259852862440169</v>
      </c>
      <c r="F407" s="22">
        <f t="shared" si="44"/>
        <v>1505.0657728244189</v>
      </c>
      <c r="G407" s="5">
        <f t="shared" si="45"/>
        <v>4817425.9702258725</v>
      </c>
      <c r="H407" s="5">
        <f t="shared" si="46"/>
        <v>1505.0657728244189</v>
      </c>
      <c r="I407" s="3">
        <f>Assumptions!$E$45</f>
        <v>6.9899151946608562E-3</v>
      </c>
      <c r="J407" s="5">
        <f t="shared" si="47"/>
        <v>4852604.4349871324</v>
      </c>
      <c r="K407" s="5">
        <f>J407*Assumptions!$E$43</f>
        <v>4345.8736405279551</v>
      </c>
      <c r="L407" s="5">
        <f>K407*Assumptions!$D$44*-1</f>
        <v>-651.8810460791932</v>
      </c>
      <c r="M407" s="2">
        <f>J407*Assumptions!$E$46*-1</f>
        <v>-161.72383393798307</v>
      </c>
      <c r="N407" s="5">
        <f t="shared" si="48"/>
        <v>4851790.8301071152</v>
      </c>
      <c r="O407" s="88">
        <f>Assumptions!$D$30</f>
        <v>2756</v>
      </c>
      <c r="P407" s="23">
        <f>(Model_Renter[[#This Row],[Monthly Investment]]*-1)+Model_Renter[[#This Row],[Less Renter''s Insurance]]</f>
        <v>-1582.325625686859</v>
      </c>
    </row>
    <row r="408" spans="1:16" x14ac:dyDescent="0.25">
      <c r="A408" s="17">
        <f t="shared" si="42"/>
        <v>406</v>
      </c>
      <c r="B408" s="17">
        <f t="shared" si="43"/>
        <v>34</v>
      </c>
      <c r="C408" s="23">
        <f>MAX(Model_30y!V408, Model_15y!V408)</f>
        <v>10866.035126965005</v>
      </c>
      <c r="D408" s="2">
        <f>D396*(1+Assumptions!$D$52)</f>
        <v>-9257.7458473428615</v>
      </c>
      <c r="E408" s="2">
        <f>E396+(E396*Assumptions!$D$52)</f>
        <v>-77.259852862440169</v>
      </c>
      <c r="F408" s="22">
        <f t="shared" si="44"/>
        <v>1531.0294267597039</v>
      </c>
      <c r="G408" s="5">
        <f t="shared" si="45"/>
        <v>4851790.8301071152</v>
      </c>
      <c r="H408" s="5">
        <f t="shared" si="46"/>
        <v>1531.0294267597039</v>
      </c>
      <c r="I408" s="3">
        <f>Assumptions!$E$45</f>
        <v>6.9899151946608562E-3</v>
      </c>
      <c r="J408" s="5">
        <f t="shared" si="47"/>
        <v>4887235.4659785572</v>
      </c>
      <c r="K408" s="5">
        <f>J408*Assumptions!$E$43</f>
        <v>4376.8883434047902</v>
      </c>
      <c r="L408" s="5">
        <f>K408*Assumptions!$D$44*-1</f>
        <v>-656.53325151071851</v>
      </c>
      <c r="M408" s="2">
        <f>J408*Assumptions!$E$46*-1</f>
        <v>-162.8779900576902</v>
      </c>
      <c r="N408" s="5">
        <f t="shared" si="48"/>
        <v>4886416.0547369886</v>
      </c>
      <c r="O408" s="88">
        <f>Assumptions!$D$30</f>
        <v>2756</v>
      </c>
      <c r="P408" s="23">
        <f>(Model_Renter[[#This Row],[Monthly Investment]]*-1)+Model_Renter[[#This Row],[Less Renter''s Insurance]]</f>
        <v>-1608.289279622144</v>
      </c>
    </row>
    <row r="409" spans="1:16" x14ac:dyDescent="0.25">
      <c r="A409" s="17">
        <f t="shared" si="42"/>
        <v>407</v>
      </c>
      <c r="B409" s="17">
        <f t="shared" si="43"/>
        <v>34</v>
      </c>
      <c r="C409" s="23">
        <f>MAX(Model_30y!V409, Model_15y!V409)</f>
        <v>10892.104560040299</v>
      </c>
      <c r="D409" s="2">
        <f>D397*(1+Assumptions!$D$52)</f>
        <v>-9257.7458473428615</v>
      </c>
      <c r="E409" s="2">
        <f>E397+(E397*Assumptions!$D$52)</f>
        <v>-77.259852862440169</v>
      </c>
      <c r="F409" s="22">
        <f t="shared" si="44"/>
        <v>1557.0988598349979</v>
      </c>
      <c r="G409" s="5">
        <f t="shared" si="45"/>
        <v>4886416.0547369886</v>
      </c>
      <c r="H409" s="5">
        <f t="shared" si="46"/>
        <v>1557.0988598349979</v>
      </c>
      <c r="I409" s="3">
        <f>Assumptions!$E$45</f>
        <v>6.9899151946608562E-3</v>
      </c>
      <c r="J409" s="5">
        <f t="shared" si="47"/>
        <v>4922128.7874252647</v>
      </c>
      <c r="K409" s="5">
        <f>J409*Assumptions!$E$43</f>
        <v>4408.1379471871178</v>
      </c>
      <c r="L409" s="5">
        <f>K409*Assumptions!$D$44*-1</f>
        <v>-661.2206920780676</v>
      </c>
      <c r="M409" s="2">
        <f>J409*Assumptions!$E$46*-1</f>
        <v>-164.04088759009682</v>
      </c>
      <c r="N409" s="5">
        <f t="shared" si="48"/>
        <v>4921303.5258455966</v>
      </c>
      <c r="O409" s="88">
        <f>Assumptions!$D$30</f>
        <v>2756</v>
      </c>
      <c r="P409" s="23">
        <f>(Model_Renter[[#This Row],[Monthly Investment]]*-1)+Model_Renter[[#This Row],[Less Renter''s Insurance]]</f>
        <v>-1634.358712697438</v>
      </c>
    </row>
    <row r="410" spans="1:16" x14ac:dyDescent="0.25">
      <c r="A410" s="17">
        <f t="shared" si="42"/>
        <v>408</v>
      </c>
      <c r="B410" s="17">
        <f t="shared" si="43"/>
        <v>34</v>
      </c>
      <c r="C410" s="23">
        <f>MAX(Model_30y!V410, Model_15y!V410)</f>
        <v>10918.280203212913</v>
      </c>
      <c r="D410" s="2">
        <f>D398*(1+Assumptions!$D$52)</f>
        <v>-9257.7458473428615</v>
      </c>
      <c r="E410" s="2">
        <f>E398+(E398*Assumptions!$D$52)</f>
        <v>-77.259852862440169</v>
      </c>
      <c r="F410" s="22">
        <f t="shared" si="44"/>
        <v>1583.2745030076114</v>
      </c>
      <c r="G410" s="5">
        <f t="shared" si="45"/>
        <v>4921303.5258455966</v>
      </c>
      <c r="H410" s="5">
        <f t="shared" si="46"/>
        <v>1583.2745030076114</v>
      </c>
      <c r="I410" s="3">
        <f>Assumptions!$E$45</f>
        <v>6.9899151946608562E-3</v>
      </c>
      <c r="J410" s="5">
        <f t="shared" si="47"/>
        <v>4957286.29464145</v>
      </c>
      <c r="K410" s="5">
        <f>J410*Assumptions!$E$43</f>
        <v>4439.6241492718955</v>
      </c>
      <c r="L410" s="5">
        <f>K410*Assumptions!$D$44*-1</f>
        <v>-665.9436223907843</v>
      </c>
      <c r="M410" s="2">
        <f>J410*Assumptions!$E$46*-1</f>
        <v>-165.21258970076326</v>
      </c>
      <c r="N410" s="5">
        <f t="shared" si="48"/>
        <v>4956455.1384293586</v>
      </c>
      <c r="O410" s="88">
        <f>Assumptions!$D$30</f>
        <v>2756</v>
      </c>
      <c r="P410" s="23">
        <f>(Model_Renter[[#This Row],[Monthly Investment]]*-1)+Model_Renter[[#This Row],[Less Renter''s Insurance]]</f>
        <v>-1660.5343558700515</v>
      </c>
    </row>
    <row r="411" spans="1:16" x14ac:dyDescent="0.25">
      <c r="A411" s="17">
        <f t="shared" si="42"/>
        <v>409</v>
      </c>
      <c r="B411" s="17">
        <f t="shared" si="43"/>
        <v>35</v>
      </c>
      <c r="C411" s="23">
        <f>MAX(Model_30y!V411, Model_15y!V411)</f>
        <v>11025.84345638505</v>
      </c>
      <c r="D411" s="2">
        <f>D399*(1+Assumptions!$D$52)</f>
        <v>-9603.9855420334861</v>
      </c>
      <c r="E411" s="2">
        <f>E399+(E399*Assumptions!$D$52)</f>
        <v>-80.149371359495433</v>
      </c>
      <c r="F411" s="22">
        <f t="shared" si="44"/>
        <v>1341.708542992068</v>
      </c>
      <c r="G411" s="5">
        <f t="shared" si="45"/>
        <v>4956455.1384293586</v>
      </c>
      <c r="H411" s="5">
        <f t="shared" si="46"/>
        <v>1341.708542992068</v>
      </c>
      <c r="I411" s="3">
        <f>Assumptions!$E$45</f>
        <v>6.9899151946608562E-3</v>
      </c>
      <c r="J411" s="5">
        <f t="shared" si="47"/>
        <v>4992442.0480561135</v>
      </c>
      <c r="K411" s="5">
        <f>J411*Assumptions!$E$43</f>
        <v>4471.108780694999</v>
      </c>
      <c r="L411" s="5">
        <f>K411*Assumptions!$D$44*-1</f>
        <v>-670.66631710424986</v>
      </c>
      <c r="M411" s="2">
        <f>J411*Assumptions!$E$46*-1</f>
        <v>-166.38423336209394</v>
      </c>
      <c r="N411" s="5">
        <f t="shared" si="48"/>
        <v>4991604.9975056471</v>
      </c>
      <c r="O411" s="88">
        <f>Assumptions!$D$30</f>
        <v>2756</v>
      </c>
      <c r="P411" s="23">
        <f>(Model_Renter[[#This Row],[Monthly Investment]]*-1)+Model_Renter[[#This Row],[Less Renter''s Insurance]]</f>
        <v>-1421.8579143515635</v>
      </c>
    </row>
    <row r="412" spans="1:16" x14ac:dyDescent="0.25">
      <c r="A412" s="17">
        <f t="shared" si="42"/>
        <v>410</v>
      </c>
      <c r="B412" s="17">
        <f t="shared" si="43"/>
        <v>35</v>
      </c>
      <c r="C412" s="23">
        <f>MAX(Model_30y!V412, Model_15y!V412)</f>
        <v>11052.232819654477</v>
      </c>
      <c r="D412" s="2">
        <f>D400*(1+Assumptions!$D$52)</f>
        <v>-9603.9855420334861</v>
      </c>
      <c r="E412" s="2">
        <f>E400+(E400*Assumptions!$D$52)</f>
        <v>-80.149371359495433</v>
      </c>
      <c r="F412" s="22">
        <f t="shared" si="44"/>
        <v>1368.0979062614952</v>
      </c>
      <c r="G412" s="5">
        <f t="shared" si="45"/>
        <v>4991604.9975056471</v>
      </c>
      <c r="H412" s="5">
        <f t="shared" si="46"/>
        <v>1368.0979062614952</v>
      </c>
      <c r="I412" s="3">
        <f>Assumptions!$E$45</f>
        <v>6.9899151946608562E-3</v>
      </c>
      <c r="J412" s="5">
        <f t="shared" si="47"/>
        <v>5027863.9910297189</v>
      </c>
      <c r="K412" s="5">
        <f>J412*Assumptions!$E$43</f>
        <v>4502.8318049653017</v>
      </c>
      <c r="L412" s="5">
        <f>K412*Assumptions!$D$44*-1</f>
        <v>-675.42477074479518</v>
      </c>
      <c r="M412" s="2">
        <f>J412*Assumptions!$E$46*-1</f>
        <v>-167.56474838242428</v>
      </c>
      <c r="N412" s="5">
        <f t="shared" si="48"/>
        <v>5027021.0015105912</v>
      </c>
      <c r="O412" s="88">
        <f>Assumptions!$D$30</f>
        <v>2756</v>
      </c>
      <c r="P412" s="23">
        <f>(Model_Renter[[#This Row],[Monthly Investment]]*-1)+Model_Renter[[#This Row],[Less Renter''s Insurance]]</f>
        <v>-1448.2472776209906</v>
      </c>
    </row>
    <row r="413" spans="1:16" x14ac:dyDescent="0.25">
      <c r="A413" s="17">
        <f t="shared" si="42"/>
        <v>411</v>
      </c>
      <c r="B413" s="17">
        <f t="shared" si="43"/>
        <v>35</v>
      </c>
      <c r="C413" s="23">
        <f>MAX(Model_30y!V413, Model_15y!V413)</f>
        <v>11078.729696456432</v>
      </c>
      <c r="D413" s="2">
        <f>D401*(1+Assumptions!$D$52)</f>
        <v>-9603.9855420334861</v>
      </c>
      <c r="E413" s="2">
        <f>E401+(E401*Assumptions!$D$52)</f>
        <v>-80.149371359495433</v>
      </c>
      <c r="F413" s="22">
        <f t="shared" si="44"/>
        <v>1394.5947830634504</v>
      </c>
      <c r="G413" s="5">
        <f t="shared" si="45"/>
        <v>5027021.0015105912</v>
      </c>
      <c r="H413" s="5">
        <f t="shared" si="46"/>
        <v>1394.5947830634504</v>
      </c>
      <c r="I413" s="3">
        <f>Assumptions!$E$45</f>
        <v>6.9899151946608562E-3</v>
      </c>
      <c r="J413" s="5">
        <f t="shared" si="47"/>
        <v>5063554.046775992</v>
      </c>
      <c r="K413" s="5">
        <f>J413*Assumptions!$E$43</f>
        <v>4534.7949444658971</v>
      </c>
      <c r="L413" s="5">
        <f>K413*Assumptions!$D$44*-1</f>
        <v>-680.21924166988458</v>
      </c>
      <c r="M413" s="2">
        <f>J413*Assumptions!$E$46*-1</f>
        <v>-168.75419885712859</v>
      </c>
      <c r="N413" s="5">
        <f t="shared" si="48"/>
        <v>5062705.073335465</v>
      </c>
      <c r="O413" s="88">
        <f>Assumptions!$D$30</f>
        <v>2756</v>
      </c>
      <c r="P413" s="23">
        <f>(Model_Renter[[#This Row],[Monthly Investment]]*-1)+Model_Renter[[#This Row],[Less Renter''s Insurance]]</f>
        <v>-1474.7441544229459</v>
      </c>
    </row>
    <row r="414" spans="1:16" x14ac:dyDescent="0.25">
      <c r="A414" s="17">
        <f t="shared" si="42"/>
        <v>412</v>
      </c>
      <c r="B414" s="17">
        <f t="shared" si="43"/>
        <v>35</v>
      </c>
      <c r="C414" s="23">
        <f>MAX(Model_30y!V414, Model_15y!V414)</f>
        <v>11105.334524814363</v>
      </c>
      <c r="D414" s="2">
        <f>D402*(1+Assumptions!$D$52)</f>
        <v>-9603.9855420334861</v>
      </c>
      <c r="E414" s="2">
        <f>E402+(E402*Assumptions!$D$52)</f>
        <v>-80.149371359495433</v>
      </c>
      <c r="F414" s="22">
        <f t="shared" si="44"/>
        <v>1421.1996114213816</v>
      </c>
      <c r="G414" s="5">
        <f t="shared" si="45"/>
        <v>5062705.073335465</v>
      </c>
      <c r="H414" s="5">
        <f t="shared" si="46"/>
        <v>1421.1996114213816</v>
      </c>
      <c r="I414" s="3">
        <f>Assumptions!$E$45</f>
        <v>6.9899151946608562E-3</v>
      </c>
      <c r="J414" s="5">
        <f t="shared" si="47"/>
        <v>5099514.1520650806</v>
      </c>
      <c r="K414" s="5">
        <f>J414*Assumptions!$E$43</f>
        <v>4566.9999337206773</v>
      </c>
      <c r="L414" s="5">
        <f>K414*Assumptions!$D$44*-1</f>
        <v>-685.04999005810157</v>
      </c>
      <c r="M414" s="2">
        <f>J414*Assumptions!$E$46*-1</f>
        <v>-169.95264933337896</v>
      </c>
      <c r="N414" s="5">
        <f t="shared" si="48"/>
        <v>5098659.1494256891</v>
      </c>
      <c r="O414" s="88">
        <f>Assumptions!$D$30</f>
        <v>2756</v>
      </c>
      <c r="P414" s="23">
        <f>(Model_Renter[[#This Row],[Monthly Investment]]*-1)+Model_Renter[[#This Row],[Less Renter''s Insurance]]</f>
        <v>-1501.3489827808771</v>
      </c>
    </row>
    <row r="415" spans="1:16" x14ac:dyDescent="0.25">
      <c r="A415" s="17">
        <f t="shared" si="42"/>
        <v>413</v>
      </c>
      <c r="B415" s="17">
        <f t="shared" si="43"/>
        <v>35</v>
      </c>
      <c r="C415" s="23">
        <f>MAX(Model_30y!V415, Model_15y!V415)</f>
        <v>11132.047744536265</v>
      </c>
      <c r="D415" s="2">
        <f>D403*(1+Assumptions!$D$52)</f>
        <v>-9603.9855420334861</v>
      </c>
      <c r="E415" s="2">
        <f>E403+(E403*Assumptions!$D$52)</f>
        <v>-80.149371359495433</v>
      </c>
      <c r="F415" s="22">
        <f t="shared" si="44"/>
        <v>1447.9128311432833</v>
      </c>
      <c r="G415" s="5">
        <f t="shared" si="45"/>
        <v>5098659.1494256891</v>
      </c>
      <c r="H415" s="5">
        <f t="shared" si="46"/>
        <v>1447.9128311432833</v>
      </c>
      <c r="I415" s="3">
        <f>Assumptions!$E$45</f>
        <v>6.9899151946608562E-3</v>
      </c>
      <c r="J415" s="5">
        <f t="shared" si="47"/>
        <v>5135746.2573178001</v>
      </c>
      <c r="K415" s="5">
        <f>J415*Assumptions!$E$43</f>
        <v>4599.4485194787385</v>
      </c>
      <c r="L415" s="5">
        <f>K415*Assumptions!$D$44*-1</f>
        <v>-689.91727792181075</v>
      </c>
      <c r="M415" s="2">
        <f>J415*Assumptions!$E$46*-1</f>
        <v>-171.16016481328637</v>
      </c>
      <c r="N415" s="5">
        <f t="shared" si="48"/>
        <v>5134885.1798750646</v>
      </c>
      <c r="O415" s="88">
        <f>Assumptions!$D$30</f>
        <v>2756</v>
      </c>
      <c r="P415" s="23">
        <f>(Model_Renter[[#This Row],[Monthly Investment]]*-1)+Model_Renter[[#This Row],[Less Renter''s Insurance]]</f>
        <v>-1528.0622025027787</v>
      </c>
    </row>
    <row r="416" spans="1:16" x14ac:dyDescent="0.25">
      <c r="A416" s="17">
        <f t="shared" si="42"/>
        <v>414</v>
      </c>
      <c r="B416" s="17">
        <f t="shared" si="43"/>
        <v>35</v>
      </c>
      <c r="C416" s="23">
        <f>MAX(Model_30y!V416, Model_15y!V416)</f>
        <v>11158.869797221974</v>
      </c>
      <c r="D416" s="2">
        <f>D404*(1+Assumptions!$D$52)</f>
        <v>-9603.9855420334861</v>
      </c>
      <c r="E416" s="2">
        <f>E404+(E404*Assumptions!$D$52)</f>
        <v>-80.149371359495433</v>
      </c>
      <c r="F416" s="22">
        <f t="shared" si="44"/>
        <v>1474.7348838289927</v>
      </c>
      <c r="G416" s="5">
        <f t="shared" si="45"/>
        <v>5134885.1798750646</v>
      </c>
      <c r="H416" s="5">
        <f t="shared" si="46"/>
        <v>1474.7348838289927</v>
      </c>
      <c r="I416" s="3">
        <f>Assumptions!$E$45</f>
        <v>6.9899151946608562E-3</v>
      </c>
      <c r="J416" s="5">
        <f t="shared" si="47"/>
        <v>5172252.3267005412</v>
      </c>
      <c r="K416" s="5">
        <f>J416*Assumptions!$E$43</f>
        <v>4632.1424607993767</v>
      </c>
      <c r="L416" s="5">
        <f>K416*Assumptions!$D$44*-1</f>
        <v>-694.82136911990654</v>
      </c>
      <c r="M416" s="2">
        <f>J416*Assumptions!$E$46*-1</f>
        <v>-172.37681075706368</v>
      </c>
      <c r="N416" s="5">
        <f t="shared" si="48"/>
        <v>5171385.1285206638</v>
      </c>
      <c r="O416" s="88">
        <f>Assumptions!$D$30</f>
        <v>2756</v>
      </c>
      <c r="P416" s="23">
        <f>(Model_Renter[[#This Row],[Monthly Investment]]*-1)+Model_Renter[[#This Row],[Less Renter''s Insurance]]</f>
        <v>-1554.8842551884882</v>
      </c>
    </row>
    <row r="417" spans="1:16" x14ac:dyDescent="0.25">
      <c r="A417" s="17">
        <f t="shared" si="42"/>
        <v>415</v>
      </c>
      <c r="B417" s="17">
        <f t="shared" si="43"/>
        <v>35</v>
      </c>
      <c r="C417" s="23">
        <f>MAX(Model_30y!V417, Model_15y!V417)</f>
        <v>11185.801126270455</v>
      </c>
      <c r="D417" s="2">
        <f>D405*(1+Assumptions!$D$52)</f>
        <v>-9603.9855420334861</v>
      </c>
      <c r="E417" s="2">
        <f>E405+(E405*Assumptions!$D$52)</f>
        <v>-80.149371359495433</v>
      </c>
      <c r="F417" s="22">
        <f t="shared" si="44"/>
        <v>1501.6662128774733</v>
      </c>
      <c r="G417" s="5">
        <f t="shared" si="45"/>
        <v>5171385.1285206638</v>
      </c>
      <c r="H417" s="5">
        <f t="shared" si="46"/>
        <v>1501.6662128774733</v>
      </c>
      <c r="I417" s="3">
        <f>Assumptions!$E$45</f>
        <v>6.9899151946608562E-3</v>
      </c>
      <c r="J417" s="5">
        <f t="shared" si="47"/>
        <v>5209034.338220831</v>
      </c>
      <c r="K417" s="5">
        <f>J417*Assumptions!$E$43</f>
        <v>4665.0835291376716</v>
      </c>
      <c r="L417" s="5">
        <f>K417*Assumptions!$D$44*-1</f>
        <v>-699.76252937065067</v>
      </c>
      <c r="M417" s="2">
        <f>J417*Assumptions!$E$46*-1</f>
        <v>-173.60265308621041</v>
      </c>
      <c r="N417" s="5">
        <f t="shared" si="48"/>
        <v>5208160.9730383744</v>
      </c>
      <c r="O417" s="88">
        <f>Assumptions!$D$30</f>
        <v>2756</v>
      </c>
      <c r="P417" s="23">
        <f>(Model_Renter[[#This Row],[Monthly Investment]]*-1)+Model_Renter[[#This Row],[Less Renter''s Insurance]]</f>
        <v>-1581.8155842369688</v>
      </c>
    </row>
    <row r="418" spans="1:16" x14ac:dyDescent="0.25">
      <c r="A418" s="17">
        <f t="shared" si="42"/>
        <v>416</v>
      </c>
      <c r="B418" s="17">
        <f t="shared" si="43"/>
        <v>35</v>
      </c>
      <c r="C418" s="23">
        <f>MAX(Model_30y!V418, Model_15y!V418)</f>
        <v>11212.842176887139</v>
      </c>
      <c r="D418" s="2">
        <f>D406*(1+Assumptions!$D$52)</f>
        <v>-9603.9855420334861</v>
      </c>
      <c r="E418" s="2">
        <f>E406+(E406*Assumptions!$D$52)</f>
        <v>-80.149371359495433</v>
      </c>
      <c r="F418" s="22">
        <f t="shared" si="44"/>
        <v>1528.7072634941578</v>
      </c>
      <c r="G418" s="5">
        <f t="shared" si="45"/>
        <v>5208160.9730383744</v>
      </c>
      <c r="H418" s="5">
        <f t="shared" si="46"/>
        <v>1528.7072634941578</v>
      </c>
      <c r="I418" s="3">
        <f>Assumptions!$E$45</f>
        <v>6.9899151946608562E-3</v>
      </c>
      <c r="J418" s="5">
        <f t="shared" si="47"/>
        <v>5246094.2838235488</v>
      </c>
      <c r="K418" s="5">
        <f>J418*Assumptions!$E$43</f>
        <v>4698.2735084306523</v>
      </c>
      <c r="L418" s="5">
        <f>K418*Assumptions!$D$44*-1</f>
        <v>-704.74102626459785</v>
      </c>
      <c r="M418" s="2">
        <f>J418*Assumptions!$E$46*-1</f>
        <v>-174.83775818671927</v>
      </c>
      <c r="N418" s="5">
        <f t="shared" si="48"/>
        <v>5245214.7050390979</v>
      </c>
      <c r="O418" s="88">
        <f>Assumptions!$D$30</f>
        <v>2756</v>
      </c>
      <c r="P418" s="23">
        <f>(Model_Renter[[#This Row],[Monthly Investment]]*-1)+Model_Renter[[#This Row],[Less Renter''s Insurance]]</f>
        <v>-1608.8566348536533</v>
      </c>
    </row>
    <row r="419" spans="1:16" x14ac:dyDescent="0.25">
      <c r="A419" s="17">
        <f t="shared" si="42"/>
        <v>417</v>
      </c>
      <c r="B419" s="17">
        <f t="shared" si="43"/>
        <v>35</v>
      </c>
      <c r="C419" s="23">
        <f>MAX(Model_30y!V419, Model_15y!V419)</f>
        <v>11239.993396091273</v>
      </c>
      <c r="D419" s="2">
        <f>D407*(1+Assumptions!$D$52)</f>
        <v>-9603.9855420334861</v>
      </c>
      <c r="E419" s="2">
        <f>E407+(E407*Assumptions!$D$52)</f>
        <v>-80.149371359495433</v>
      </c>
      <c r="F419" s="22">
        <f t="shared" si="44"/>
        <v>1555.8584826982915</v>
      </c>
      <c r="G419" s="5">
        <f t="shared" si="45"/>
        <v>5245214.7050390979</v>
      </c>
      <c r="H419" s="5">
        <f t="shared" si="46"/>
        <v>1555.8584826982915</v>
      </c>
      <c r="I419" s="3">
        <f>Assumptions!$E$45</f>
        <v>6.9899151946608562E-3</v>
      </c>
      <c r="J419" s="5">
        <f t="shared" si="47"/>
        <v>5283434.169487807</v>
      </c>
      <c r="K419" s="5">
        <f>J419*Assumptions!$E$43</f>
        <v>4731.7141951840658</v>
      </c>
      <c r="L419" s="5">
        <f>K419*Assumptions!$D$44*-1</f>
        <v>-709.75712927760981</v>
      </c>
      <c r="M419" s="2">
        <f>J419*Assumptions!$E$46*-1</f>
        <v>-176.08219291230512</v>
      </c>
      <c r="N419" s="5">
        <f t="shared" si="48"/>
        <v>5282548.3301656172</v>
      </c>
      <c r="O419" s="88">
        <f>Assumptions!$D$30</f>
        <v>2756</v>
      </c>
      <c r="P419" s="23">
        <f>(Model_Renter[[#This Row],[Monthly Investment]]*-1)+Model_Renter[[#This Row],[Less Renter''s Insurance]]</f>
        <v>-1636.007854057787</v>
      </c>
    </row>
    <row r="420" spans="1:16" x14ac:dyDescent="0.25">
      <c r="A420" s="17">
        <f t="shared" si="42"/>
        <v>418</v>
      </c>
      <c r="B420" s="17">
        <f t="shared" si="43"/>
        <v>35</v>
      </c>
      <c r="C420" s="23">
        <f>MAX(Model_30y!V420, Model_15y!V420)</f>
        <v>11267.255232723324</v>
      </c>
      <c r="D420" s="2">
        <f>D408*(1+Assumptions!$D$52)</f>
        <v>-9603.9855420334861</v>
      </c>
      <c r="E420" s="2">
        <f>E408+(E408*Assumptions!$D$52)</f>
        <v>-80.149371359495433</v>
      </c>
      <c r="F420" s="22">
        <f t="shared" si="44"/>
        <v>1583.1203193303427</v>
      </c>
      <c r="G420" s="5">
        <f t="shared" si="45"/>
        <v>5282548.3301656172</v>
      </c>
      <c r="H420" s="5">
        <f t="shared" si="46"/>
        <v>1583.1203193303427</v>
      </c>
      <c r="I420" s="3">
        <f>Assumptions!$E$45</f>
        <v>6.9899151946608562E-3</v>
      </c>
      <c r="J420" s="5">
        <f t="shared" si="47"/>
        <v>5321056.0153245023</v>
      </c>
      <c r="K420" s="5">
        <f>J420*Assumptions!$E$43</f>
        <v>4765.4073985597361</v>
      </c>
      <c r="L420" s="5">
        <f>K420*Assumptions!$D$44*-1</f>
        <v>-714.81110978396043</v>
      </c>
      <c r="M420" s="2">
        <f>J420*Assumptions!$E$46*-1</f>
        <v>-177.3360245876558</v>
      </c>
      <c r="N420" s="5">
        <f t="shared" si="48"/>
        <v>5320163.8681901302</v>
      </c>
      <c r="O420" s="88">
        <f>Assumptions!$D$30</f>
        <v>2756</v>
      </c>
      <c r="P420" s="23">
        <f>(Model_Renter[[#This Row],[Monthly Investment]]*-1)+Model_Renter[[#This Row],[Less Renter''s Insurance]]</f>
        <v>-1663.2696906898382</v>
      </c>
    </row>
    <row r="421" spans="1:16" x14ac:dyDescent="0.25">
      <c r="A421" s="17">
        <f t="shared" si="42"/>
        <v>419</v>
      </c>
      <c r="B421" s="17">
        <f t="shared" si="43"/>
        <v>35</v>
      </c>
      <c r="C421" s="23">
        <f>MAX(Model_30y!V421, Model_15y!V421)</f>
        <v>11294.628137452382</v>
      </c>
      <c r="D421" s="2">
        <f>D409*(1+Assumptions!$D$52)</f>
        <v>-9603.9855420334861</v>
      </c>
      <c r="E421" s="2">
        <f>E409+(E409*Assumptions!$D$52)</f>
        <v>-80.149371359495433</v>
      </c>
      <c r="F421" s="22">
        <f t="shared" si="44"/>
        <v>1610.4932240594007</v>
      </c>
      <c r="G421" s="5">
        <f t="shared" si="45"/>
        <v>5320163.8681901302</v>
      </c>
      <c r="H421" s="5">
        <f t="shared" si="46"/>
        <v>1610.4932240594007</v>
      </c>
      <c r="I421" s="3">
        <f>Assumptions!$E$45</f>
        <v>6.9899151946608562E-3</v>
      </c>
      <c r="J421" s="5">
        <f t="shared" si="47"/>
        <v>5358961.8556745369</v>
      </c>
      <c r="K421" s="5">
        <f>J421*Assumptions!$E$43</f>
        <v>4799.3549404635323</v>
      </c>
      <c r="L421" s="5">
        <f>K421*Assumptions!$D$44*-1</f>
        <v>-719.90324106952983</v>
      </c>
      <c r="M421" s="2">
        <f>J421*Assumptions!$E$46*-1</f>
        <v>-178.59932101170585</v>
      </c>
      <c r="N421" s="5">
        <f t="shared" si="48"/>
        <v>5358063.3531124555</v>
      </c>
      <c r="O421" s="88">
        <f>Assumptions!$D$30</f>
        <v>2756</v>
      </c>
      <c r="P421" s="23">
        <f>(Model_Renter[[#This Row],[Monthly Investment]]*-1)+Model_Renter[[#This Row],[Less Renter''s Insurance]]</f>
        <v>-1690.6425954188962</v>
      </c>
    </row>
    <row r="422" spans="1:16" x14ac:dyDescent="0.25">
      <c r="A422" s="17">
        <f t="shared" si="42"/>
        <v>420</v>
      </c>
      <c r="B422" s="17">
        <f t="shared" si="43"/>
        <v>35</v>
      </c>
      <c r="C422" s="23">
        <f>MAX(Model_30y!V422, Model_15y!V422)</f>
        <v>11322.112562783625</v>
      </c>
      <c r="D422" s="2">
        <f>D410*(1+Assumptions!$D$52)</f>
        <v>-9603.9855420334861</v>
      </c>
      <c r="E422" s="2">
        <f>E410+(E410*Assumptions!$D$52)</f>
        <v>-80.149371359495433</v>
      </c>
      <c r="F422" s="22">
        <f t="shared" si="44"/>
        <v>1637.9776493906429</v>
      </c>
      <c r="G422" s="5">
        <f t="shared" si="45"/>
        <v>5358063.3531124555</v>
      </c>
      <c r="H422" s="5">
        <f t="shared" si="46"/>
        <v>1637.9776493906429</v>
      </c>
      <c r="I422" s="3">
        <f>Assumptions!$E$45</f>
        <v>6.9899151946608562E-3</v>
      </c>
      <c r="J422" s="5">
        <f t="shared" si="47"/>
        <v>5397153.7392077222</v>
      </c>
      <c r="K422" s="5">
        <f>J422*Assumptions!$E$43</f>
        <v>4833.5586556339458</v>
      </c>
      <c r="L422" s="5">
        <f>K422*Assumptions!$D$44*-1</f>
        <v>-725.0337983450919</v>
      </c>
      <c r="M422" s="2">
        <f>J422*Assumptions!$E$46*-1</f>
        <v>-179.87215046093255</v>
      </c>
      <c r="N422" s="5">
        <f t="shared" si="48"/>
        <v>5396248.8332589166</v>
      </c>
      <c r="O422" s="88">
        <f>Assumptions!$D$30</f>
        <v>2756</v>
      </c>
      <c r="P422" s="23">
        <f>(Model_Renter[[#This Row],[Monthly Investment]]*-1)+Model_Renter[[#This Row],[Less Renter''s Insurance]]</f>
        <v>-1718.1270207501384</v>
      </c>
    </row>
    <row r="423" spans="1:16" x14ac:dyDescent="0.25">
      <c r="A423" s="17">
        <f t="shared" si="42"/>
        <v>421</v>
      </c>
      <c r="B423" s="17">
        <f t="shared" si="43"/>
        <v>36</v>
      </c>
      <c r="C423" s="23">
        <f>MAX(Model_30y!V423, Model_15y!V423)</f>
        <v>11435.053978614369</v>
      </c>
      <c r="D423" s="2">
        <f>D411*(1+Assumptions!$D$52)</f>
        <v>-9963.1746013055399</v>
      </c>
      <c r="E423" s="2">
        <f>E411+(E411*Assumptions!$D$52)</f>
        <v>-83.146957848340563</v>
      </c>
      <c r="F423" s="22">
        <f t="shared" si="44"/>
        <v>1388.7324194604885</v>
      </c>
      <c r="G423" s="5">
        <f t="shared" si="45"/>
        <v>5396248.8332589166</v>
      </c>
      <c r="H423" s="5">
        <f t="shared" si="46"/>
        <v>1388.7324194604885</v>
      </c>
      <c r="I423" s="3">
        <f>Assumptions!$E$45</f>
        <v>6.9899151946608562E-3</v>
      </c>
      <c r="J423" s="5">
        <f t="shared" si="47"/>
        <v>5435356.8873921437</v>
      </c>
      <c r="K423" s="5">
        <f>J423*Assumptions!$E$43</f>
        <v>4867.7724591500164</v>
      </c>
      <c r="L423" s="5">
        <f>K423*Assumptions!$D$44*-1</f>
        <v>-730.16586887250241</v>
      </c>
      <c r="M423" s="2">
        <f>J423*Assumptions!$E$46*-1</f>
        <v>-181.14535532971183</v>
      </c>
      <c r="N423" s="5">
        <f t="shared" si="48"/>
        <v>5434445.5761679411</v>
      </c>
      <c r="O423" s="88">
        <f>Assumptions!$D$30</f>
        <v>2756</v>
      </c>
      <c r="P423" s="23">
        <f>(Model_Renter[[#This Row],[Monthly Investment]]*-1)+Model_Renter[[#This Row],[Less Renter''s Insurance]]</f>
        <v>-1471.8793773088291</v>
      </c>
    </row>
    <row r="424" spans="1:16" x14ac:dyDescent="0.25">
      <c r="A424" s="17">
        <f t="shared" si="42"/>
        <v>422</v>
      </c>
      <c r="B424" s="17">
        <f t="shared" si="43"/>
        <v>36</v>
      </c>
      <c r="C424" s="23">
        <f>MAX(Model_30y!V424, Model_15y!V424)</f>
        <v>11462.762810047267</v>
      </c>
      <c r="D424" s="2">
        <f>D412*(1+Assumptions!$D$52)</f>
        <v>-9963.1746013055399</v>
      </c>
      <c r="E424" s="2">
        <f>E412+(E412*Assumptions!$D$52)</f>
        <v>-83.146957848340563</v>
      </c>
      <c r="F424" s="22">
        <f t="shared" si="44"/>
        <v>1416.441250893386</v>
      </c>
      <c r="G424" s="5">
        <f t="shared" si="45"/>
        <v>5434445.5761679411</v>
      </c>
      <c r="H424" s="5">
        <f t="shared" si="46"/>
        <v>1416.441250893386</v>
      </c>
      <c r="I424" s="3">
        <f>Assumptions!$E$45</f>
        <v>6.9899151946608562E-3</v>
      </c>
      <c r="J424" s="5">
        <f t="shared" si="47"/>
        <v>5473848.3311262485</v>
      </c>
      <c r="K424" s="5">
        <f>J424*Assumptions!$E$43</f>
        <v>4902.2444530969851</v>
      </c>
      <c r="L424" s="5">
        <f>K424*Assumptions!$D$44*-1</f>
        <v>-735.3366679645477</v>
      </c>
      <c r="M424" s="2">
        <f>J424*Assumptions!$E$46*-1</f>
        <v>-182.4281682887912</v>
      </c>
      <c r="N424" s="5">
        <f t="shared" si="48"/>
        <v>5472930.5662899949</v>
      </c>
      <c r="O424" s="88">
        <f>Assumptions!$D$30</f>
        <v>2756</v>
      </c>
      <c r="P424" s="23">
        <f>(Model_Renter[[#This Row],[Monthly Investment]]*-1)+Model_Renter[[#This Row],[Less Renter''s Insurance]]</f>
        <v>-1499.5882087417267</v>
      </c>
    </row>
    <row r="425" spans="1:16" x14ac:dyDescent="0.25">
      <c r="A425" s="17">
        <f t="shared" si="42"/>
        <v>423</v>
      </c>
      <c r="B425" s="17">
        <f t="shared" si="43"/>
        <v>36</v>
      </c>
      <c r="C425" s="23">
        <f>MAX(Model_30y!V425, Model_15y!V425)</f>
        <v>11490.584530689322</v>
      </c>
      <c r="D425" s="2">
        <f>D413*(1+Assumptions!$D$52)</f>
        <v>-9963.1746013055399</v>
      </c>
      <c r="E425" s="2">
        <f>E413+(E413*Assumptions!$D$52)</f>
        <v>-83.146957848340563</v>
      </c>
      <c r="F425" s="22">
        <f t="shared" si="44"/>
        <v>1444.2629715354419</v>
      </c>
      <c r="G425" s="5">
        <f t="shared" si="45"/>
        <v>5472930.5662899949</v>
      </c>
      <c r="H425" s="5">
        <f t="shared" si="46"/>
        <v>1444.2629715354419</v>
      </c>
      <c r="I425" s="3">
        <f>Assumptions!$E$45</f>
        <v>6.9899151946608562E-3</v>
      </c>
      <c r="J425" s="5">
        <f t="shared" si="47"/>
        <v>5512630.1497861641</v>
      </c>
      <c r="K425" s="5">
        <f>J425*Assumptions!$E$43</f>
        <v>4936.976499713167</v>
      </c>
      <c r="L425" s="5">
        <f>K425*Assumptions!$D$44*-1</f>
        <v>-740.54647495697498</v>
      </c>
      <c r="M425" s="2">
        <f>J425*Assumptions!$E$46*-1</f>
        <v>-183.72065863800421</v>
      </c>
      <c r="N425" s="5">
        <f t="shared" si="48"/>
        <v>5511705.8826525686</v>
      </c>
      <c r="O425" s="88">
        <f>Assumptions!$D$30</f>
        <v>2756</v>
      </c>
      <c r="P425" s="23">
        <f>(Model_Renter[[#This Row],[Monthly Investment]]*-1)+Model_Renter[[#This Row],[Less Renter''s Insurance]]</f>
        <v>-1527.4099293837826</v>
      </c>
    </row>
    <row r="426" spans="1:16" x14ac:dyDescent="0.25">
      <c r="A426" s="17">
        <f t="shared" si="42"/>
        <v>424</v>
      </c>
      <c r="B426" s="17">
        <f t="shared" si="43"/>
        <v>36</v>
      </c>
      <c r="C426" s="23">
        <f>MAX(Model_30y!V426, Model_15y!V426)</f>
        <v>11518.51960046515</v>
      </c>
      <c r="D426" s="2">
        <f>D414*(1+Assumptions!$D$52)</f>
        <v>-9963.1746013055399</v>
      </c>
      <c r="E426" s="2">
        <f>E414+(E414*Assumptions!$D$52)</f>
        <v>-83.146957848340563</v>
      </c>
      <c r="F426" s="22">
        <f t="shared" si="44"/>
        <v>1472.1980413112692</v>
      </c>
      <c r="G426" s="5">
        <f t="shared" si="45"/>
        <v>5511705.8826525686</v>
      </c>
      <c r="H426" s="5">
        <f t="shared" si="46"/>
        <v>1472.1980413112692</v>
      </c>
      <c r="I426" s="3">
        <f>Assumptions!$E$45</f>
        <v>6.9899151946608562E-3</v>
      </c>
      <c r="J426" s="5">
        <f t="shared" si="47"/>
        <v>5551704.4373915344</v>
      </c>
      <c r="K426" s="5">
        <f>J426*Assumptions!$E$43</f>
        <v>4971.9704743512493</v>
      </c>
      <c r="L426" s="5">
        <f>K426*Assumptions!$D$44*-1</f>
        <v>-745.79557115268733</v>
      </c>
      <c r="M426" s="2">
        <f>J426*Assumptions!$E$46*-1</f>
        <v>-185.02289616521216</v>
      </c>
      <c r="N426" s="5">
        <f t="shared" si="48"/>
        <v>5550773.6189242164</v>
      </c>
      <c r="O426" s="88">
        <f>Assumptions!$D$30</f>
        <v>2756</v>
      </c>
      <c r="P426" s="23">
        <f>(Model_Renter[[#This Row],[Monthly Investment]]*-1)+Model_Renter[[#This Row],[Less Renter''s Insurance]]</f>
        <v>-1555.3449991596099</v>
      </c>
    </row>
    <row r="427" spans="1:16" x14ac:dyDescent="0.25">
      <c r="A427" s="17">
        <f t="shared" si="42"/>
        <v>425</v>
      </c>
      <c r="B427" s="17">
        <f t="shared" si="43"/>
        <v>36</v>
      </c>
      <c r="C427" s="23">
        <f>MAX(Model_30y!V427, Model_15y!V427)</f>
        <v>11546.568481173146</v>
      </c>
      <c r="D427" s="2">
        <f>D415*(1+Assumptions!$D$52)</f>
        <v>-9963.1746013055399</v>
      </c>
      <c r="E427" s="2">
        <f>E415+(E415*Assumptions!$D$52)</f>
        <v>-83.146957848340563</v>
      </c>
      <c r="F427" s="22">
        <f t="shared" si="44"/>
        <v>1500.2469220192656</v>
      </c>
      <c r="G427" s="5">
        <f t="shared" si="45"/>
        <v>5550773.6189242164</v>
      </c>
      <c r="H427" s="5">
        <f t="shared" si="46"/>
        <v>1500.2469220192656</v>
      </c>
      <c r="I427" s="3">
        <f>Assumptions!$E$45</f>
        <v>6.9899151946608562E-3</v>
      </c>
      <c r="J427" s="5">
        <f t="shared" si="47"/>
        <v>5591073.3027072763</v>
      </c>
      <c r="K427" s="5">
        <f>J427*Assumptions!$E$43</f>
        <v>5007.2282655694271</v>
      </c>
      <c r="L427" s="5">
        <f>K427*Assumptions!$D$44*-1</f>
        <v>-751.084239835414</v>
      </c>
      <c r="M427" s="2">
        <f>J427*Assumptions!$E$46*-1</f>
        <v>-186.33495114969529</v>
      </c>
      <c r="N427" s="5">
        <f t="shared" si="48"/>
        <v>5590135.8835162912</v>
      </c>
      <c r="O427" s="88">
        <f>Assumptions!$D$30</f>
        <v>2756</v>
      </c>
      <c r="P427" s="23">
        <f>(Model_Renter[[#This Row],[Monthly Investment]]*-1)+Model_Renter[[#This Row],[Less Renter''s Insurance]]</f>
        <v>-1583.3938798676063</v>
      </c>
    </row>
    <row r="428" spans="1:16" x14ac:dyDescent="0.25">
      <c r="A428" s="17">
        <f t="shared" si="42"/>
        <v>426</v>
      </c>
      <c r="B428" s="17">
        <f t="shared" si="43"/>
        <v>36</v>
      </c>
      <c r="C428" s="23">
        <f>MAX(Model_30y!V428, Model_15y!V428)</f>
        <v>11574.731636493138</v>
      </c>
      <c r="D428" s="2">
        <f>D416*(1+Assumptions!$D$52)</f>
        <v>-9963.1746013055399</v>
      </c>
      <c r="E428" s="2">
        <f>E416+(E416*Assumptions!$D$52)</f>
        <v>-83.146957848340563</v>
      </c>
      <c r="F428" s="22">
        <f t="shared" si="44"/>
        <v>1528.410077339257</v>
      </c>
      <c r="G428" s="5">
        <f t="shared" si="45"/>
        <v>5590135.8835162912</v>
      </c>
      <c r="H428" s="5">
        <f t="shared" si="46"/>
        <v>1528.410077339257</v>
      </c>
      <c r="I428" s="3">
        <f>Assumptions!$E$45</f>
        <v>6.9899151946608562E-3</v>
      </c>
      <c r="J428" s="5">
        <f t="shared" si="47"/>
        <v>5630738.8693460394</v>
      </c>
      <c r="K428" s="5">
        <f>J428*Assumptions!$E$43</f>
        <v>5042.7517752231579</v>
      </c>
      <c r="L428" s="5">
        <f>K428*Assumptions!$D$44*-1</f>
        <v>-756.41276628347362</v>
      </c>
      <c r="M428" s="2">
        <f>J428*Assumptions!$E$46*-1</f>
        <v>-187.65689436556764</v>
      </c>
      <c r="N428" s="5">
        <f t="shared" si="48"/>
        <v>5629794.7996853907</v>
      </c>
      <c r="O428" s="88">
        <f>Assumptions!$D$30</f>
        <v>2756</v>
      </c>
      <c r="P428" s="23">
        <f>(Model_Renter[[#This Row],[Monthly Investment]]*-1)+Model_Renter[[#This Row],[Less Renter''s Insurance]]</f>
        <v>-1611.5570351875976</v>
      </c>
    </row>
    <row r="429" spans="1:16" x14ac:dyDescent="0.25">
      <c r="A429" s="17">
        <f t="shared" si="42"/>
        <v>427</v>
      </c>
      <c r="B429" s="17">
        <f t="shared" si="43"/>
        <v>36</v>
      </c>
      <c r="C429" s="23">
        <f>MAX(Model_30y!V429, Model_15y!V429)</f>
        <v>11603.009531994045</v>
      </c>
      <c r="D429" s="2">
        <f>D417*(1+Assumptions!$D$52)</f>
        <v>-9963.1746013055399</v>
      </c>
      <c r="E429" s="2">
        <f>E417+(E417*Assumptions!$D$52)</f>
        <v>-83.146957848340563</v>
      </c>
      <c r="F429" s="22">
        <f t="shared" si="44"/>
        <v>1556.6879728401641</v>
      </c>
      <c r="G429" s="5">
        <f t="shared" si="45"/>
        <v>5629794.7996853907</v>
      </c>
      <c r="H429" s="5">
        <f t="shared" si="46"/>
        <v>1556.6879728401641</v>
      </c>
      <c r="I429" s="3">
        <f>Assumptions!$E$45</f>
        <v>6.9899151946608562E-3</v>
      </c>
      <c r="J429" s="5">
        <f t="shared" si="47"/>
        <v>5670703.2758713737</v>
      </c>
      <c r="K429" s="5">
        <f>J429*Assumptions!$E$43</f>
        <v>5078.5429185575631</v>
      </c>
      <c r="L429" s="5">
        <f>K429*Assumptions!$D$44*-1</f>
        <v>-761.78143778363449</v>
      </c>
      <c r="M429" s="2">
        <f>J429*Assumptions!$E$46*-1</f>
        <v>-188.98879708521523</v>
      </c>
      <c r="N429" s="5">
        <f t="shared" si="48"/>
        <v>5669752.5056365049</v>
      </c>
      <c r="O429" s="88">
        <f>Assumptions!$D$30</f>
        <v>2756</v>
      </c>
      <c r="P429" s="23">
        <f>(Model_Renter[[#This Row],[Monthly Investment]]*-1)+Model_Renter[[#This Row],[Less Renter''s Insurance]]</f>
        <v>-1639.8349306885048</v>
      </c>
    </row>
    <row r="430" spans="1:16" x14ac:dyDescent="0.25">
      <c r="A430" s="17">
        <f t="shared" si="42"/>
        <v>428</v>
      </c>
      <c r="B430" s="17">
        <f t="shared" si="43"/>
        <v>36</v>
      </c>
      <c r="C430" s="23">
        <f>MAX(Model_30y!V430, Model_15y!V430)</f>
        <v>11631.402635141561</v>
      </c>
      <c r="D430" s="2">
        <f>D418*(1+Assumptions!$D$52)</f>
        <v>-9963.1746013055399</v>
      </c>
      <c r="E430" s="2">
        <f>E418+(E418*Assumptions!$D$52)</f>
        <v>-83.146957848340563</v>
      </c>
      <c r="F430" s="22">
        <f t="shared" si="44"/>
        <v>1585.0810759876808</v>
      </c>
      <c r="G430" s="5">
        <f t="shared" si="45"/>
        <v>5669752.5056365049</v>
      </c>
      <c r="H430" s="5">
        <f t="shared" si="46"/>
        <v>1585.0810759876808</v>
      </c>
      <c r="I430" s="3">
        <f>Assumptions!$E$45</f>
        <v>6.9899151946608562E-3</v>
      </c>
      <c r="J430" s="5">
        <f t="shared" si="47"/>
        <v>5710968.6759016076</v>
      </c>
      <c r="K430" s="5">
        <f>J430*Assumptions!$E$43</f>
        <v>5114.6036243004519</v>
      </c>
      <c r="L430" s="5">
        <f>K430*Assumptions!$D$44*-1</f>
        <v>-767.19054364506781</v>
      </c>
      <c r="M430" s="2">
        <f>J430*Assumptions!$E$46*-1</f>
        <v>-190.33073108275798</v>
      </c>
      <c r="N430" s="5">
        <f t="shared" si="48"/>
        <v>5710011.1546268798</v>
      </c>
      <c r="O430" s="88">
        <f>Assumptions!$D$30</f>
        <v>2756</v>
      </c>
      <c r="P430" s="23">
        <f>(Model_Renter[[#This Row],[Monthly Investment]]*-1)+Model_Renter[[#This Row],[Less Renter''s Insurance]]</f>
        <v>-1668.2280338360215</v>
      </c>
    </row>
    <row r="431" spans="1:16" x14ac:dyDescent="0.25">
      <c r="A431" s="17">
        <f t="shared" ref="A431:A494" si="49">A430+1</f>
        <v>429</v>
      </c>
      <c r="B431" s="17">
        <f t="shared" si="43"/>
        <v>36</v>
      </c>
      <c r="C431" s="23">
        <f>MAX(Model_30y!V431, Model_15y!V431)</f>
        <v>11659.911415305907</v>
      </c>
      <c r="D431" s="2">
        <f>D419*(1+Assumptions!$D$52)</f>
        <v>-9963.1746013055399</v>
      </c>
      <c r="E431" s="2">
        <f>E419+(E419*Assumptions!$D$52)</f>
        <v>-83.146957848340563</v>
      </c>
      <c r="F431" s="22">
        <f t="shared" si="44"/>
        <v>1613.5898561520266</v>
      </c>
      <c r="G431" s="5">
        <f t="shared" si="45"/>
        <v>5710011.1546268798</v>
      </c>
      <c r="H431" s="5">
        <f t="shared" si="46"/>
        <v>1613.5898561520266</v>
      </c>
      <c r="I431" s="3">
        <f>Assumptions!$E$45</f>
        <v>6.9899151946608562E-3</v>
      </c>
      <c r="J431" s="5">
        <f t="shared" si="47"/>
        <v>5751537.2382144416</v>
      </c>
      <c r="K431" s="5">
        <f>J431*Assumptions!$E$43</f>
        <v>5150.9358347559964</v>
      </c>
      <c r="L431" s="5">
        <f>K431*Assumptions!$D$44*-1</f>
        <v>-772.64037521339947</v>
      </c>
      <c r="M431" s="2">
        <f>J431*Assumptions!$E$46*-1</f>
        <v>-191.6827686375357</v>
      </c>
      <c r="N431" s="5">
        <f t="shared" si="48"/>
        <v>5750572.9150705906</v>
      </c>
      <c r="O431" s="88">
        <f>Assumptions!$D$30</f>
        <v>2756</v>
      </c>
      <c r="P431" s="23">
        <f>(Model_Renter[[#This Row],[Monthly Investment]]*-1)+Model_Renter[[#This Row],[Less Renter''s Insurance]]</f>
        <v>-1696.7368140003673</v>
      </c>
    </row>
    <row r="432" spans="1:16" x14ac:dyDescent="0.25">
      <c r="A432" s="17">
        <f t="shared" si="49"/>
        <v>430</v>
      </c>
      <c r="B432" s="17">
        <f t="shared" si="43"/>
        <v>36</v>
      </c>
      <c r="C432" s="23">
        <f>MAX(Model_30y!V432, Model_15y!V432)</f>
        <v>11688.53634376956</v>
      </c>
      <c r="D432" s="2">
        <f>D420*(1+Assumptions!$D$52)</f>
        <v>-9963.1746013055399</v>
      </c>
      <c r="E432" s="2">
        <f>E420+(E420*Assumptions!$D$52)</f>
        <v>-83.146957848340563</v>
      </c>
      <c r="F432" s="22">
        <f t="shared" si="44"/>
        <v>1642.214784615679</v>
      </c>
      <c r="G432" s="5">
        <f t="shared" si="45"/>
        <v>5750572.9150705906</v>
      </c>
      <c r="H432" s="5">
        <f t="shared" si="46"/>
        <v>1642.214784615679</v>
      </c>
      <c r="I432" s="3">
        <f>Assumptions!$E$45</f>
        <v>6.9899151946608562E-3</v>
      </c>
      <c r="J432" s="5">
        <f t="shared" si="47"/>
        <v>5792411.1468522632</v>
      </c>
      <c r="K432" s="5">
        <f>J432*Assumptions!$E$43</f>
        <v>5187.5415058990484</v>
      </c>
      <c r="L432" s="5">
        <f>K432*Assumptions!$D$44*-1</f>
        <v>-778.13122588485726</v>
      </c>
      <c r="M432" s="2">
        <f>J432*Assumptions!$E$46*-1</f>
        <v>-193.04498253761776</v>
      </c>
      <c r="N432" s="5">
        <f>J432+SUM(L432:M432)</f>
        <v>5791439.9706438407</v>
      </c>
      <c r="O432" s="88">
        <f>Assumptions!$D$30</f>
        <v>2756</v>
      </c>
      <c r="P432" s="23">
        <f>(Model_Renter[[#This Row],[Monthly Investment]]*-1)+Model_Renter[[#This Row],[Less Renter''s Insurance]]</f>
        <v>-1725.3617424640197</v>
      </c>
    </row>
    <row r="433" spans="1:16" x14ac:dyDescent="0.25">
      <c r="A433" s="17">
        <f t="shared" si="49"/>
        <v>431</v>
      </c>
      <c r="B433" s="17">
        <f t="shared" si="43"/>
        <v>36</v>
      </c>
      <c r="C433" s="23">
        <f>MAX(Model_30y!V433, Model_15y!V433)</f>
        <v>11717.277893735072</v>
      </c>
      <c r="D433" s="2">
        <f>D421*(1+Assumptions!$D$52)</f>
        <v>-9963.1746013055399</v>
      </c>
      <c r="E433" s="2">
        <f>E421+(E421*Assumptions!$D$52)</f>
        <v>-83.146957848340563</v>
      </c>
      <c r="F433" s="22">
        <f t="shared" si="44"/>
        <v>1670.9563345811916</v>
      </c>
      <c r="G433" s="5">
        <f>N432</f>
        <v>5791439.9706438407</v>
      </c>
      <c r="H433" s="5">
        <f t="shared" si="46"/>
        <v>1670.9563345811916</v>
      </c>
      <c r="I433" s="3">
        <f>Assumptions!$E$45</f>
        <v>6.9899151946608562E-3</v>
      </c>
      <c r="J433" s="5">
        <f t="shared" si="47"/>
        <v>5833592.6012281915</v>
      </c>
      <c r="K433" s="5">
        <f>J433*Assumptions!$E$43</f>
        <v>5224.4226074701119</v>
      </c>
      <c r="L433" s="5">
        <f>K433*Assumptions!$D$44*-1</f>
        <v>-783.66339112051674</v>
      </c>
      <c r="M433" s="2">
        <f>J433*Assumptions!$E$46*-1</f>
        <v>-194.41744608333738</v>
      </c>
      <c r="N433" s="5">
        <f t="shared" si="48"/>
        <v>5832614.5203909874</v>
      </c>
      <c r="O433" s="88">
        <f>Assumptions!$D$30</f>
        <v>2756</v>
      </c>
      <c r="P433" s="23">
        <f>(Model_Renter[[#This Row],[Monthly Investment]]*-1)+Model_Renter[[#This Row],[Less Renter''s Insurance]]</f>
        <v>-1754.1032924295323</v>
      </c>
    </row>
    <row r="434" spans="1:16" x14ac:dyDescent="0.25">
      <c r="A434" s="17">
        <f t="shared" si="49"/>
        <v>432</v>
      </c>
      <c r="B434" s="17">
        <f t="shared" si="43"/>
        <v>36</v>
      </c>
      <c r="C434" s="23">
        <f>MAX(Model_30y!V434, Model_15y!V434)</f>
        <v>11746.136540332876</v>
      </c>
      <c r="D434" s="2">
        <f>D422*(1+Assumptions!$D$52)</f>
        <v>-9963.1746013055399</v>
      </c>
      <c r="E434" s="2">
        <f>E422+(E422*Assumptions!$D$52)</f>
        <v>-83.146957848340563</v>
      </c>
      <c r="F434" s="22">
        <f t="shared" si="44"/>
        <v>1699.8149811789958</v>
      </c>
      <c r="G434" s="5">
        <f t="shared" si="45"/>
        <v>5832614.5203909874</v>
      </c>
      <c r="H434" s="5">
        <f t="shared" si="46"/>
        <v>1699.8149811789958</v>
      </c>
      <c r="I434" s="3">
        <f>Assumptions!$E$45</f>
        <v>6.9899151946608562E-3</v>
      </c>
      <c r="J434" s="5">
        <f t="shared" si="47"/>
        <v>5875083.816232847</v>
      </c>
      <c r="K434" s="5">
        <f>J434*Assumptions!$E$43</f>
        <v>5261.5811230709587</v>
      </c>
      <c r="L434" s="5">
        <f>K434*Assumptions!$D$44*-1</f>
        <v>-789.23716846064383</v>
      </c>
      <c r="M434" s="2">
        <f>J434*Assumptions!$E$46*-1</f>
        <v>-195.80023309084996</v>
      </c>
      <c r="N434" s="5">
        <f t="shared" si="48"/>
        <v>5874098.7788312957</v>
      </c>
      <c r="O434" s="88">
        <f>Assumptions!$D$30</f>
        <v>2756</v>
      </c>
      <c r="P434" s="23">
        <f>(Model_Renter[[#This Row],[Monthly Investment]]*-1)+Model_Renter[[#This Row],[Less Renter''s Insurance]]</f>
        <v>-1782.9619390273365</v>
      </c>
    </row>
    <row r="435" spans="1:16" x14ac:dyDescent="0.25">
      <c r="A435" s="17">
        <f t="shared" si="49"/>
        <v>433</v>
      </c>
      <c r="B435" s="17">
        <f t="shared" si="43"/>
        <v>37</v>
      </c>
      <c r="C435" s="23">
        <f>MAX(Model_30y!V435, Model_15y!V435)</f>
        <v>11864.725026955159</v>
      </c>
      <c r="D435" s="2">
        <f>D423*(1+Assumptions!$D$52)</f>
        <v>-10335.797331394368</v>
      </c>
      <c r="E435" s="2">
        <f>E423+(E423*Assumptions!$D$52)</f>
        <v>-86.256654071868496</v>
      </c>
      <c r="F435" s="22">
        <f t="shared" si="44"/>
        <v>1442.6710414889226</v>
      </c>
      <c r="G435" s="5">
        <f t="shared" si="45"/>
        <v>5874098.7788312957</v>
      </c>
      <c r="H435" s="5">
        <f t="shared" si="46"/>
        <v>1442.6710414889226</v>
      </c>
      <c r="I435" s="3">
        <f>Assumptions!$E$45</f>
        <v>6.9899151946608562E-3</v>
      </c>
      <c r="J435" s="5">
        <f t="shared" si="47"/>
        <v>5916600.9021818759</v>
      </c>
      <c r="K435" s="5">
        <f>J435*Assumptions!$E$43</f>
        <v>5298.7628080557351</v>
      </c>
      <c r="L435" s="5">
        <f>K435*Assumptions!$D$44*-1</f>
        <v>-794.81442120836027</v>
      </c>
      <c r="M435" s="2">
        <f>J435*Assumptions!$E$46*-1</f>
        <v>-197.18388230511513</v>
      </c>
      <c r="N435" s="5">
        <f t="shared" si="48"/>
        <v>5915608.9038783628</v>
      </c>
      <c r="O435" s="88">
        <f>Assumptions!$D$30</f>
        <v>2756</v>
      </c>
      <c r="P435" s="23">
        <f>(Model_Renter[[#This Row],[Monthly Investment]]*-1)+Model_Renter[[#This Row],[Less Renter''s Insurance]]</f>
        <v>-1528.9276955607911</v>
      </c>
    </row>
    <row r="436" spans="1:16" x14ac:dyDescent="0.25">
      <c r="A436" s="17">
        <f t="shared" si="49"/>
        <v>434</v>
      </c>
      <c r="B436" s="17">
        <f t="shared" si="43"/>
        <v>37</v>
      </c>
      <c r="C436" s="23">
        <f>MAX(Model_30y!V436, Model_15y!V436)</f>
        <v>11893.819299959701</v>
      </c>
      <c r="D436" s="2">
        <f>D424*(1+Assumptions!$D$52)</f>
        <v>-10335.797331394368</v>
      </c>
      <c r="E436" s="2">
        <f>E424+(E424*Assumptions!$D$52)</f>
        <v>-86.256654071868496</v>
      </c>
      <c r="F436" s="22">
        <f t="shared" si="44"/>
        <v>1471.7653144934652</v>
      </c>
      <c r="G436" s="5">
        <f t="shared" si="45"/>
        <v>5915608.9038783628</v>
      </c>
      <c r="H436" s="5">
        <f t="shared" si="46"/>
        <v>1471.7653144934652</v>
      </c>
      <c r="I436" s="3">
        <f>Assumptions!$E$45</f>
        <v>6.9899151946608562E-3</v>
      </c>
      <c r="J436" s="5">
        <f t="shared" si="47"/>
        <v>5958430.2737557469</v>
      </c>
      <c r="K436" s="5">
        <f>J436*Assumptions!$E$43</f>
        <v>5336.2241683949524</v>
      </c>
      <c r="L436" s="5">
        <f>K436*Assumptions!$D$44*-1</f>
        <v>-800.43362525924283</v>
      </c>
      <c r="M436" s="2">
        <f>J436*Assumptions!$E$46*-1</f>
        <v>-198.57793913228383</v>
      </c>
      <c r="N436" s="5">
        <f t="shared" si="48"/>
        <v>5957431.2621913552</v>
      </c>
      <c r="O436" s="88">
        <f>Assumptions!$D$30</f>
        <v>2756</v>
      </c>
      <c r="P436" s="23">
        <f>(Model_Renter[[#This Row],[Monthly Investment]]*-1)+Model_Renter[[#This Row],[Less Renter''s Insurance]]</f>
        <v>-1558.0219685653337</v>
      </c>
    </row>
    <row r="437" spans="1:16" x14ac:dyDescent="0.25">
      <c r="A437" s="17">
        <f t="shared" si="49"/>
        <v>435</v>
      </c>
      <c r="B437" s="17">
        <f t="shared" si="43"/>
        <v>37</v>
      </c>
      <c r="C437" s="23">
        <f>MAX(Model_30y!V437, Model_15y!V437)</f>
        <v>11923.032106633858</v>
      </c>
      <c r="D437" s="2">
        <f>D425*(1+Assumptions!$D$52)</f>
        <v>-10335.797331394368</v>
      </c>
      <c r="E437" s="2">
        <f>E425+(E425*Assumptions!$D$52)</f>
        <v>-86.256654071868496</v>
      </c>
      <c r="F437" s="22">
        <f t="shared" si="44"/>
        <v>1500.9781211676222</v>
      </c>
      <c r="G437" s="5">
        <f t="shared" si="45"/>
        <v>5957431.2621913552</v>
      </c>
      <c r="H437" s="5">
        <f t="shared" si="46"/>
        <v>1500.9781211676222</v>
      </c>
      <c r="I437" s="3">
        <f>Assumptions!$E$45</f>
        <v>6.9899151946608562E-3</v>
      </c>
      <c r="J437" s="5">
        <f t="shared" si="47"/>
        <v>6000574.1796132624</v>
      </c>
      <c r="K437" s="5">
        <f>J437*Assumptions!$E$43</f>
        <v>5373.9672179323397</v>
      </c>
      <c r="L437" s="5">
        <f>K437*Assumptions!$D$44*-1</f>
        <v>-806.09508268985098</v>
      </c>
      <c r="M437" s="2">
        <f>J437*Assumptions!$E$46*-1</f>
        <v>-199.98247851391116</v>
      </c>
      <c r="N437" s="5">
        <f t="shared" si="48"/>
        <v>5999568.102052059</v>
      </c>
      <c r="O437" s="88">
        <f>Assumptions!$D$30</f>
        <v>2756</v>
      </c>
      <c r="P437" s="23">
        <f>(Model_Renter[[#This Row],[Monthly Investment]]*-1)+Model_Renter[[#This Row],[Less Renter''s Insurance]]</f>
        <v>-1587.2347752394908</v>
      </c>
    </row>
    <row r="438" spans="1:16" x14ac:dyDescent="0.25">
      <c r="A438" s="17">
        <f t="shared" si="49"/>
        <v>436</v>
      </c>
      <c r="B438" s="17">
        <f t="shared" si="43"/>
        <v>37</v>
      </c>
      <c r="C438" s="23">
        <f>MAX(Model_30y!V438, Model_15y!V438)</f>
        <v>11952.363929898476</v>
      </c>
      <c r="D438" s="2">
        <f>D426*(1+Assumptions!$D$52)</f>
        <v>-10335.797331394368</v>
      </c>
      <c r="E438" s="2">
        <f>E426+(E426*Assumptions!$D$52)</f>
        <v>-86.256654071868496</v>
      </c>
      <c r="F438" s="22">
        <f t="shared" si="44"/>
        <v>1530.3099444322402</v>
      </c>
      <c r="G438" s="5">
        <f t="shared" si="45"/>
        <v>5999568.102052059</v>
      </c>
      <c r="H438" s="5">
        <f t="shared" si="46"/>
        <v>1530.3099444322402</v>
      </c>
      <c r="I438" s="3">
        <f>Assumptions!$E$45</f>
        <v>6.9899151946608562E-3</v>
      </c>
      <c r="J438" s="5">
        <f t="shared" si="47"/>
        <v>6043034.8842344275</v>
      </c>
      <c r="K438" s="5">
        <f>J438*Assumptions!$E$43</f>
        <v>5411.993984680711</v>
      </c>
      <c r="L438" s="5">
        <f>K438*Assumptions!$D$44*-1</f>
        <v>-811.79909770210668</v>
      </c>
      <c r="M438" s="2">
        <f>J438*Assumptions!$E$46*-1</f>
        <v>-201.39757591882901</v>
      </c>
      <c r="N438" s="5">
        <f t="shared" si="48"/>
        <v>6042021.687560807</v>
      </c>
      <c r="O438" s="88">
        <f>Assumptions!$D$30</f>
        <v>2756</v>
      </c>
      <c r="P438" s="23">
        <f>(Model_Renter[[#This Row],[Monthly Investment]]*-1)+Model_Renter[[#This Row],[Less Renter''s Insurance]]</f>
        <v>-1616.5665985041087</v>
      </c>
    </row>
    <row r="439" spans="1:16" x14ac:dyDescent="0.25">
      <c r="A439" s="17">
        <f t="shared" si="49"/>
        <v>437</v>
      </c>
      <c r="B439" s="17">
        <f t="shared" si="43"/>
        <v>37</v>
      </c>
      <c r="C439" s="23">
        <f>MAX(Model_30y!V439, Model_15y!V439)</f>
        <v>11981.815254641871</v>
      </c>
      <c r="D439" s="2">
        <f>D427*(1+Assumptions!$D$52)</f>
        <v>-10335.797331394368</v>
      </c>
      <c r="E439" s="2">
        <f>E427+(E427*Assumptions!$D$52)</f>
        <v>-86.256654071868496</v>
      </c>
      <c r="F439" s="22">
        <f t="shared" si="44"/>
        <v>1559.7612691756353</v>
      </c>
      <c r="G439" s="5">
        <f t="shared" si="45"/>
        <v>6042021.687560807</v>
      </c>
      <c r="H439" s="5">
        <f t="shared" si="46"/>
        <v>1559.7612691756353</v>
      </c>
      <c r="I439" s="3">
        <f>Assumptions!$E$45</f>
        <v>6.9899151946608562E-3</v>
      </c>
      <c r="J439" s="5">
        <f t="shared" si="47"/>
        <v>6085814.6680303337</v>
      </c>
      <c r="K439" s="5">
        <f>J439*Assumptions!$E$43</f>
        <v>5450.3065109203662</v>
      </c>
      <c r="L439" s="5">
        <f>K439*Assumptions!$D$44*-1</f>
        <v>-817.54597663805487</v>
      </c>
      <c r="M439" s="2">
        <f>J439*Assumptions!$E$46*-1</f>
        <v>-202.82330734680809</v>
      </c>
      <c r="N439" s="5">
        <f t="shared" si="48"/>
        <v>6084794.2987463493</v>
      </c>
      <c r="O439" s="88">
        <f>Assumptions!$D$30</f>
        <v>2756</v>
      </c>
      <c r="P439" s="23">
        <f>(Model_Renter[[#This Row],[Monthly Investment]]*-1)+Model_Renter[[#This Row],[Less Renter''s Insurance]]</f>
        <v>-1646.0179232475039</v>
      </c>
    </row>
    <row r="440" spans="1:16" x14ac:dyDescent="0.25">
      <c r="A440" s="17">
        <f t="shared" si="49"/>
        <v>438</v>
      </c>
      <c r="B440" s="17">
        <f t="shared" si="43"/>
        <v>37</v>
      </c>
      <c r="C440" s="23">
        <f>MAX(Model_30y!V440, Model_15y!V440)</f>
        <v>12011.386567727866</v>
      </c>
      <c r="D440" s="2">
        <f>D428*(1+Assumptions!$D$52)</f>
        <v>-10335.797331394368</v>
      </c>
      <c r="E440" s="2">
        <f>E428+(E428*Assumptions!$D$52)</f>
        <v>-86.256654071868496</v>
      </c>
      <c r="F440" s="22">
        <f t="shared" si="44"/>
        <v>1589.3325822616303</v>
      </c>
      <c r="G440" s="5">
        <f t="shared" si="45"/>
        <v>6084794.2987463493</v>
      </c>
      <c r="H440" s="5">
        <f t="shared" si="46"/>
        <v>1589.3325822616303</v>
      </c>
      <c r="I440" s="3">
        <f>Assumptions!$E$45</f>
        <v>6.9899151946608562E-3</v>
      </c>
      <c r="J440" s="5">
        <f t="shared" si="47"/>
        <v>6128915.8274538033</v>
      </c>
      <c r="K440" s="5">
        <f>J440*Assumptions!$E$43</f>
        <v>5488.9068532981901</v>
      </c>
      <c r="L440" s="5">
        <f>K440*Assumptions!$D$44*-1</f>
        <v>-823.33602799472851</v>
      </c>
      <c r="M440" s="2">
        <f>J440*Assumptions!$E$46*-1</f>
        <v>-204.2597493322456</v>
      </c>
      <c r="N440" s="5">
        <f t="shared" si="48"/>
        <v>6127888.2316764761</v>
      </c>
      <c r="O440" s="88">
        <f>Assumptions!$D$30</f>
        <v>2756</v>
      </c>
      <c r="P440" s="23">
        <f>(Model_Renter[[#This Row],[Monthly Investment]]*-1)+Model_Renter[[#This Row],[Less Renter''s Insurance]]</f>
        <v>-1675.5892363334988</v>
      </c>
    </row>
    <row r="441" spans="1:16" x14ac:dyDescent="0.25">
      <c r="A441" s="17">
        <f t="shared" si="49"/>
        <v>439</v>
      </c>
      <c r="B441" s="17">
        <f t="shared" si="43"/>
        <v>37</v>
      </c>
      <c r="C441" s="23">
        <f>MAX(Model_30y!V441, Model_15y!V441)</f>
        <v>12041.078358003819</v>
      </c>
      <c r="D441" s="2">
        <f>D429*(1+Assumptions!$D$52)</f>
        <v>-10335.797331394368</v>
      </c>
      <c r="E441" s="2">
        <f>E429+(E429*Assumptions!$D$52)</f>
        <v>-86.256654071868496</v>
      </c>
      <c r="F441" s="22">
        <f t="shared" si="44"/>
        <v>1619.0243725375826</v>
      </c>
      <c r="G441" s="5">
        <f t="shared" si="45"/>
        <v>6127888.2316764761</v>
      </c>
      <c r="H441" s="5">
        <f t="shared" si="46"/>
        <v>1619.0243725375826</v>
      </c>
      <c r="I441" s="3">
        <f>Assumptions!$E$45</f>
        <v>6.9899151946608562E-3</v>
      </c>
      <c r="J441" s="5">
        <f t="shared" si="47"/>
        <v>6172340.6751107927</v>
      </c>
      <c r="K441" s="5">
        <f>J441*Assumptions!$E$43</f>
        <v>5527.7970829274163</v>
      </c>
      <c r="L441" s="5">
        <f>K441*Assumptions!$D$44*-1</f>
        <v>-829.16956243911238</v>
      </c>
      <c r="M441" s="2">
        <f>J441*Assumptions!$E$46*-1</f>
        <v>-205.70697894787773</v>
      </c>
      <c r="N441" s="5">
        <f t="shared" si="48"/>
        <v>6171305.7985694055</v>
      </c>
      <c r="O441" s="88">
        <f>Assumptions!$D$30</f>
        <v>2756</v>
      </c>
      <c r="P441" s="23">
        <f>(Model_Renter[[#This Row],[Monthly Investment]]*-1)+Model_Renter[[#This Row],[Less Renter''s Insurance]]</f>
        <v>-1705.2810266094511</v>
      </c>
    </row>
    <row r="442" spans="1:16" x14ac:dyDescent="0.25">
      <c r="A442" s="17">
        <f t="shared" si="49"/>
        <v>440</v>
      </c>
      <c r="B442" s="17">
        <f t="shared" si="43"/>
        <v>37</v>
      </c>
      <c r="C442" s="23">
        <f>MAX(Model_30y!V442, Model_15y!V442)</f>
        <v>12070.891116308712</v>
      </c>
      <c r="D442" s="2">
        <f>D430*(1+Assumptions!$D$52)</f>
        <v>-10335.797331394368</v>
      </c>
      <c r="E442" s="2">
        <f>E430+(E430*Assumptions!$D$52)</f>
        <v>-86.256654071868496</v>
      </c>
      <c r="F442" s="22">
        <f t="shared" si="44"/>
        <v>1648.8371308424762</v>
      </c>
      <c r="G442" s="5">
        <f t="shared" si="45"/>
        <v>6171305.7985694055</v>
      </c>
      <c r="H442" s="5">
        <f t="shared" si="46"/>
        <v>1648.8371308424762</v>
      </c>
      <c r="I442" s="3">
        <f>Assumptions!$E$45</f>
        <v>6.9899151946608562E-3</v>
      </c>
      <c r="J442" s="5">
        <f t="shared" si="47"/>
        <v>6216091.5398725672</v>
      </c>
      <c r="K442" s="5">
        <f>J442*Assumptions!$E$43</f>
        <v>5566.9792854880925</v>
      </c>
      <c r="L442" s="5">
        <f>K442*Assumptions!$D$44*-1</f>
        <v>-835.04689282321385</v>
      </c>
      <c r="M442" s="2">
        <f>J442*Assumptions!$E$46*-1</f>
        <v>-207.16507380851829</v>
      </c>
      <c r="N442" s="5">
        <f t="shared" si="48"/>
        <v>6215049.3279059352</v>
      </c>
      <c r="O442" s="88">
        <f>Assumptions!$D$30</f>
        <v>2756</v>
      </c>
      <c r="P442" s="23">
        <f>(Model_Renter[[#This Row],[Monthly Investment]]*-1)+Model_Renter[[#This Row],[Less Renter''s Insurance]]</f>
        <v>-1735.0937849143447</v>
      </c>
    </row>
    <row r="443" spans="1:16" x14ac:dyDescent="0.25">
      <c r="A443" s="17">
        <f t="shared" si="49"/>
        <v>441</v>
      </c>
      <c r="B443" s="17">
        <f t="shared" si="43"/>
        <v>37</v>
      </c>
      <c r="C443" s="23">
        <f>MAX(Model_30y!V443, Model_15y!V443)</f>
        <v>12100.825335481271</v>
      </c>
      <c r="D443" s="2">
        <f>D431*(1+Assumptions!$D$52)</f>
        <v>-10335.797331394368</v>
      </c>
      <c r="E443" s="2">
        <f>E431+(E431*Assumptions!$D$52)</f>
        <v>-86.256654071868496</v>
      </c>
      <c r="F443" s="22">
        <f t="shared" si="44"/>
        <v>1678.7713500150353</v>
      </c>
      <c r="G443" s="5">
        <f t="shared" si="45"/>
        <v>6215049.3279059352</v>
      </c>
      <c r="H443" s="5">
        <f t="shared" si="46"/>
        <v>1678.7713500150353</v>
      </c>
      <c r="I443" s="3">
        <f>Assumptions!$E$45</f>
        <v>6.9899151946608562E-3</v>
      </c>
      <c r="J443" s="5">
        <f t="shared" si="47"/>
        <v>6260170.7669886462</v>
      </c>
      <c r="K443" s="5">
        <f>J443*Assumptions!$E$43</f>
        <v>5606.4555613282273</v>
      </c>
      <c r="L443" s="5">
        <f>K443*Assumptions!$D$44*-1</f>
        <v>-840.96833419923405</v>
      </c>
      <c r="M443" s="2">
        <f>J443*Assumptions!$E$46*-1</f>
        <v>-208.63411207482287</v>
      </c>
      <c r="N443" s="5">
        <f t="shared" si="48"/>
        <v>6259121.1645423723</v>
      </c>
      <c r="O443" s="88">
        <f>Assumptions!$D$30</f>
        <v>2756</v>
      </c>
      <c r="P443" s="23">
        <f>(Model_Renter[[#This Row],[Monthly Investment]]*-1)+Model_Renter[[#This Row],[Less Renter''s Insurance]]</f>
        <v>-1765.0280040869038</v>
      </c>
    </row>
    <row r="444" spans="1:16" x14ac:dyDescent="0.25">
      <c r="A444" s="17">
        <f t="shared" si="49"/>
        <v>442</v>
      </c>
      <c r="B444" s="17">
        <f t="shared" si="43"/>
        <v>37</v>
      </c>
      <c r="C444" s="23">
        <f>MAX(Model_30y!V444, Model_15y!V444)</f>
        <v>12130.881510368108</v>
      </c>
      <c r="D444" s="2">
        <f>D432*(1+Assumptions!$D$52)</f>
        <v>-10335.797331394368</v>
      </c>
      <c r="E444" s="2">
        <f>E432+(E432*Assumptions!$D$52)</f>
        <v>-86.256654071868496</v>
      </c>
      <c r="F444" s="22">
        <f t="shared" si="44"/>
        <v>1708.827524901872</v>
      </c>
      <c r="G444" s="5">
        <f t="shared" si="45"/>
        <v>6259121.1645423723</v>
      </c>
      <c r="H444" s="5">
        <f t="shared" si="46"/>
        <v>1708.827524901872</v>
      </c>
      <c r="I444" s="3">
        <f>Assumptions!$E$45</f>
        <v>6.9899151946608562E-3</v>
      </c>
      <c r="J444" s="5">
        <f t="shared" si="47"/>
        <v>6304580.7182005327</v>
      </c>
      <c r="K444" s="5">
        <f>J444*Assumptions!$E$43</f>
        <v>5646.2280255656469</v>
      </c>
      <c r="L444" s="5">
        <f>K444*Assumptions!$D$44*-1</f>
        <v>-846.93420383484704</v>
      </c>
      <c r="M444" s="2">
        <f>J444*Assumptions!$E$46*-1</f>
        <v>-210.11417245707904</v>
      </c>
      <c r="N444" s="5">
        <f t="shared" si="48"/>
        <v>6303523.6698242407</v>
      </c>
      <c r="O444" s="88">
        <f>Assumptions!$D$30</f>
        <v>2756</v>
      </c>
      <c r="P444" s="23">
        <f>(Model_Renter[[#This Row],[Monthly Investment]]*-1)+Model_Renter[[#This Row],[Less Renter''s Insurance]]</f>
        <v>-1795.0841789737406</v>
      </c>
    </row>
    <row r="445" spans="1:16" x14ac:dyDescent="0.25">
      <c r="A445" s="17">
        <f t="shared" si="49"/>
        <v>443</v>
      </c>
      <c r="B445" s="17">
        <f t="shared" si="43"/>
        <v>37</v>
      </c>
      <c r="C445" s="23">
        <f>MAX(Model_30y!V445, Model_15y!V445)</f>
        <v>12161.060137831895</v>
      </c>
      <c r="D445" s="2">
        <f>D433*(1+Assumptions!$D$52)</f>
        <v>-10335.797331394368</v>
      </c>
      <c r="E445" s="2">
        <f>E433+(E433*Assumptions!$D$52)</f>
        <v>-86.256654071868496</v>
      </c>
      <c r="F445" s="22">
        <f t="shared" si="44"/>
        <v>1739.0061523656591</v>
      </c>
      <c r="G445" s="5">
        <f t="shared" si="45"/>
        <v>6303523.6698242407</v>
      </c>
      <c r="H445" s="5">
        <f t="shared" si="46"/>
        <v>1739.0061523656591</v>
      </c>
      <c r="I445" s="3">
        <f>Assumptions!$E$45</f>
        <v>6.9899151946608562E-3</v>
      </c>
      <c r="J445" s="5">
        <f t="shared" si="47"/>
        <v>6349323.7718562149</v>
      </c>
      <c r="K445" s="5">
        <f>J445*Assumptions!$E$43</f>
        <v>5686.2988081905387</v>
      </c>
      <c r="L445" s="5">
        <f>K445*Assumptions!$D$44*-1</f>
        <v>-852.94482122858074</v>
      </c>
      <c r="M445" s="2">
        <f>J445*Assumptions!$E$46*-1</f>
        <v>-211.60533421902247</v>
      </c>
      <c r="N445" s="5">
        <f t="shared" si="48"/>
        <v>6348259.2217007671</v>
      </c>
      <c r="O445" s="88">
        <f>Assumptions!$D$30</f>
        <v>2756</v>
      </c>
      <c r="P445" s="23">
        <f>(Model_Renter[[#This Row],[Monthly Investment]]*-1)+Model_Renter[[#This Row],[Less Renter''s Insurance]]</f>
        <v>-1825.2628064375276</v>
      </c>
    </row>
    <row r="446" spans="1:16" x14ac:dyDescent="0.25">
      <c r="A446" s="17">
        <f t="shared" si="49"/>
        <v>444</v>
      </c>
      <c r="B446" s="17">
        <f t="shared" si="43"/>
        <v>37</v>
      </c>
      <c r="C446" s="23">
        <f>MAX(Model_30y!V446, Model_15y!V446)</f>
        <v>12191.361716759589</v>
      </c>
      <c r="D446" s="2">
        <f>D434*(1+Assumptions!$D$52)</f>
        <v>-10335.797331394368</v>
      </c>
      <c r="E446" s="2">
        <f>E434+(E434*Assumptions!$D$52)</f>
        <v>-86.256654071868496</v>
      </c>
      <c r="F446" s="22">
        <f t="shared" si="44"/>
        <v>1769.3077312933533</v>
      </c>
      <c r="G446" s="5">
        <f t="shared" si="45"/>
        <v>6348259.2217007671</v>
      </c>
      <c r="H446" s="5">
        <f t="shared" si="46"/>
        <v>1769.3077312933533</v>
      </c>
      <c r="I446" s="3">
        <f>Assumptions!$E$45</f>
        <v>6.9899151946608562E-3</v>
      </c>
      <c r="J446" s="5">
        <f t="shared" si="47"/>
        <v>6394402.3230254725</v>
      </c>
      <c r="K446" s="5">
        <f>J446*Assumptions!$E$43</f>
        <v>5726.6700541687178</v>
      </c>
      <c r="L446" s="5">
        <f>K446*Assumptions!$D$44*-1</f>
        <v>-859.00050812530765</v>
      </c>
      <c r="M446" s="2">
        <f>J446*Assumptions!$E$46*-1</f>
        <v>-213.10767718167963</v>
      </c>
      <c r="N446" s="5">
        <f t="shared" si="48"/>
        <v>6393330.2148401653</v>
      </c>
      <c r="O446" s="88">
        <f>Assumptions!$D$30</f>
        <v>2756</v>
      </c>
      <c r="P446" s="23">
        <f>(Model_Renter[[#This Row],[Monthly Investment]]*-1)+Model_Renter[[#This Row],[Less Renter''s Insurance]]</f>
        <v>-1855.5643853652218</v>
      </c>
    </row>
    <row r="447" spans="1:16" x14ac:dyDescent="0.25">
      <c r="A447" s="17">
        <f t="shared" si="49"/>
        <v>445</v>
      </c>
      <c r="B447" s="17">
        <f t="shared" si="43"/>
        <v>38</v>
      </c>
      <c r="C447" s="23">
        <f>MAX(Model_30y!V447, Model_15y!V447)</f>
        <v>12315.879627712986</v>
      </c>
      <c r="D447" s="2">
        <f>D435*(1+Assumptions!$D$52)</f>
        <v>-10722.356151588518</v>
      </c>
      <c r="E447" s="2">
        <f>E435+(E435*Assumptions!$D$52)</f>
        <v>-89.482652934156377</v>
      </c>
      <c r="F447" s="22">
        <f t="shared" si="44"/>
        <v>1504.0408231903118</v>
      </c>
      <c r="G447" s="5">
        <f t="shared" si="45"/>
        <v>6393330.2148401653</v>
      </c>
      <c r="H447" s="5">
        <f t="shared" si="46"/>
        <v>1504.0408231903118</v>
      </c>
      <c r="I447" s="3">
        <f>Assumptions!$E$45</f>
        <v>6.9899151946608562E-3</v>
      </c>
      <c r="J447" s="5">
        <f t="shared" si="47"/>
        <v>6439523.0916765518</v>
      </c>
      <c r="K447" s="5">
        <f>J447*Assumptions!$E$43</f>
        <v>5767.0791090892653</v>
      </c>
      <c r="L447" s="5">
        <f>K447*Assumptions!$D$44*-1</f>
        <v>-865.06186636338975</v>
      </c>
      <c r="M447" s="2">
        <f>J447*Assumptions!$E$46*-1</f>
        <v>-214.61142713580105</v>
      </c>
      <c r="N447" s="5">
        <f t="shared" si="48"/>
        <v>6438443.4183830526</v>
      </c>
      <c r="O447" s="88">
        <f>Assumptions!$D$30</f>
        <v>2756</v>
      </c>
      <c r="P447" s="23">
        <f>(Model_Renter[[#This Row],[Monthly Investment]]*-1)+Model_Renter[[#This Row],[Less Renter''s Insurance]]</f>
        <v>-1593.5234761244683</v>
      </c>
    </row>
    <row r="448" spans="1:16" x14ac:dyDescent="0.25">
      <c r="A448" s="17">
        <f t="shared" si="49"/>
        <v>446</v>
      </c>
      <c r="B448" s="17">
        <f t="shared" si="43"/>
        <v>38</v>
      </c>
      <c r="C448" s="23">
        <f>MAX(Model_30y!V448, Model_15y!V448)</f>
        <v>12346.428614367756</v>
      </c>
      <c r="D448" s="2">
        <f>D436*(1+Assumptions!$D$52)</f>
        <v>-10722.356151588518</v>
      </c>
      <c r="E448" s="2">
        <f>E436+(E436*Assumptions!$D$52)</f>
        <v>-89.482652934156377</v>
      </c>
      <c r="F448" s="22">
        <f t="shared" si="44"/>
        <v>1534.5898098450823</v>
      </c>
      <c r="G448" s="5">
        <f t="shared" si="45"/>
        <v>6438443.4183830526</v>
      </c>
      <c r="H448" s="5">
        <f t="shared" si="46"/>
        <v>1534.5898098450823</v>
      </c>
      <c r="I448" s="3">
        <f>Assumptions!$E$45</f>
        <v>6.9899151946608562E-3</v>
      </c>
      <c r="J448" s="5">
        <f t="shared" si="47"/>
        <v>6484982.1816730173</v>
      </c>
      <c r="K448" s="5">
        <f>J448*Assumptions!$E$43</f>
        <v>5807.7911563176831</v>
      </c>
      <c r="L448" s="5">
        <f>K448*Assumptions!$D$44*-1</f>
        <v>-871.1686734476524</v>
      </c>
      <c r="M448" s="2">
        <f>J448*Assumptions!$E$46*-1</f>
        <v>-216.12645240111092</v>
      </c>
      <c r="N448" s="5">
        <f t="shared" si="48"/>
        <v>6483894.8865471687</v>
      </c>
      <c r="O448" s="88">
        <f>Assumptions!$D$30</f>
        <v>2756</v>
      </c>
      <c r="P448" s="23">
        <f>(Model_Renter[[#This Row],[Monthly Investment]]*-1)+Model_Renter[[#This Row],[Less Renter''s Insurance]]</f>
        <v>-1624.0724627792388</v>
      </c>
    </row>
    <row r="449" spans="1:16" x14ac:dyDescent="0.25">
      <c r="A449" s="17">
        <f t="shared" si="49"/>
        <v>447</v>
      </c>
      <c r="B449" s="17">
        <f t="shared" si="43"/>
        <v>38</v>
      </c>
      <c r="C449" s="23">
        <f>MAX(Model_30y!V449, Model_15y!V449)</f>
        <v>12377.102061375623</v>
      </c>
      <c r="D449" s="2">
        <f>D437*(1+Assumptions!$D$52)</f>
        <v>-10722.356151588518</v>
      </c>
      <c r="E449" s="2">
        <f>E437+(E437*Assumptions!$D$52)</f>
        <v>-89.482652934156377</v>
      </c>
      <c r="F449" s="22">
        <f t="shared" si="44"/>
        <v>1565.2632568529486</v>
      </c>
      <c r="G449" s="5">
        <f t="shared" si="45"/>
        <v>6483894.8865471687</v>
      </c>
      <c r="H449" s="5">
        <f t="shared" si="46"/>
        <v>1565.2632568529486</v>
      </c>
      <c r="I449" s="3">
        <f>Assumptions!$E$45</f>
        <v>6.9899151946608562E-3</v>
      </c>
      <c r="J449" s="5">
        <f t="shared" si="47"/>
        <v>6530782.025192081</v>
      </c>
      <c r="K449" s="5">
        <f>J449*Assumptions!$E$43</f>
        <v>5848.8083740522934</v>
      </c>
      <c r="L449" s="5">
        <f>K449*Assumptions!$D$44*-1</f>
        <v>-877.32125610784396</v>
      </c>
      <c r="M449" s="2">
        <f>J449*Assumptions!$E$46*-1</f>
        <v>-217.65283403532345</v>
      </c>
      <c r="N449" s="5">
        <f t="shared" si="48"/>
        <v>6529687.0511019379</v>
      </c>
      <c r="O449" s="88">
        <f>Assumptions!$D$30</f>
        <v>2756</v>
      </c>
      <c r="P449" s="23">
        <f>(Model_Renter[[#This Row],[Monthly Investment]]*-1)+Model_Renter[[#This Row],[Less Renter''s Insurance]]</f>
        <v>-1654.7459097871051</v>
      </c>
    </row>
    <row r="450" spans="1:16" x14ac:dyDescent="0.25">
      <c r="A450" s="17">
        <f t="shared" si="49"/>
        <v>448</v>
      </c>
      <c r="B450" s="17">
        <f t="shared" si="43"/>
        <v>38</v>
      </c>
      <c r="C450" s="23">
        <f>MAX(Model_30y!V450, Model_15y!V450)</f>
        <v>12407.90047580347</v>
      </c>
      <c r="D450" s="2">
        <f>D438*(1+Assumptions!$D$52)</f>
        <v>-10722.356151588518</v>
      </c>
      <c r="E450" s="2">
        <f>E438+(E438*Assumptions!$D$52)</f>
        <v>-89.482652934156377</v>
      </c>
      <c r="F450" s="22">
        <f t="shared" si="44"/>
        <v>1596.0616712807957</v>
      </c>
      <c r="G450" s="5">
        <f t="shared" si="45"/>
        <v>6529687.0511019379</v>
      </c>
      <c r="H450" s="5">
        <f t="shared" si="46"/>
        <v>1596.0616712807957</v>
      </c>
      <c r="I450" s="3">
        <f>Assumptions!$E$45</f>
        <v>6.9899151946608562E-3</v>
      </c>
      <c r="J450" s="5">
        <f t="shared" si="47"/>
        <v>6576925.0715080965</v>
      </c>
      <c r="K450" s="5">
        <f>J450*Assumptions!$E$43</f>
        <v>5890.1329558031994</v>
      </c>
      <c r="L450" s="5">
        <f>K450*Assumptions!$D$44*-1</f>
        <v>-883.51994337047984</v>
      </c>
      <c r="M450" s="2">
        <f>J450*Assumptions!$E$46*-1</f>
        <v>-219.19065366595314</v>
      </c>
      <c r="N450" s="5">
        <f t="shared" si="48"/>
        <v>6575822.3609110601</v>
      </c>
      <c r="O450" s="88">
        <f>Assumptions!$D$30</f>
        <v>2756</v>
      </c>
      <c r="P450" s="23">
        <f>(Model_Renter[[#This Row],[Monthly Investment]]*-1)+Model_Renter[[#This Row],[Less Renter''s Insurance]]</f>
        <v>-1685.5443242149522</v>
      </c>
    </row>
    <row r="451" spans="1:16" x14ac:dyDescent="0.25">
      <c r="A451" s="17">
        <f t="shared" si="49"/>
        <v>449</v>
      </c>
      <c r="B451" s="17">
        <f t="shared" ref="B451:B514" si="50">ROUNDUP(A451/12, 0)</f>
        <v>38</v>
      </c>
      <c r="C451" s="23">
        <f>MAX(Model_30y!V451, Model_15y!V451)</f>
        <v>12438.824366784036</v>
      </c>
      <c r="D451" s="2">
        <f>D439*(1+Assumptions!$D$52)</f>
        <v>-10722.356151588518</v>
      </c>
      <c r="E451" s="2">
        <f>E439+(E439*Assumptions!$D$52)</f>
        <v>-89.482652934156377</v>
      </c>
      <c r="F451" s="22">
        <f t="shared" ref="F451:F514" si="51">SUM(C451:E451)</f>
        <v>1626.985562261362</v>
      </c>
      <c r="G451" s="5">
        <f t="shared" si="45"/>
        <v>6575822.3609110601</v>
      </c>
      <c r="H451" s="5">
        <f t="shared" si="46"/>
        <v>1626.985562261362</v>
      </c>
      <c r="I451" s="3">
        <f>Assumptions!$E$45</f>
        <v>6.9899151946608562E-3</v>
      </c>
      <c r="J451" s="5">
        <f t="shared" si="47"/>
        <v>6623413.7871112442</v>
      </c>
      <c r="K451" s="5">
        <f>J451*Assumptions!$E$43</f>
        <v>5931.7671104985748</v>
      </c>
      <c r="L451" s="5">
        <f>K451*Assumptions!$D$44*-1</f>
        <v>-889.76506657478615</v>
      </c>
      <c r="M451" s="2">
        <f>J451*Assumptions!$E$46*-1</f>
        <v>-220.73999349427021</v>
      </c>
      <c r="N451" s="5">
        <f t="shared" si="48"/>
        <v>6622303.2820511749</v>
      </c>
      <c r="O451" s="88">
        <f>Assumptions!$D$30</f>
        <v>2756</v>
      </c>
      <c r="P451" s="23">
        <f>(Model_Renter[[#This Row],[Monthly Investment]]*-1)+Model_Renter[[#This Row],[Less Renter''s Insurance]]</f>
        <v>-1716.4682151955185</v>
      </c>
    </row>
    <row r="452" spans="1:16" x14ac:dyDescent="0.25">
      <c r="A452" s="17">
        <f t="shared" si="49"/>
        <v>450</v>
      </c>
      <c r="B452" s="17">
        <f t="shared" si="50"/>
        <v>38</v>
      </c>
      <c r="C452" s="23">
        <f>MAX(Model_30y!V452, Model_15y!V452)</f>
        <v>12469.87424552433</v>
      </c>
      <c r="D452" s="2">
        <f>D440*(1+Assumptions!$D$52)</f>
        <v>-10722.356151588518</v>
      </c>
      <c r="E452" s="2">
        <f>E440+(E440*Assumptions!$D$52)</f>
        <v>-89.482652934156377</v>
      </c>
      <c r="F452" s="22">
        <f t="shared" si="51"/>
        <v>1658.035441001656</v>
      </c>
      <c r="G452" s="5">
        <f t="shared" ref="G452:G515" si="52">N451</f>
        <v>6622303.2820511749</v>
      </c>
      <c r="H452" s="5">
        <f t="shared" ref="H452:H515" si="53">F452</f>
        <v>1658.035441001656</v>
      </c>
      <c r="I452" s="3">
        <f>Assumptions!$E$45</f>
        <v>6.9899151946608562E-3</v>
      </c>
      <c r="J452" s="5">
        <f t="shared" ref="J452:J515" si="54">(G452+H452)+(G452*I452)</f>
        <v>6670250.6558270389</v>
      </c>
      <c r="K452" s="5">
        <f>J452*Assumptions!$E$43</f>
        <v>5973.7130625916961</v>
      </c>
      <c r="L452" s="5">
        <f>K452*Assumptions!$D$44*-1</f>
        <v>-896.05695938875442</v>
      </c>
      <c r="M452" s="2">
        <f>J452*Assumptions!$E$46*-1</f>
        <v>-222.30093629928342</v>
      </c>
      <c r="N452" s="5">
        <f t="shared" ref="N452:N515" si="55">J452+SUM(L452:M452)</f>
        <v>6669132.2979313508</v>
      </c>
      <c r="O452" s="88">
        <f>Assumptions!$D$30</f>
        <v>2756</v>
      </c>
      <c r="P452" s="23">
        <f>(Model_Renter[[#This Row],[Monthly Investment]]*-1)+Model_Renter[[#This Row],[Less Renter''s Insurance]]</f>
        <v>-1747.5180939358124</v>
      </c>
    </row>
    <row r="453" spans="1:16" x14ac:dyDescent="0.25">
      <c r="A453" s="17">
        <f t="shared" si="49"/>
        <v>451</v>
      </c>
      <c r="B453" s="17">
        <f t="shared" si="50"/>
        <v>38</v>
      </c>
      <c r="C453" s="23">
        <f>MAX(Model_30y!V453, Model_15y!V453)</f>
        <v>12501.050625314079</v>
      </c>
      <c r="D453" s="2">
        <f>D441*(1+Assumptions!$D$52)</f>
        <v>-10722.356151588518</v>
      </c>
      <c r="E453" s="2">
        <f>E441+(E441*Assumptions!$D$52)</f>
        <v>-89.482652934156377</v>
      </c>
      <c r="F453" s="22">
        <f t="shared" si="51"/>
        <v>1689.2118207914052</v>
      </c>
      <c r="G453" s="5">
        <f t="shared" si="52"/>
        <v>6669132.2979313508</v>
      </c>
      <c r="H453" s="5">
        <f t="shared" si="53"/>
        <v>1689.2118207914052</v>
      </c>
      <c r="I453" s="3">
        <f>Assumptions!$E$45</f>
        <v>6.9899151946608562E-3</v>
      </c>
      <c r="J453" s="5">
        <f t="shared" si="54"/>
        <v>6717438.1789366556</v>
      </c>
      <c r="K453" s="5">
        <f>J453*Assumptions!$E$43</f>
        <v>6015.9730521687025</v>
      </c>
      <c r="L453" s="5">
        <f>K453*Assumptions!$D$44*-1</f>
        <v>-902.39595782530535</v>
      </c>
      <c r="M453" s="2">
        <f>J453*Assumptions!$E$46*-1</f>
        <v>-223.8735654417502</v>
      </c>
      <c r="N453" s="5">
        <f t="shared" si="55"/>
        <v>6716311.9094133889</v>
      </c>
      <c r="O453" s="88">
        <f>Assumptions!$D$30</f>
        <v>2756</v>
      </c>
      <c r="P453" s="23">
        <f>(Model_Renter[[#This Row],[Monthly Investment]]*-1)+Model_Renter[[#This Row],[Less Renter''s Insurance]]</f>
        <v>-1778.6944737255617</v>
      </c>
    </row>
    <row r="454" spans="1:16" x14ac:dyDescent="0.25">
      <c r="A454" s="17">
        <f t="shared" si="49"/>
        <v>452</v>
      </c>
      <c r="B454" s="17">
        <f t="shared" si="50"/>
        <v>38</v>
      </c>
      <c r="C454" s="23">
        <f>MAX(Model_30y!V454, Model_15y!V454)</f>
        <v>12532.354021534216</v>
      </c>
      <c r="D454" s="2">
        <f>D442*(1+Assumptions!$D$52)</f>
        <v>-10722.356151588518</v>
      </c>
      <c r="E454" s="2">
        <f>E442+(E442*Assumptions!$D$52)</f>
        <v>-89.482652934156377</v>
      </c>
      <c r="F454" s="22">
        <f t="shared" si="51"/>
        <v>1720.5152170115423</v>
      </c>
      <c r="G454" s="5">
        <f t="shared" si="52"/>
        <v>6716311.9094133889</v>
      </c>
      <c r="H454" s="5">
        <f t="shared" si="53"/>
        <v>1720.5152170115423</v>
      </c>
      <c r="I454" s="3">
        <f>Assumptions!$E$45</f>
        <v>6.9899151946608562E-3</v>
      </c>
      <c r="J454" s="5">
        <f t="shared" si="54"/>
        <v>6764978.8752980912</v>
      </c>
      <c r="K454" s="5">
        <f>J454*Assumptions!$E$43</f>
        <v>6058.5493350570996</v>
      </c>
      <c r="L454" s="5">
        <f>K454*Assumptions!$D$44*-1</f>
        <v>-908.78240025856496</v>
      </c>
      <c r="M454" s="2">
        <f>J454*Assumptions!$E$46*-1</f>
        <v>-225.45796486821473</v>
      </c>
      <c r="N454" s="5">
        <f t="shared" si="55"/>
        <v>6763844.6349329641</v>
      </c>
      <c r="O454" s="88">
        <f>Assumptions!$D$30</f>
        <v>2756</v>
      </c>
      <c r="P454" s="23">
        <f>(Model_Renter[[#This Row],[Monthly Investment]]*-1)+Model_Renter[[#This Row],[Less Renter''s Insurance]]</f>
        <v>-1809.9978699456988</v>
      </c>
    </row>
    <row r="455" spans="1:16" x14ac:dyDescent="0.25">
      <c r="A455" s="17">
        <f t="shared" si="49"/>
        <v>453</v>
      </c>
      <c r="B455" s="17">
        <f t="shared" si="50"/>
        <v>38</v>
      </c>
      <c r="C455" s="23">
        <f>MAX(Model_30y!V455, Model_15y!V455)</f>
        <v>12563.784951665404</v>
      </c>
      <c r="D455" s="2">
        <f>D443*(1+Assumptions!$D$52)</f>
        <v>-10722.356151588518</v>
      </c>
      <c r="E455" s="2">
        <f>E443+(E443*Assumptions!$D$52)</f>
        <v>-89.482652934156377</v>
      </c>
      <c r="F455" s="22">
        <f t="shared" si="51"/>
        <v>1751.9461471427301</v>
      </c>
      <c r="G455" s="5">
        <f t="shared" si="52"/>
        <v>6763844.6349329641</v>
      </c>
      <c r="H455" s="5">
        <f t="shared" si="53"/>
        <v>1751.9461471427301</v>
      </c>
      <c r="I455" s="3">
        <f>Assumptions!$E$45</f>
        <v>6.9899151946608562E-3</v>
      </c>
      <c r="J455" s="5">
        <f t="shared" si="54"/>
        <v>6812875.2814681502</v>
      </c>
      <c r="K455" s="5">
        <f>J455*Assumptions!$E$43</f>
        <v>6101.4441829350171</v>
      </c>
      <c r="L455" s="5">
        <f>K455*Assumptions!$D$44*-1</f>
        <v>-915.21662744025252</v>
      </c>
      <c r="M455" s="2">
        <f>J455*Assumptions!$E$46*-1</f>
        <v>-227.05421911507329</v>
      </c>
      <c r="N455" s="5">
        <f t="shared" si="55"/>
        <v>6811733.0106215952</v>
      </c>
      <c r="O455" s="88">
        <f>Assumptions!$D$30</f>
        <v>2756</v>
      </c>
      <c r="P455" s="23">
        <f>(Model_Renter[[#This Row],[Monthly Investment]]*-1)+Model_Renter[[#This Row],[Less Renter''s Insurance]]</f>
        <v>-1841.4288000768865</v>
      </c>
    </row>
    <row r="456" spans="1:16" x14ac:dyDescent="0.25">
      <c r="A456" s="17">
        <f t="shared" si="49"/>
        <v>454</v>
      </c>
      <c r="B456" s="17">
        <f t="shared" si="50"/>
        <v>38</v>
      </c>
      <c r="C456" s="23">
        <f>MAX(Model_30y!V456, Model_15y!V456)</f>
        <v>12595.343935296582</v>
      </c>
      <c r="D456" s="2">
        <f>D444*(1+Assumptions!$D$52)</f>
        <v>-10722.356151588518</v>
      </c>
      <c r="E456" s="2">
        <f>E444+(E444*Assumptions!$D$52)</f>
        <v>-89.482652934156377</v>
      </c>
      <c r="F456" s="22">
        <f t="shared" si="51"/>
        <v>1783.5051307739075</v>
      </c>
      <c r="G456" s="5">
        <f t="shared" si="52"/>
        <v>6811733.0106215952</v>
      </c>
      <c r="H456" s="5">
        <f t="shared" si="53"/>
        <v>1783.5051307739075</v>
      </c>
      <c r="I456" s="3">
        <f>Assumptions!$E$45</f>
        <v>6.9899151946608562E-3</v>
      </c>
      <c r="J456" s="5">
        <f t="shared" si="54"/>
        <v>6861129.9518252863</v>
      </c>
      <c r="K456" s="5">
        <f>J456*Assumptions!$E$43</f>
        <v>6144.6598834412134</v>
      </c>
      <c r="L456" s="5">
        <f>K456*Assumptions!$D$44*-1</f>
        <v>-921.69898251618201</v>
      </c>
      <c r="M456" s="2">
        <f>J456*Assumptions!$E$46*-1</f>
        <v>-228.66241331266818</v>
      </c>
      <c r="N456" s="5">
        <f t="shared" si="55"/>
        <v>6859979.5904294578</v>
      </c>
      <c r="O456" s="88">
        <f>Assumptions!$D$30</f>
        <v>2756</v>
      </c>
      <c r="P456" s="23">
        <f>(Model_Renter[[#This Row],[Monthly Investment]]*-1)+Model_Renter[[#This Row],[Less Renter''s Insurance]]</f>
        <v>-1872.9877837080639</v>
      </c>
    </row>
    <row r="457" spans="1:16" x14ac:dyDescent="0.25">
      <c r="A457" s="17">
        <f t="shared" si="49"/>
        <v>455</v>
      </c>
      <c r="B457" s="17">
        <f t="shared" si="50"/>
        <v>38</v>
      </c>
      <c r="C457" s="23">
        <f>MAX(Model_30y!V457, Model_15y!V457)</f>
        <v>12627.031494133558</v>
      </c>
      <c r="D457" s="2">
        <f>D445*(1+Assumptions!$D$52)</f>
        <v>-10722.356151588518</v>
      </c>
      <c r="E457" s="2">
        <f>E445+(E445*Assumptions!$D$52)</f>
        <v>-89.482652934156377</v>
      </c>
      <c r="F457" s="22">
        <f t="shared" si="51"/>
        <v>1815.1926896108841</v>
      </c>
      <c r="G457" s="5">
        <f t="shared" si="52"/>
        <v>6859979.5904294578</v>
      </c>
      <c r="H457" s="5">
        <f t="shared" si="53"/>
        <v>1815.1926896108841</v>
      </c>
      <c r="I457" s="3">
        <f>Assumptions!$E$45</f>
        <v>6.9899151946608562E-3</v>
      </c>
      <c r="J457" s="5">
        <f t="shared" si="54"/>
        <v>6909745.4586932743</v>
      </c>
      <c r="K457" s="5">
        <f>J457*Assumptions!$E$43</f>
        <v>6188.1987402858376</v>
      </c>
      <c r="L457" s="5">
        <f>K457*Assumptions!$D$44*-1</f>
        <v>-928.22981104287555</v>
      </c>
      <c r="M457" s="2">
        <f>J457*Assumptions!$E$46*-1</f>
        <v>-230.28263318940952</v>
      </c>
      <c r="N457" s="5">
        <f t="shared" si="55"/>
        <v>6908586.9462490417</v>
      </c>
      <c r="O457" s="88">
        <f>Assumptions!$D$30</f>
        <v>2756</v>
      </c>
      <c r="P457" s="23">
        <f>(Model_Renter[[#This Row],[Monthly Investment]]*-1)+Model_Renter[[#This Row],[Less Renter''s Insurance]]</f>
        <v>-1904.6753425450406</v>
      </c>
    </row>
    <row r="458" spans="1:16" x14ac:dyDescent="0.25">
      <c r="A458" s="17">
        <f t="shared" si="49"/>
        <v>456</v>
      </c>
      <c r="B458" s="17">
        <f t="shared" si="50"/>
        <v>38</v>
      </c>
      <c r="C458" s="23">
        <f>MAX(Model_30y!V458, Model_15y!V458)</f>
        <v>12658.84815200764</v>
      </c>
      <c r="D458" s="2">
        <f>D446*(1+Assumptions!$D$52)</f>
        <v>-10722.356151588518</v>
      </c>
      <c r="E458" s="2">
        <f>E446+(E446*Assumptions!$D$52)</f>
        <v>-89.482652934156377</v>
      </c>
      <c r="F458" s="22">
        <f t="shared" si="51"/>
        <v>1847.0093474849662</v>
      </c>
      <c r="G458" s="5">
        <f t="shared" si="52"/>
        <v>6908586.9462490417</v>
      </c>
      <c r="H458" s="5">
        <f t="shared" si="53"/>
        <v>1847.0093474849662</v>
      </c>
      <c r="I458" s="3">
        <f>Assumptions!$E$45</f>
        <v>6.9899151946608562E-3</v>
      </c>
      <c r="J458" s="5">
        <f t="shared" si="54"/>
        <v>6958724.3924657488</v>
      </c>
      <c r="K458" s="5">
        <f>J458*Assumptions!$E$43</f>
        <v>6232.0630733619637</v>
      </c>
      <c r="L458" s="5">
        <f>K458*Assumptions!$D$44*-1</f>
        <v>-934.80946100429446</v>
      </c>
      <c r="M458" s="2">
        <f>J458*Assumptions!$E$46*-1</f>
        <v>-231.91496507592566</v>
      </c>
      <c r="N458" s="5">
        <f t="shared" si="55"/>
        <v>6957557.6680396684</v>
      </c>
      <c r="O458" s="88">
        <f>Assumptions!$D$30</f>
        <v>2756</v>
      </c>
      <c r="P458" s="23">
        <f>(Model_Renter[[#This Row],[Monthly Investment]]*-1)+Model_Renter[[#This Row],[Less Renter''s Insurance]]</f>
        <v>-1936.4920004191226</v>
      </c>
    </row>
    <row r="459" spans="1:16" x14ac:dyDescent="0.25">
      <c r="A459" s="17">
        <f t="shared" si="49"/>
        <v>457</v>
      </c>
      <c r="B459" s="17">
        <f t="shared" si="50"/>
        <v>39</v>
      </c>
      <c r="C459" s="23">
        <f>MAX(Model_30y!V459, Model_15y!V459)</f>
        <v>12789.591958508705</v>
      </c>
      <c r="D459" s="2">
        <f>D447*(1+Assumptions!$D$52)</f>
        <v>-11123.372271657929</v>
      </c>
      <c r="E459" s="2">
        <f>E447+(E447*Assumptions!$D$52)</f>
        <v>-92.82930415389383</v>
      </c>
      <c r="F459" s="22">
        <f t="shared" si="51"/>
        <v>1573.3903826968824</v>
      </c>
      <c r="G459" s="5">
        <f t="shared" si="52"/>
        <v>6957557.6680396684</v>
      </c>
      <c r="H459" s="5">
        <f t="shared" si="53"/>
        <v>1573.3903826968824</v>
      </c>
      <c r="I459" s="3">
        <f>Assumptions!$E$45</f>
        <v>6.9899151946608562E-3</v>
      </c>
      <c r="J459" s="5">
        <f t="shared" si="54"/>
        <v>7007763.7964839246</v>
      </c>
      <c r="K459" s="5">
        <f>J459*Assumptions!$E$43</f>
        <v>6275.9815621085863</v>
      </c>
      <c r="L459" s="5">
        <f>K459*Assumptions!$D$44*-1</f>
        <v>-941.39723431628795</v>
      </c>
      <c r="M459" s="2">
        <f>J459*Assumptions!$E$46*-1</f>
        <v>-233.54931226785254</v>
      </c>
      <c r="N459" s="5">
        <f t="shared" si="55"/>
        <v>7006588.8499373402</v>
      </c>
      <c r="O459" s="88">
        <f>Assumptions!$D$30</f>
        <v>2756</v>
      </c>
      <c r="P459" s="23">
        <f>(Model_Renter[[#This Row],[Monthly Investment]]*-1)+Model_Renter[[#This Row],[Less Renter''s Insurance]]</f>
        <v>-1666.2196868507763</v>
      </c>
    </row>
    <row r="460" spans="1:16" x14ac:dyDescent="0.25">
      <c r="A460" s="17">
        <f t="shared" si="49"/>
        <v>458</v>
      </c>
      <c r="B460" s="17">
        <f t="shared" si="50"/>
        <v>39</v>
      </c>
      <c r="C460" s="23">
        <f>MAX(Model_30y!V460, Model_15y!V460)</f>
        <v>12821.668394496215</v>
      </c>
      <c r="D460" s="2">
        <f>D448*(1+Assumptions!$D$52)</f>
        <v>-11123.372271657929</v>
      </c>
      <c r="E460" s="2">
        <f>E448+(E448*Assumptions!$D$52)</f>
        <v>-92.82930415389383</v>
      </c>
      <c r="F460" s="22">
        <f t="shared" si="51"/>
        <v>1605.4668186843926</v>
      </c>
      <c r="G460" s="5">
        <f t="shared" si="52"/>
        <v>7006588.8499373402</v>
      </c>
      <c r="H460" s="5">
        <f t="shared" si="53"/>
        <v>1605.4668186843926</v>
      </c>
      <c r="I460" s="3">
        <f>Assumptions!$E$45</f>
        <v>6.9899151946608562E-3</v>
      </c>
      <c r="J460" s="5">
        <f t="shared" si="54"/>
        <v>7057169.7786209434</v>
      </c>
      <c r="K460" s="5">
        <f>J460*Assumptions!$E$43</f>
        <v>6320.2283492370807</v>
      </c>
      <c r="L460" s="5">
        <f>K460*Assumptions!$D$44*-1</f>
        <v>-948.03425238556201</v>
      </c>
      <c r="M460" s="2">
        <f>J460*Assumptions!$E$46*-1</f>
        <v>-235.19587649078028</v>
      </c>
      <c r="N460" s="5">
        <f t="shared" si="55"/>
        <v>7055986.5484920675</v>
      </c>
      <c r="O460" s="88">
        <f>Assumptions!$D$30</f>
        <v>2756</v>
      </c>
      <c r="P460" s="23">
        <f>(Model_Renter[[#This Row],[Monthly Investment]]*-1)+Model_Renter[[#This Row],[Less Renter''s Insurance]]</f>
        <v>-1698.2961228382865</v>
      </c>
    </row>
    <row r="461" spans="1:16" x14ac:dyDescent="0.25">
      <c r="A461" s="17">
        <f t="shared" si="49"/>
        <v>459</v>
      </c>
      <c r="B461" s="17">
        <f t="shared" si="50"/>
        <v>39</v>
      </c>
      <c r="C461" s="23">
        <f>MAX(Model_30y!V461, Model_15y!V461)</f>
        <v>12853.875513854475</v>
      </c>
      <c r="D461" s="2">
        <f>D449*(1+Assumptions!$D$52)</f>
        <v>-11123.372271657929</v>
      </c>
      <c r="E461" s="2">
        <f>E449+(E449*Assumptions!$D$52)</f>
        <v>-92.82930415389383</v>
      </c>
      <c r="F461" s="22">
        <f t="shared" si="51"/>
        <v>1637.6739380426523</v>
      </c>
      <c r="G461" s="5">
        <f t="shared" si="52"/>
        <v>7055986.5484920675</v>
      </c>
      <c r="H461" s="5">
        <f t="shared" si="53"/>
        <v>1637.6739380426523</v>
      </c>
      <c r="I461" s="3">
        <f>Assumptions!$E$45</f>
        <v>6.9899151946608562E-3</v>
      </c>
      <c r="J461" s="5">
        <f t="shared" si="54"/>
        <v>7106944.970018737</v>
      </c>
      <c r="K461" s="5">
        <f>J461*Assumptions!$E$43</f>
        <v>6364.8057911336973</v>
      </c>
      <c r="L461" s="5">
        <f>K461*Assumptions!$D$44*-1</f>
        <v>-954.72086867005453</v>
      </c>
      <c r="M461" s="2">
        <f>J461*Assumptions!$E$46*-1</f>
        <v>-236.8547454333648</v>
      </c>
      <c r="N461" s="5">
        <f t="shared" si="55"/>
        <v>7105753.3944046339</v>
      </c>
      <c r="O461" s="88">
        <f>Assumptions!$D$30</f>
        <v>2756</v>
      </c>
      <c r="P461" s="23">
        <f>(Model_Renter[[#This Row],[Monthly Investment]]*-1)+Model_Renter[[#This Row],[Less Renter''s Insurance]]</f>
        <v>-1730.5032421965461</v>
      </c>
    </row>
    <row r="462" spans="1:16" x14ac:dyDescent="0.25">
      <c r="A462" s="17">
        <f t="shared" si="49"/>
        <v>460</v>
      </c>
      <c r="B462" s="17">
        <f t="shared" si="50"/>
        <v>39</v>
      </c>
      <c r="C462" s="23">
        <f>MAX(Model_30y!V462, Model_15y!V462)</f>
        <v>12886.213849003714</v>
      </c>
      <c r="D462" s="2">
        <f>D450*(1+Assumptions!$D$52)</f>
        <v>-11123.372271657929</v>
      </c>
      <c r="E462" s="2">
        <f>E450+(E450*Assumptions!$D$52)</f>
        <v>-92.82930415389383</v>
      </c>
      <c r="F462" s="22">
        <f t="shared" si="51"/>
        <v>1670.0122731918916</v>
      </c>
      <c r="G462" s="5">
        <f t="shared" si="52"/>
        <v>7105753.3944046339</v>
      </c>
      <c r="H462" s="5">
        <f t="shared" si="53"/>
        <v>1670.0122731918916</v>
      </c>
      <c r="I462" s="3">
        <f>Assumptions!$E$45</f>
        <v>6.9899151946608562E-3</v>
      </c>
      <c r="J462" s="5">
        <f t="shared" si="54"/>
        <v>7157092.020298887</v>
      </c>
      <c r="K462" s="5">
        <f>J462*Assumptions!$E$43</f>
        <v>6409.7162607346081</v>
      </c>
      <c r="L462" s="5">
        <f>K462*Assumptions!$D$44*-1</f>
        <v>-961.45743911019122</v>
      </c>
      <c r="M462" s="2">
        <f>J462*Assumptions!$E$46*-1</f>
        <v>-238.52600740013753</v>
      </c>
      <c r="N462" s="5">
        <f t="shared" si="55"/>
        <v>7155892.0368523765</v>
      </c>
      <c r="O462" s="88">
        <f>Assumptions!$D$30</f>
        <v>2756</v>
      </c>
      <c r="P462" s="23">
        <f>(Model_Renter[[#This Row],[Monthly Investment]]*-1)+Model_Renter[[#This Row],[Less Renter''s Insurance]]</f>
        <v>-1762.8415773457855</v>
      </c>
    </row>
    <row r="463" spans="1:16" x14ac:dyDescent="0.25">
      <c r="A463" s="17">
        <f t="shared" si="49"/>
        <v>461</v>
      </c>
      <c r="B463" s="17">
        <f t="shared" si="50"/>
        <v>39</v>
      </c>
      <c r="C463" s="23">
        <f>MAX(Model_30y!V463, Model_15y!V463)</f>
        <v>12918.68393453331</v>
      </c>
      <c r="D463" s="2">
        <f>D451*(1+Assumptions!$D$52)</f>
        <v>-11123.372271657929</v>
      </c>
      <c r="E463" s="2">
        <f>E451+(E451*Assumptions!$D$52)</f>
        <v>-92.82930415389383</v>
      </c>
      <c r="F463" s="22">
        <f t="shared" si="51"/>
        <v>1702.4823587214876</v>
      </c>
      <c r="G463" s="5">
        <f t="shared" si="52"/>
        <v>7155892.0368523765</v>
      </c>
      <c r="H463" s="5">
        <f t="shared" si="53"/>
        <v>1702.4823587214876</v>
      </c>
      <c r="I463" s="3">
        <f>Assumptions!$E$45</f>
        <v>6.9899151946608562E-3</v>
      </c>
      <c r="J463" s="5">
        <f t="shared" si="54"/>
        <v>7207613.5976908449</v>
      </c>
      <c r="K463" s="5">
        <f>J463*Assumptions!$E$43</f>
        <v>6454.9621476407365</v>
      </c>
      <c r="L463" s="5">
        <f>K463*Assumptions!$D$44*-1</f>
        <v>-968.24432214611045</v>
      </c>
      <c r="M463" s="2">
        <f>J463*Assumptions!$E$46*-1</f>
        <v>-240.2097513157785</v>
      </c>
      <c r="N463" s="5">
        <f t="shared" si="55"/>
        <v>7206405.1436173832</v>
      </c>
      <c r="O463" s="88">
        <f>Assumptions!$D$30</f>
        <v>2756</v>
      </c>
      <c r="P463" s="23">
        <f>(Model_Renter[[#This Row],[Monthly Investment]]*-1)+Model_Renter[[#This Row],[Less Renter''s Insurance]]</f>
        <v>-1795.3116628753814</v>
      </c>
    </row>
    <row r="464" spans="1:16" x14ac:dyDescent="0.25">
      <c r="A464" s="17">
        <f t="shared" si="49"/>
        <v>462</v>
      </c>
      <c r="B464" s="17">
        <f t="shared" si="50"/>
        <v>39</v>
      </c>
      <c r="C464" s="23">
        <f>MAX(Model_30y!V464, Model_15y!V464)</f>
        <v>12951.286307210617</v>
      </c>
      <c r="D464" s="2">
        <f>D452*(1+Assumptions!$D$52)</f>
        <v>-11123.372271657929</v>
      </c>
      <c r="E464" s="2">
        <f>E452+(E452*Assumptions!$D$52)</f>
        <v>-92.82930415389383</v>
      </c>
      <c r="F464" s="22">
        <f t="shared" si="51"/>
        <v>1735.0847313987949</v>
      </c>
      <c r="G464" s="5">
        <f t="shared" si="52"/>
        <v>7206405.1436173832</v>
      </c>
      <c r="H464" s="5">
        <f t="shared" si="53"/>
        <v>1735.0847313987949</v>
      </c>
      <c r="I464" s="3">
        <f>Assumptions!$E$45</f>
        <v>6.9899151946608562E-3</v>
      </c>
      <c r="J464" s="5">
        <f t="shared" si="54"/>
        <v>7258512.3891610354</v>
      </c>
      <c r="K464" s="5">
        <f>J464*Assumptions!$E$43</f>
        <v>6500.5458582333795</v>
      </c>
      <c r="L464" s="5">
        <f>K464*Assumptions!$D$44*-1</f>
        <v>-975.08187873500685</v>
      </c>
      <c r="M464" s="2">
        <f>J464*Assumptions!$E$46*-1</f>
        <v>-241.90606672941902</v>
      </c>
      <c r="N464" s="5">
        <f t="shared" si="55"/>
        <v>7257295.401215571</v>
      </c>
      <c r="O464" s="88">
        <f>Assumptions!$D$30</f>
        <v>2756</v>
      </c>
      <c r="P464" s="23">
        <f>(Model_Renter[[#This Row],[Monthly Investment]]*-1)+Model_Renter[[#This Row],[Less Renter''s Insurance]]</f>
        <v>-1827.9140355526888</v>
      </c>
    </row>
    <row r="465" spans="1:16" x14ac:dyDescent="0.25">
      <c r="A465" s="17">
        <f t="shared" si="49"/>
        <v>463</v>
      </c>
      <c r="B465" s="17">
        <f t="shared" si="50"/>
        <v>39</v>
      </c>
      <c r="C465" s="23">
        <f>MAX(Model_30y!V465, Model_15y!V465)</f>
        <v>12984.021505989853</v>
      </c>
      <c r="D465" s="2">
        <f>D453*(1+Assumptions!$D$52)</f>
        <v>-11123.372271657929</v>
      </c>
      <c r="E465" s="2">
        <f>E453+(E453*Assumptions!$D$52)</f>
        <v>-92.82930415389383</v>
      </c>
      <c r="F465" s="22">
        <f t="shared" si="51"/>
        <v>1767.8199301780303</v>
      </c>
      <c r="G465" s="5">
        <f t="shared" si="52"/>
        <v>7257295.401215571</v>
      </c>
      <c r="H465" s="5">
        <f t="shared" si="53"/>
        <v>1767.8199301780303</v>
      </c>
      <c r="I465" s="3">
        <f>Assumptions!$E$45</f>
        <v>6.9899151946608562E-3</v>
      </c>
      <c r="J465" s="5">
        <f t="shared" si="54"/>
        <v>7309791.100542848</v>
      </c>
      <c r="K465" s="5">
        <f>J465*Assumptions!$E$43</f>
        <v>6546.4698157906269</v>
      </c>
      <c r="L465" s="5">
        <f>K465*Assumptions!$D$44*-1</f>
        <v>-981.97047236859396</v>
      </c>
      <c r="M465" s="2">
        <f>J465*Assumptions!$E$46*-1</f>
        <v>-243.61504381897404</v>
      </c>
      <c r="N465" s="5">
        <f t="shared" si="55"/>
        <v>7308565.5150266606</v>
      </c>
      <c r="O465" s="88">
        <f>Assumptions!$D$30</f>
        <v>2756</v>
      </c>
      <c r="P465" s="23">
        <f>(Model_Renter[[#This Row],[Monthly Investment]]*-1)+Model_Renter[[#This Row],[Less Renter''s Insurance]]</f>
        <v>-1860.6492343319242</v>
      </c>
    </row>
    <row r="466" spans="1:16" x14ac:dyDescent="0.25">
      <c r="A466" s="17">
        <f t="shared" si="49"/>
        <v>464</v>
      </c>
      <c r="B466" s="17">
        <f t="shared" si="50"/>
        <v>39</v>
      </c>
      <c r="C466" s="23">
        <f>MAX(Model_30y!V466, Model_15y!V466)</f>
        <v>13016.890072020999</v>
      </c>
      <c r="D466" s="2">
        <f>D454*(1+Assumptions!$D$52)</f>
        <v>-11123.372271657929</v>
      </c>
      <c r="E466" s="2">
        <f>E454+(E454*Assumptions!$D$52)</f>
        <v>-92.82930415389383</v>
      </c>
      <c r="F466" s="22">
        <f t="shared" si="51"/>
        <v>1800.688496209176</v>
      </c>
      <c r="G466" s="5">
        <f t="shared" si="52"/>
        <v>7308565.5150266606</v>
      </c>
      <c r="H466" s="5">
        <f t="shared" si="53"/>
        <v>1800.688496209176</v>
      </c>
      <c r="I466" s="3">
        <f>Assumptions!$E$45</f>
        <v>6.9899151946608562E-3</v>
      </c>
      <c r="J466" s="5">
        <f t="shared" si="54"/>
        <v>7361452.4566675285</v>
      </c>
      <c r="K466" s="5">
        <f>J466*Assumptions!$E$43</f>
        <v>6592.736460604583</v>
      </c>
      <c r="L466" s="5">
        <f>K466*Assumptions!$D$44*-1</f>
        <v>-988.91046909068746</v>
      </c>
      <c r="M466" s="2">
        <f>J466*Assumptions!$E$46*-1</f>
        <v>-245.33677339550422</v>
      </c>
      <c r="N466" s="5">
        <f t="shared" si="55"/>
        <v>7360218.2094250424</v>
      </c>
      <c r="O466" s="88">
        <f>Assumptions!$D$30</f>
        <v>2756</v>
      </c>
      <c r="P466" s="23">
        <f>(Model_Renter[[#This Row],[Monthly Investment]]*-1)+Model_Renter[[#This Row],[Less Renter''s Insurance]]</f>
        <v>-1893.5178003630699</v>
      </c>
    </row>
    <row r="467" spans="1:16" x14ac:dyDescent="0.25">
      <c r="A467" s="17">
        <f t="shared" si="49"/>
        <v>465</v>
      </c>
      <c r="B467" s="17">
        <f t="shared" si="50"/>
        <v>39</v>
      </c>
      <c r="C467" s="23">
        <f>MAX(Model_30y!V467, Model_15y!V467)</f>
        <v>13049.892548658747</v>
      </c>
      <c r="D467" s="2">
        <f>D455*(1+Assumptions!$D$52)</f>
        <v>-11123.372271657929</v>
      </c>
      <c r="E467" s="2">
        <f>E455+(E455*Assumptions!$D$52)</f>
        <v>-92.82930415389383</v>
      </c>
      <c r="F467" s="22">
        <f t="shared" si="51"/>
        <v>1833.6909728469243</v>
      </c>
      <c r="G467" s="5">
        <f t="shared" si="52"/>
        <v>7360218.2094250424</v>
      </c>
      <c r="H467" s="5">
        <f t="shared" si="53"/>
        <v>1833.6909728469243</v>
      </c>
      <c r="I467" s="3">
        <f>Assumptions!$E$45</f>
        <v>6.9899151946608562E-3</v>
      </c>
      <c r="J467" s="5">
        <f t="shared" si="54"/>
        <v>7413499.2014959687</v>
      </c>
      <c r="K467" s="5">
        <f>J467*Assumptions!$E$43</f>
        <v>6639.3482500993932</v>
      </c>
      <c r="L467" s="5">
        <f>K467*Assumptions!$D$44*-1</f>
        <v>-995.90223751490896</v>
      </c>
      <c r="M467" s="2">
        <f>J467*Assumptions!$E$46*-1</f>
        <v>-247.07134690760824</v>
      </c>
      <c r="N467" s="5">
        <f t="shared" si="55"/>
        <v>7412256.2279115459</v>
      </c>
      <c r="O467" s="88">
        <f>Assumptions!$D$30</f>
        <v>2756</v>
      </c>
      <c r="P467" s="23">
        <f>(Model_Renter[[#This Row],[Monthly Investment]]*-1)+Model_Renter[[#This Row],[Less Renter''s Insurance]]</f>
        <v>-1926.5202770008182</v>
      </c>
    </row>
    <row r="468" spans="1:16" x14ac:dyDescent="0.25">
      <c r="A468" s="17">
        <f t="shared" si="49"/>
        <v>466</v>
      </c>
      <c r="B468" s="17">
        <f t="shared" si="50"/>
        <v>39</v>
      </c>
      <c r="C468" s="23">
        <f>MAX(Model_30y!V468, Model_15y!V468)</f>
        <v>13083.029481471482</v>
      </c>
      <c r="D468" s="2">
        <f>D456*(1+Assumptions!$D$52)</f>
        <v>-11123.372271657929</v>
      </c>
      <c r="E468" s="2">
        <f>E456+(E456*Assumptions!$D$52)</f>
        <v>-92.82930415389383</v>
      </c>
      <c r="F468" s="22">
        <f t="shared" si="51"/>
        <v>1866.8279056596591</v>
      </c>
      <c r="G468" s="5">
        <f t="shared" si="52"/>
        <v>7412256.2279115459</v>
      </c>
      <c r="H468" s="5">
        <f t="shared" si="53"/>
        <v>1866.8279056596591</v>
      </c>
      <c r="I468" s="3">
        <f>Assumptions!$E$45</f>
        <v>6.9899151946608562E-3</v>
      </c>
      <c r="J468" s="5">
        <f t="shared" si="54"/>
        <v>7465934.0982514042</v>
      </c>
      <c r="K468" s="5">
        <f>J468*Assumptions!$E$43</f>
        <v>6686.307658950087</v>
      </c>
      <c r="L468" s="5">
        <f>K468*Assumptions!$D$44*-1</f>
        <v>-1002.946148842513</v>
      </c>
      <c r="M468" s="2">
        <f>J468*Assumptions!$E$46*-1</f>
        <v>-248.81885644584528</v>
      </c>
      <c r="N468" s="5">
        <f t="shared" si="55"/>
        <v>7464682.3332461156</v>
      </c>
      <c r="O468" s="88">
        <f>Assumptions!$D$30</f>
        <v>2756</v>
      </c>
      <c r="P468" s="23">
        <f>(Model_Renter[[#This Row],[Monthly Investment]]*-1)+Model_Renter[[#This Row],[Less Renter''s Insurance]]</f>
        <v>-1959.657209813553</v>
      </c>
    </row>
    <row r="469" spans="1:16" x14ac:dyDescent="0.25">
      <c r="A469" s="17">
        <f t="shared" si="49"/>
        <v>467</v>
      </c>
      <c r="B469" s="17">
        <f t="shared" si="50"/>
        <v>39</v>
      </c>
      <c r="C469" s="23">
        <f>MAX(Model_30y!V469, Model_15y!V469)</f>
        <v>13116.301418250308</v>
      </c>
      <c r="D469" s="2">
        <f>D457*(1+Assumptions!$D$52)</f>
        <v>-11123.372271657929</v>
      </c>
      <c r="E469" s="2">
        <f>E457+(E457*Assumptions!$D$52)</f>
        <v>-92.82930415389383</v>
      </c>
      <c r="F469" s="22">
        <f t="shared" si="51"/>
        <v>1900.0998424384859</v>
      </c>
      <c r="G469" s="5">
        <f t="shared" si="52"/>
        <v>7464682.3332461156</v>
      </c>
      <c r="H469" s="5">
        <f t="shared" si="53"/>
        <v>1900.0998424384859</v>
      </c>
      <c r="I469" s="3">
        <f>Assumptions!$E$45</f>
        <v>6.9899151946608562E-3</v>
      </c>
      <c r="J469" s="5">
        <f t="shared" si="54"/>
        <v>7518759.9295530273</v>
      </c>
      <c r="K469" s="5">
        <f>J469*Assumptions!$E$43</f>
        <v>6733.6171792022378</v>
      </c>
      <c r="L469" s="5">
        <f>K469*Assumptions!$D$44*-1</f>
        <v>-1010.0425768803357</v>
      </c>
      <c r="M469" s="2">
        <f>J469*Assumptions!$E$46*-1</f>
        <v>-250.57939474718785</v>
      </c>
      <c r="N469" s="5">
        <f t="shared" si="55"/>
        <v>7517499.3075813996</v>
      </c>
      <c r="O469" s="88">
        <f>Assumptions!$D$30</f>
        <v>2756</v>
      </c>
      <c r="P469" s="23">
        <f>(Model_Renter[[#This Row],[Monthly Investment]]*-1)+Model_Renter[[#This Row],[Less Renter''s Insurance]]</f>
        <v>-1992.9291465923798</v>
      </c>
    </row>
    <row r="470" spans="1:16" x14ac:dyDescent="0.25">
      <c r="A470" s="17">
        <f t="shared" si="49"/>
        <v>468</v>
      </c>
      <c r="B470" s="17">
        <f t="shared" si="50"/>
        <v>39</v>
      </c>
      <c r="C470" s="23">
        <f>MAX(Model_30y!V470, Model_15y!V470)</f>
        <v>13149.708909018093</v>
      </c>
      <c r="D470" s="2">
        <f>D458*(1+Assumptions!$D$52)</f>
        <v>-11123.372271657929</v>
      </c>
      <c r="E470" s="2">
        <f>E458+(E458*Assumptions!$D$52)</f>
        <v>-92.82930415389383</v>
      </c>
      <c r="F470" s="22">
        <f t="shared" si="51"/>
        <v>1933.50733320627</v>
      </c>
      <c r="G470" s="5">
        <f t="shared" si="52"/>
        <v>7517499.3075813996</v>
      </c>
      <c r="H470" s="5">
        <f t="shared" si="53"/>
        <v>1933.50733320627</v>
      </c>
      <c r="I470" s="3">
        <f>Assumptions!$E$45</f>
        <v>6.9899151946608562E-3</v>
      </c>
      <c r="J470" s="5">
        <f t="shared" si="54"/>
        <v>7571979.497550521</v>
      </c>
      <c r="K470" s="5">
        <f>J470*Assumptions!$E$43</f>
        <v>6781.2793203924475</v>
      </c>
      <c r="L470" s="5">
        <f>K470*Assumptions!$D$44*-1</f>
        <v>-1017.1918980588671</v>
      </c>
      <c r="M470" s="2">
        <f>J470*Assumptions!$E$46*-1</f>
        <v>-252.35305519950549</v>
      </c>
      <c r="N470" s="5">
        <f t="shared" si="55"/>
        <v>7570709.9525972623</v>
      </c>
      <c r="O470" s="88">
        <f>Assumptions!$D$30</f>
        <v>2756</v>
      </c>
      <c r="P470" s="23">
        <f>(Model_Renter[[#This Row],[Monthly Investment]]*-1)+Model_Renter[[#This Row],[Less Renter''s Insurance]]</f>
        <v>-2026.3366373601639</v>
      </c>
    </row>
    <row r="471" spans="1:16" x14ac:dyDescent="0.25">
      <c r="A471" s="17">
        <f t="shared" si="49"/>
        <v>469</v>
      </c>
      <c r="B471" s="17">
        <f t="shared" si="50"/>
        <v>40</v>
      </c>
      <c r="C471" s="23">
        <f>MAX(Model_30y!V471, Model_15y!V471)</f>
        <v>13286.989905844212</v>
      </c>
      <c r="D471" s="2">
        <f>D459*(1+Assumptions!$D$52)</f>
        <v>-11539.386394617937</v>
      </c>
      <c r="E471" s="2">
        <f>E459+(E459*Assumptions!$D$52)</f>
        <v>-96.301120129249455</v>
      </c>
      <c r="F471" s="22">
        <f t="shared" si="51"/>
        <v>1651.3023910970248</v>
      </c>
      <c r="G471" s="5">
        <f t="shared" si="52"/>
        <v>7570709.9525972623</v>
      </c>
      <c r="H471" s="5">
        <f t="shared" si="53"/>
        <v>1651.3023910970248</v>
      </c>
      <c r="I471" s="3">
        <f>Assumptions!$E$45</f>
        <v>6.9899151946608562E-3</v>
      </c>
      <c r="J471" s="5">
        <f t="shared" si="54"/>
        <v>7625279.8755203895</v>
      </c>
      <c r="K471" s="5">
        <f>J471*Assumptions!$E$43</f>
        <v>6829.0138330140271</v>
      </c>
      <c r="L471" s="5">
        <f>K471*Assumptions!$D$44*-1</f>
        <v>-1024.352074952104</v>
      </c>
      <c r="M471" s="2">
        <f>J471*Assumptions!$E$46*-1</f>
        <v>-254.12940882385641</v>
      </c>
      <c r="N471" s="5">
        <f t="shared" si="55"/>
        <v>7624001.3940366134</v>
      </c>
      <c r="O471" s="88">
        <f>Assumptions!$D$30</f>
        <v>2756</v>
      </c>
      <c r="P471" s="23">
        <f>(Model_Renter[[#This Row],[Monthly Investment]]*-1)+Model_Renter[[#This Row],[Less Renter''s Insurance]]</f>
        <v>-1747.6035112262743</v>
      </c>
    </row>
    <row r="472" spans="1:16" x14ac:dyDescent="0.25">
      <c r="A472" s="17">
        <f t="shared" si="49"/>
        <v>470</v>
      </c>
      <c r="B472" s="17">
        <f t="shared" si="50"/>
        <v>40</v>
      </c>
      <c r="C472" s="23">
        <f>MAX(Model_30y!V472, Model_15y!V472)</f>
        <v>13320.670163631095</v>
      </c>
      <c r="D472" s="2">
        <f>D460*(1+Assumptions!$D$52)</f>
        <v>-11539.386394617937</v>
      </c>
      <c r="E472" s="2">
        <f>E460+(E460*Assumptions!$D$52)</f>
        <v>-96.301120129249455</v>
      </c>
      <c r="F472" s="22">
        <f t="shared" si="51"/>
        <v>1684.9826488839087</v>
      </c>
      <c r="G472" s="5">
        <f t="shared" si="52"/>
        <v>7624001.3940366134</v>
      </c>
      <c r="H472" s="5">
        <f t="shared" si="53"/>
        <v>1684.9826488839087</v>
      </c>
      <c r="I472" s="3">
        <f>Assumptions!$E$45</f>
        <v>6.9899151946608562E-3</v>
      </c>
      <c r="J472" s="5">
        <f t="shared" si="54"/>
        <v>7678977.499873789</v>
      </c>
      <c r="K472" s="5">
        <f>J472*Assumptions!$E$43</f>
        <v>6877.1041097639454</v>
      </c>
      <c r="L472" s="5">
        <f>K472*Assumptions!$D$44*-1</f>
        <v>-1031.5656164645918</v>
      </c>
      <c r="M472" s="2">
        <f>J472*Assumptions!$E$46*-1</f>
        <v>-255.91900156732848</v>
      </c>
      <c r="N472" s="5">
        <f t="shared" si="55"/>
        <v>7677690.0152557567</v>
      </c>
      <c r="O472" s="88">
        <f>Assumptions!$D$30</f>
        <v>2756</v>
      </c>
      <c r="P472" s="23">
        <f>(Model_Renter[[#This Row],[Monthly Investment]]*-1)+Model_Renter[[#This Row],[Less Renter''s Insurance]]</f>
        <v>-1781.2837690131582</v>
      </c>
    </row>
    <row r="473" spans="1:16" x14ac:dyDescent="0.25">
      <c r="A473" s="17">
        <f t="shared" si="49"/>
        <v>471</v>
      </c>
      <c r="B473" s="17">
        <f t="shared" si="50"/>
        <v>40</v>
      </c>
      <c r="C473" s="23">
        <f>MAX(Model_30y!V473, Model_15y!V473)</f>
        <v>13354.487638957267</v>
      </c>
      <c r="D473" s="2">
        <f>D461*(1+Assumptions!$D$52)</f>
        <v>-11539.386394617937</v>
      </c>
      <c r="E473" s="2">
        <f>E461+(E461*Assumptions!$D$52)</f>
        <v>-96.301120129249455</v>
      </c>
      <c r="F473" s="22">
        <f t="shared" si="51"/>
        <v>1718.8001242100806</v>
      </c>
      <c r="G473" s="5">
        <f t="shared" si="52"/>
        <v>7677690.0152557567</v>
      </c>
      <c r="H473" s="5">
        <f t="shared" si="53"/>
        <v>1718.8001242100806</v>
      </c>
      <c r="I473" s="3">
        <f>Assumptions!$E$45</f>
        <v>6.9899151946608562E-3</v>
      </c>
      <c r="J473" s="5">
        <f t="shared" si="54"/>
        <v>7733075.2174774995</v>
      </c>
      <c r="K473" s="5">
        <f>J473*Assumptions!$E$43</f>
        <v>6925.5527002263398</v>
      </c>
      <c r="L473" s="5">
        <f>K473*Assumptions!$D$44*-1</f>
        <v>-1038.832905033951</v>
      </c>
      <c r="M473" s="2">
        <f>J473*Assumptions!$E$46*-1</f>
        <v>-257.72192830808797</v>
      </c>
      <c r="N473" s="5">
        <f t="shared" si="55"/>
        <v>7731778.6626441572</v>
      </c>
      <c r="O473" s="88">
        <f>Assumptions!$D$30</f>
        <v>2756</v>
      </c>
      <c r="P473" s="23">
        <f>(Model_Renter[[#This Row],[Monthly Investment]]*-1)+Model_Renter[[#This Row],[Less Renter''s Insurance]]</f>
        <v>-1815.1012443393302</v>
      </c>
    </row>
    <row r="474" spans="1:16" x14ac:dyDescent="0.25">
      <c r="A474" s="17">
        <f t="shared" si="49"/>
        <v>472</v>
      </c>
      <c r="B474" s="17">
        <f t="shared" si="50"/>
        <v>40</v>
      </c>
      <c r="C474" s="23">
        <f>MAX(Model_30y!V474, Model_15y!V474)</f>
        <v>13388.442890863969</v>
      </c>
      <c r="D474" s="2">
        <f>D462*(1+Assumptions!$D$52)</f>
        <v>-11539.386394617937</v>
      </c>
      <c r="E474" s="2">
        <f>E462+(E462*Assumptions!$D$52)</f>
        <v>-96.301120129249455</v>
      </c>
      <c r="F474" s="22">
        <f t="shared" si="51"/>
        <v>1752.7553761167826</v>
      </c>
      <c r="G474" s="5">
        <f t="shared" si="52"/>
        <v>7731778.6626441572</v>
      </c>
      <c r="H474" s="5">
        <f t="shared" si="53"/>
        <v>1752.7553761167826</v>
      </c>
      <c r="I474" s="3">
        <f>Assumptions!$E$45</f>
        <v>6.9899151946608562E-3</v>
      </c>
      <c r="J474" s="5">
        <f t="shared" si="54"/>
        <v>7787575.8951760447</v>
      </c>
      <c r="K474" s="5">
        <f>J474*Assumptions!$E$43</f>
        <v>6974.3621718769264</v>
      </c>
      <c r="L474" s="5">
        <f>K474*Assumptions!$D$44*-1</f>
        <v>-1046.154325781539</v>
      </c>
      <c r="M474" s="2">
        <f>J474*Assumptions!$E$46*-1</f>
        <v>-259.53828459010384</v>
      </c>
      <c r="N474" s="5">
        <f t="shared" si="55"/>
        <v>7786270.2025656728</v>
      </c>
      <c r="O474" s="88">
        <f>Assumptions!$D$30</f>
        <v>2756</v>
      </c>
      <c r="P474" s="23">
        <f>(Model_Renter[[#This Row],[Monthly Investment]]*-1)+Model_Renter[[#This Row],[Less Renter''s Insurance]]</f>
        <v>-1849.0564962460321</v>
      </c>
    </row>
    <row r="475" spans="1:16" x14ac:dyDescent="0.25">
      <c r="A475" s="17">
        <f t="shared" si="49"/>
        <v>473</v>
      </c>
      <c r="B475" s="17">
        <f t="shared" si="50"/>
        <v>40</v>
      </c>
      <c r="C475" s="23">
        <f>MAX(Model_30y!V475, Model_15y!V475)</f>
        <v>13422.536480670044</v>
      </c>
      <c r="D475" s="2">
        <f>D463*(1+Assumptions!$D$52)</f>
        <v>-11539.386394617937</v>
      </c>
      <c r="E475" s="2">
        <f>E463+(E463*Assumptions!$D$52)</f>
        <v>-96.301120129249455</v>
      </c>
      <c r="F475" s="22">
        <f t="shared" si="51"/>
        <v>1786.8489659228569</v>
      </c>
      <c r="G475" s="5">
        <f t="shared" si="52"/>
        <v>7786270.2025656728</v>
      </c>
      <c r="H475" s="5">
        <f t="shared" si="53"/>
        <v>1786.8489659228569</v>
      </c>
      <c r="I475" s="3">
        <f>Assumptions!$E$45</f>
        <v>6.9899151946608562E-3</v>
      </c>
      <c r="J475" s="5">
        <f t="shared" si="54"/>
        <v>7842482.4199302448</v>
      </c>
      <c r="K475" s="5">
        <f>J475*Assumptions!$E$43</f>
        <v>7023.5351102070845</v>
      </c>
      <c r="L475" s="5">
        <f>K475*Assumptions!$D$44*-1</f>
        <v>-1053.5302665310626</v>
      </c>
      <c r="M475" s="2">
        <f>J475*Assumptions!$E$46*-1</f>
        <v>-261.36816662776545</v>
      </c>
      <c r="N475" s="5">
        <f t="shared" si="55"/>
        <v>7841167.5214970857</v>
      </c>
      <c r="O475" s="88">
        <f>Assumptions!$D$30</f>
        <v>2756</v>
      </c>
      <c r="P475" s="23">
        <f>(Model_Renter[[#This Row],[Monthly Investment]]*-1)+Model_Renter[[#This Row],[Less Renter''s Insurance]]</f>
        <v>-1883.1500860521064</v>
      </c>
    </row>
    <row r="476" spans="1:16" x14ac:dyDescent="0.25">
      <c r="A476" s="17">
        <f t="shared" si="49"/>
        <v>474</v>
      </c>
      <c r="B476" s="17">
        <f t="shared" si="50"/>
        <v>40</v>
      </c>
      <c r="C476" s="23">
        <f>MAX(Model_30y!V476, Model_15y!V476)</f>
        <v>13456.768971981217</v>
      </c>
      <c r="D476" s="2">
        <f>D464*(1+Assumptions!$D$52)</f>
        <v>-11539.386394617937</v>
      </c>
      <c r="E476" s="2">
        <f>E464+(E464*Assumptions!$D$52)</f>
        <v>-96.301120129249455</v>
      </c>
      <c r="F476" s="22">
        <f t="shared" si="51"/>
        <v>1821.0814572340303</v>
      </c>
      <c r="G476" s="5">
        <f t="shared" si="52"/>
        <v>7841167.5214970857</v>
      </c>
      <c r="H476" s="5">
        <f t="shared" si="53"/>
        <v>1821.0814572340303</v>
      </c>
      <c r="I476" s="3">
        <f>Assumptions!$E$45</f>
        <v>6.9899151946608562E-3</v>
      </c>
      <c r="J476" s="5">
        <f t="shared" si="54"/>
        <v>7897797.6989567131</v>
      </c>
      <c r="K476" s="5">
        <f>J476*Assumptions!$E$43</f>
        <v>7073.0741188487846</v>
      </c>
      <c r="L476" s="5">
        <f>K476*Assumptions!$D$44*-1</f>
        <v>-1060.9611178273176</v>
      </c>
      <c r="M476" s="2">
        <f>J476*Assumptions!$E$46*-1</f>
        <v>-263.21167131053141</v>
      </c>
      <c r="N476" s="5">
        <f t="shared" si="55"/>
        <v>7896473.5261675753</v>
      </c>
      <c r="O476" s="88">
        <f>Assumptions!$D$30</f>
        <v>2756</v>
      </c>
      <c r="P476" s="23">
        <f>(Model_Renter[[#This Row],[Monthly Investment]]*-1)+Model_Renter[[#This Row],[Less Renter''s Insurance]]</f>
        <v>-1917.3825773632798</v>
      </c>
    </row>
    <row r="477" spans="1:16" x14ac:dyDescent="0.25">
      <c r="A477" s="17">
        <f t="shared" si="49"/>
        <v>475</v>
      </c>
      <c r="B477" s="17">
        <f t="shared" si="50"/>
        <v>40</v>
      </c>
      <c r="C477" s="23">
        <f>MAX(Model_30y!V477, Model_15y!V477)</f>
        <v>13491.140930699416</v>
      </c>
      <c r="D477" s="2">
        <f>D465*(1+Assumptions!$D$52)</f>
        <v>-11539.386394617937</v>
      </c>
      <c r="E477" s="2">
        <f>E465+(E465*Assumptions!$D$52)</f>
        <v>-96.301120129249455</v>
      </c>
      <c r="F477" s="22">
        <f t="shared" si="51"/>
        <v>1855.4534159522289</v>
      </c>
      <c r="G477" s="5">
        <f t="shared" si="52"/>
        <v>7896473.5261675753</v>
      </c>
      <c r="H477" s="5">
        <f t="shared" si="53"/>
        <v>1855.4534159522289</v>
      </c>
      <c r="I477" s="3">
        <f>Assumptions!$E$45</f>
        <v>6.9899151946608562E-3</v>
      </c>
      <c r="J477" s="5">
        <f t="shared" si="54"/>
        <v>7953524.6598683242</v>
      </c>
      <c r="K477" s="5">
        <f>J477*Assumptions!$E$43</f>
        <v>7122.9818197003879</v>
      </c>
      <c r="L477" s="5">
        <f>K477*Assumptions!$D$44*-1</f>
        <v>-1068.4472729550582</v>
      </c>
      <c r="M477" s="2">
        <f>J477*Assumptions!$E$46*-1</f>
        <v>-265.0688962076112</v>
      </c>
      <c r="N477" s="5">
        <f t="shared" si="55"/>
        <v>7952191.1436991617</v>
      </c>
      <c r="O477" s="88">
        <f>Assumptions!$D$30</f>
        <v>2756</v>
      </c>
      <c r="P477" s="23">
        <f>(Model_Renter[[#This Row],[Monthly Investment]]*-1)+Model_Renter[[#This Row],[Less Renter''s Insurance]]</f>
        <v>-1951.7545360814784</v>
      </c>
    </row>
    <row r="478" spans="1:16" x14ac:dyDescent="0.25">
      <c r="A478" s="17">
        <f t="shared" si="49"/>
        <v>476</v>
      </c>
      <c r="B478" s="17">
        <f t="shared" si="50"/>
        <v>40</v>
      </c>
      <c r="C478" s="23">
        <f>MAX(Model_30y!V478, Model_15y!V478)</f>
        <v>13525.652925032118</v>
      </c>
      <c r="D478" s="2">
        <f>D466*(1+Assumptions!$D$52)</f>
        <v>-11539.386394617937</v>
      </c>
      <c r="E478" s="2">
        <f>E466+(E466*Assumptions!$D$52)</f>
        <v>-96.301120129249455</v>
      </c>
      <c r="F478" s="22">
        <f t="shared" si="51"/>
        <v>1889.9654102849315</v>
      </c>
      <c r="G478" s="5">
        <f t="shared" si="52"/>
        <v>7952191.1436991617</v>
      </c>
      <c r="H478" s="5">
        <f t="shared" si="53"/>
        <v>1889.9654102849315</v>
      </c>
      <c r="I478" s="3">
        <f>Assumptions!$E$45</f>
        <v>6.9899151946608562E-3</v>
      </c>
      <c r="J478" s="5">
        <f t="shared" si="54"/>
        <v>8009666.2508156365</v>
      </c>
      <c r="K478" s="5">
        <f>J478*Assumptions!$E$43</f>
        <v>7173.2608530533043</v>
      </c>
      <c r="L478" s="5">
        <f>K478*Assumptions!$D$44*-1</f>
        <v>-1075.9891279579956</v>
      </c>
      <c r="M478" s="2">
        <f>J478*Assumptions!$E$46*-1</f>
        <v>-266.93993957267821</v>
      </c>
      <c r="N478" s="5">
        <f t="shared" si="55"/>
        <v>8008323.3217481058</v>
      </c>
      <c r="O478" s="88">
        <f>Assumptions!$D$30</f>
        <v>2756</v>
      </c>
      <c r="P478" s="23">
        <f>(Model_Renter[[#This Row],[Monthly Investment]]*-1)+Model_Renter[[#This Row],[Less Renter''s Insurance]]</f>
        <v>-1986.266530414181</v>
      </c>
    </row>
    <row r="479" spans="1:16" x14ac:dyDescent="0.25">
      <c r="A479" s="17">
        <f t="shared" si="49"/>
        <v>477</v>
      </c>
      <c r="B479" s="17">
        <f t="shared" si="50"/>
        <v>40</v>
      </c>
      <c r="C479" s="23">
        <f>MAX(Model_30y!V479, Model_15y!V479)</f>
        <v>13560.305525501752</v>
      </c>
      <c r="D479" s="2">
        <f>D467*(1+Assumptions!$D$52)</f>
        <v>-11539.386394617937</v>
      </c>
      <c r="E479" s="2">
        <f>E467+(E467*Assumptions!$D$52)</f>
        <v>-96.301120129249455</v>
      </c>
      <c r="F479" s="22">
        <f t="shared" si="51"/>
        <v>1924.6180107545649</v>
      </c>
      <c r="G479" s="5">
        <f t="shared" si="52"/>
        <v>8008323.3217481058</v>
      </c>
      <c r="H479" s="5">
        <f t="shared" si="53"/>
        <v>1924.6180107545649</v>
      </c>
      <c r="I479" s="3">
        <f>Assumptions!$E$45</f>
        <v>6.9899151946608562E-3</v>
      </c>
      <c r="J479" s="5">
        <f t="shared" si="54"/>
        <v>8066225.4406293044</v>
      </c>
      <c r="K479" s="5">
        <f>J479*Assumptions!$E$43</f>
        <v>7223.9138777195294</v>
      </c>
      <c r="L479" s="5">
        <f>K479*Assumptions!$D$44*-1</f>
        <v>-1083.5870816579293</v>
      </c>
      <c r="M479" s="2">
        <f>J479*Assumptions!$E$46*-1</f>
        <v>-268.82490034861598</v>
      </c>
      <c r="N479" s="5">
        <f t="shared" si="55"/>
        <v>8064873.028647298</v>
      </c>
      <c r="O479" s="88">
        <f>Assumptions!$D$30</f>
        <v>2756</v>
      </c>
      <c r="P479" s="23">
        <f>(Model_Renter[[#This Row],[Monthly Investment]]*-1)+Model_Renter[[#This Row],[Less Renter''s Insurance]]</f>
        <v>-2020.9191308838144</v>
      </c>
    </row>
    <row r="480" spans="1:16" x14ac:dyDescent="0.25">
      <c r="A480" s="17">
        <f t="shared" si="49"/>
        <v>478</v>
      </c>
      <c r="B480" s="17">
        <f t="shared" si="50"/>
        <v>40</v>
      </c>
      <c r="C480" s="23">
        <f>MAX(Model_30y!V480, Model_15y!V480)</f>
        <v>13595.099304955125</v>
      </c>
      <c r="D480" s="2">
        <f>D468*(1+Assumptions!$D$52)</f>
        <v>-11539.386394617937</v>
      </c>
      <c r="E480" s="2">
        <f>E468+(E468*Assumptions!$D$52)</f>
        <v>-96.301120129249455</v>
      </c>
      <c r="F480" s="22">
        <f t="shared" si="51"/>
        <v>1959.4117902079386</v>
      </c>
      <c r="G480" s="5">
        <f t="shared" si="52"/>
        <v>8064873.028647298</v>
      </c>
      <c r="H480" s="5">
        <f t="shared" si="53"/>
        <v>1959.4117902079386</v>
      </c>
      <c r="I480" s="3">
        <f>Assumptions!$E$45</f>
        <v>6.9899151946608562E-3</v>
      </c>
      <c r="J480" s="5">
        <f t="shared" si="54"/>
        <v>8123205.2189634582</v>
      </c>
      <c r="K480" s="5">
        <f>J480*Assumptions!$E$43</f>
        <v>7274.9435711600545</v>
      </c>
      <c r="L480" s="5">
        <f>K480*Assumptions!$D$44*-1</f>
        <v>-1091.2415356740082</v>
      </c>
      <c r="M480" s="2">
        <f>J480*Assumptions!$E$46*-1</f>
        <v>-270.72387817229679</v>
      </c>
      <c r="N480" s="5">
        <f t="shared" si="55"/>
        <v>8121843.2535496121</v>
      </c>
      <c r="O480" s="88">
        <f>Assumptions!$D$30</f>
        <v>2756</v>
      </c>
      <c r="P480" s="23">
        <f>(Model_Renter[[#This Row],[Monthly Investment]]*-1)+Model_Renter[[#This Row],[Less Renter''s Insurance]]</f>
        <v>-2055.7129103371881</v>
      </c>
    </row>
    <row r="481" spans="1:16" x14ac:dyDescent="0.25">
      <c r="A481" s="17">
        <f t="shared" si="49"/>
        <v>479</v>
      </c>
      <c r="B481" s="17">
        <f t="shared" si="50"/>
        <v>40</v>
      </c>
      <c r="C481" s="23">
        <f>MAX(Model_30y!V481, Model_15y!V481)</f>
        <v>13630.034838572894</v>
      </c>
      <c r="D481" s="2">
        <f>D469*(1+Assumptions!$D$52)</f>
        <v>-11539.386394617937</v>
      </c>
      <c r="E481" s="2">
        <f>E469+(E469*Assumptions!$D$52)</f>
        <v>-96.301120129249455</v>
      </c>
      <c r="F481" s="22">
        <f t="shared" si="51"/>
        <v>1994.3473238257072</v>
      </c>
      <c r="G481" s="5">
        <f t="shared" si="52"/>
        <v>8121843.2535496121</v>
      </c>
      <c r="H481" s="5">
        <f t="shared" si="53"/>
        <v>1994.3473238257072</v>
      </c>
      <c r="I481" s="3">
        <f>Assumptions!$E$45</f>
        <v>6.9899151946608562E-3</v>
      </c>
      <c r="J481" s="5">
        <f t="shared" si="54"/>
        <v>8180608.5964400778</v>
      </c>
      <c r="K481" s="5">
        <f>J481*Assumptions!$E$43</f>
        <v>7326.3526296141627</v>
      </c>
      <c r="L481" s="5">
        <f>K481*Assumptions!$D$44*-1</f>
        <v>-1098.9528944421243</v>
      </c>
      <c r="M481" s="2">
        <f>J481*Assumptions!$E$46*-1</f>
        <v>-272.63697337939311</v>
      </c>
      <c r="N481" s="5">
        <f t="shared" si="55"/>
        <v>8179237.0065722559</v>
      </c>
      <c r="O481" s="88">
        <f>Assumptions!$D$30</f>
        <v>2756</v>
      </c>
      <c r="P481" s="23">
        <f>(Model_Renter[[#This Row],[Monthly Investment]]*-1)+Model_Renter[[#This Row],[Less Renter''s Insurance]]</f>
        <v>-2090.6484439549567</v>
      </c>
    </row>
    <row r="482" spans="1:16" x14ac:dyDescent="0.25">
      <c r="A482" s="17">
        <f t="shared" si="49"/>
        <v>480</v>
      </c>
      <c r="B482" s="17">
        <f t="shared" si="50"/>
        <v>40</v>
      </c>
      <c r="C482" s="23">
        <f>MAX(Model_30y!V482, Model_15y!V482)</f>
        <v>13665.112703879066</v>
      </c>
      <c r="D482" s="2">
        <f>D470*(1+Assumptions!$D$52)</f>
        <v>-11539.386394617937</v>
      </c>
      <c r="E482" s="2">
        <f>E470+(E470*Assumptions!$D$52)</f>
        <v>-96.301120129249455</v>
      </c>
      <c r="F482" s="22">
        <f t="shared" si="51"/>
        <v>2029.4251891318788</v>
      </c>
      <c r="G482" s="5">
        <f t="shared" si="52"/>
        <v>8179237.0065722559</v>
      </c>
      <c r="H482" s="5">
        <f t="shared" si="53"/>
        <v>2029.4251891318788</v>
      </c>
      <c r="I482" s="3">
        <f>Assumptions!$E$45</f>
        <v>6.9899151946608562E-3</v>
      </c>
      <c r="J482" s="5">
        <f t="shared" si="54"/>
        <v>8238438.6047943598</v>
      </c>
      <c r="K482" s="5">
        <f>J482*Assumptions!$E$43</f>
        <v>7378.1437682296164</v>
      </c>
      <c r="L482" s="5">
        <f>K482*Assumptions!$D$44*-1</f>
        <v>-1106.7215652344423</v>
      </c>
      <c r="M482" s="2">
        <f>J482*Assumptions!$E$46*-1</f>
        <v>-274.56428700922226</v>
      </c>
      <c r="N482" s="5">
        <f t="shared" si="55"/>
        <v>8237057.3189421156</v>
      </c>
      <c r="O482" s="88">
        <f>Assumptions!$D$30</f>
        <v>2756</v>
      </c>
      <c r="P482" s="23">
        <f>(Model_Renter[[#This Row],[Monthly Investment]]*-1)+Model_Renter[[#This Row],[Less Renter''s Insurance]]</f>
        <v>-2125.7263092611283</v>
      </c>
    </row>
    <row r="483" spans="1:16" x14ac:dyDescent="0.25">
      <c r="A483" s="17">
        <f t="shared" si="49"/>
        <v>481</v>
      </c>
      <c r="B483" s="17">
        <f t="shared" si="50"/>
        <v>41</v>
      </c>
      <c r="C483" s="23">
        <f>MAX(Model_30y!V483, Model_15y!V483)</f>
        <v>13809.257750546491</v>
      </c>
      <c r="D483" s="2">
        <f>D471*(1+Assumptions!$D$52)</f>
        <v>-11970.959445776649</v>
      </c>
      <c r="E483" s="2">
        <f>E471+(E471*Assumptions!$D$52)</f>
        <v>-99.902782022083386</v>
      </c>
      <c r="F483" s="22">
        <f t="shared" si="51"/>
        <v>1738.3955227477584</v>
      </c>
      <c r="G483" s="5">
        <f t="shared" si="52"/>
        <v>8237057.3189421156</v>
      </c>
      <c r="H483" s="5">
        <f t="shared" si="53"/>
        <v>1738.3955227477584</v>
      </c>
      <c r="I483" s="3">
        <f>Assumptions!$E$45</f>
        <v>6.9899151946608562E-3</v>
      </c>
      <c r="J483" s="5">
        <f t="shared" si="54"/>
        <v>8296372.0465778299</v>
      </c>
      <c r="K483" s="5">
        <f>J483*Assumptions!$E$43</f>
        <v>7430.0275392900758</v>
      </c>
      <c r="L483" s="5">
        <f>K483*Assumptions!$D$44*-1</f>
        <v>-1114.5041308935113</v>
      </c>
      <c r="M483" s="2">
        <f>J483*Assumptions!$E$46*-1</f>
        <v>-276.49504778809268</v>
      </c>
      <c r="N483" s="5">
        <f t="shared" si="55"/>
        <v>8294981.0473991483</v>
      </c>
      <c r="O483" s="88">
        <f>Assumptions!$D$30</f>
        <v>2756</v>
      </c>
      <c r="P483" s="23">
        <f>(Model_Renter[[#This Row],[Monthly Investment]]*-1)+Model_Renter[[#This Row],[Less Renter''s Insurance]]</f>
        <v>-1838.2983047698417</v>
      </c>
    </row>
    <row r="484" spans="1:16" x14ac:dyDescent="0.25">
      <c r="A484" s="17">
        <f t="shared" si="49"/>
        <v>482</v>
      </c>
      <c r="B484" s="17">
        <f t="shared" si="50"/>
        <v>41</v>
      </c>
      <c r="C484" s="23">
        <f>MAX(Model_30y!V484, Model_15y!V484)</f>
        <v>13844.62202122272</v>
      </c>
      <c r="D484" s="2">
        <f>D472*(1+Assumptions!$D$52)</f>
        <v>-11970.959445776649</v>
      </c>
      <c r="E484" s="2">
        <f>E472+(E472*Assumptions!$D$52)</f>
        <v>-99.902782022083386</v>
      </c>
      <c r="F484" s="22">
        <f t="shared" si="51"/>
        <v>1773.7597934239877</v>
      </c>
      <c r="G484" s="5">
        <f t="shared" si="52"/>
        <v>8294981.0473991483</v>
      </c>
      <c r="H484" s="5">
        <f t="shared" si="53"/>
        <v>1773.7597934239877</v>
      </c>
      <c r="I484" s="3">
        <f>Assumptions!$E$45</f>
        <v>6.9899151946608562E-3</v>
      </c>
      <c r="J484" s="5">
        <f t="shared" si="54"/>
        <v>8354736.0212552119</v>
      </c>
      <c r="K484" s="5">
        <f>J484*Assumptions!$E$43</f>
        <v>7482.2968850620327</v>
      </c>
      <c r="L484" s="5">
        <f>K484*Assumptions!$D$44*-1</f>
        <v>-1122.3445327593049</v>
      </c>
      <c r="M484" s="2">
        <f>J484*Assumptions!$E$46*-1</f>
        <v>-278.44015703306468</v>
      </c>
      <c r="N484" s="5">
        <f t="shared" si="55"/>
        <v>8353335.2365654195</v>
      </c>
      <c r="O484" s="88">
        <f>Assumptions!$D$30</f>
        <v>2756</v>
      </c>
      <c r="P484" s="23">
        <f>(Model_Renter[[#This Row],[Monthly Investment]]*-1)+Model_Renter[[#This Row],[Less Renter''s Insurance]]</f>
        <v>-1873.6625754460711</v>
      </c>
    </row>
    <row r="485" spans="1:16" x14ac:dyDescent="0.25">
      <c r="A485" s="17">
        <f t="shared" si="49"/>
        <v>483</v>
      </c>
      <c r="B485" s="17">
        <f t="shared" si="50"/>
        <v>41</v>
      </c>
      <c r="C485" s="23">
        <f>MAX(Model_30y!V485, Model_15y!V485)</f>
        <v>13880.130370315201</v>
      </c>
      <c r="D485" s="2">
        <f>D473*(1+Assumptions!$D$52)</f>
        <v>-11970.959445776649</v>
      </c>
      <c r="E485" s="2">
        <f>E473+(E473*Assumptions!$D$52)</f>
        <v>-99.902782022083386</v>
      </c>
      <c r="F485" s="22">
        <f t="shared" si="51"/>
        <v>1809.2681425164685</v>
      </c>
      <c r="G485" s="5">
        <f t="shared" si="52"/>
        <v>8353335.2365654195</v>
      </c>
      <c r="H485" s="5">
        <f t="shared" si="53"/>
        <v>1809.2681425164685</v>
      </c>
      <c r="I485" s="3">
        <f>Assumptions!$E$45</f>
        <v>6.9899151946608562E-3</v>
      </c>
      <c r="J485" s="5">
        <f t="shared" si="54"/>
        <v>8413533.6096041016</v>
      </c>
      <c r="K485" s="5">
        <f>J485*Assumptions!$E$43</f>
        <v>7534.9545646144225</v>
      </c>
      <c r="L485" s="5">
        <f>K485*Assumptions!$D$44*-1</f>
        <v>-1130.2431846921634</v>
      </c>
      <c r="M485" s="2">
        <f>J485*Assumptions!$E$46*-1</f>
        <v>-280.39971741790265</v>
      </c>
      <c r="N485" s="5">
        <f t="shared" si="55"/>
        <v>8412122.9667019919</v>
      </c>
      <c r="O485" s="88">
        <f>Assumptions!$D$30</f>
        <v>2756</v>
      </c>
      <c r="P485" s="23">
        <f>(Model_Renter[[#This Row],[Monthly Investment]]*-1)+Model_Renter[[#This Row],[Less Renter''s Insurance]]</f>
        <v>-1909.1709245385518</v>
      </c>
    </row>
    <row r="486" spans="1:16" x14ac:dyDescent="0.25">
      <c r="A486" s="17">
        <f t="shared" si="49"/>
        <v>484</v>
      </c>
      <c r="B486" s="17">
        <f t="shared" si="50"/>
        <v>41</v>
      </c>
      <c r="C486" s="23">
        <f>MAX(Model_30y!V486, Model_15y!V486)</f>
        <v>13915.783384817238</v>
      </c>
      <c r="D486" s="2">
        <f>D474*(1+Assumptions!$D$52)</f>
        <v>-11970.959445776649</v>
      </c>
      <c r="E486" s="2">
        <f>E474+(E474*Assumptions!$D$52)</f>
        <v>-99.902782022083386</v>
      </c>
      <c r="F486" s="22">
        <f t="shared" si="51"/>
        <v>1844.9211570185055</v>
      </c>
      <c r="G486" s="5">
        <f t="shared" si="52"/>
        <v>8412122.9667019919</v>
      </c>
      <c r="H486" s="5">
        <f t="shared" si="53"/>
        <v>1844.9211570185055</v>
      </c>
      <c r="I486" s="3">
        <f>Assumptions!$E$45</f>
        <v>6.9899151946608562E-3</v>
      </c>
      <c r="J486" s="5">
        <f t="shared" si="54"/>
        <v>8472767.9140033163</v>
      </c>
      <c r="K486" s="5">
        <f>J486*Assumptions!$E$43</f>
        <v>7588.0033563617017</v>
      </c>
      <c r="L486" s="5">
        <f>K486*Assumptions!$D$44*-1</f>
        <v>-1138.2005034542551</v>
      </c>
      <c r="M486" s="2">
        <f>J486*Assumptions!$E$46*-1</f>
        <v>-282.37383233627963</v>
      </c>
      <c r="N486" s="5">
        <f t="shared" si="55"/>
        <v>8471347.3396675251</v>
      </c>
      <c r="O486" s="88">
        <f>Assumptions!$D$30</f>
        <v>2756</v>
      </c>
      <c r="P486" s="23">
        <f>(Model_Renter[[#This Row],[Monthly Investment]]*-1)+Model_Renter[[#This Row],[Less Renter''s Insurance]]</f>
        <v>-1944.8239390405888</v>
      </c>
    </row>
    <row r="487" spans="1:16" x14ac:dyDescent="0.25">
      <c r="A487" s="17">
        <f t="shared" si="49"/>
        <v>485</v>
      </c>
      <c r="B487" s="17">
        <f t="shared" si="50"/>
        <v>41</v>
      </c>
      <c r="C487" s="23">
        <f>MAX(Model_30y!V487, Model_15y!V487)</f>
        <v>13951.581654113617</v>
      </c>
      <c r="D487" s="2">
        <f>D475*(1+Assumptions!$D$52)</f>
        <v>-11970.959445776649</v>
      </c>
      <c r="E487" s="2">
        <f>E475+(E475*Assumptions!$D$52)</f>
        <v>-99.902782022083386</v>
      </c>
      <c r="F487" s="22">
        <f t="shared" si="51"/>
        <v>1880.7194263148851</v>
      </c>
      <c r="G487" s="5">
        <f t="shared" si="52"/>
        <v>8471347.3396675251</v>
      </c>
      <c r="H487" s="5">
        <f t="shared" si="53"/>
        <v>1880.7194263148851</v>
      </c>
      <c r="I487" s="3">
        <f>Assumptions!$E$45</f>
        <v>6.9899151946608562E-3</v>
      </c>
      <c r="J487" s="5">
        <f t="shared" si="54"/>
        <v>8532442.0585826319</v>
      </c>
      <c r="K487" s="5">
        <f>J487*Assumptions!$E$43</f>
        <v>7641.4460581979556</v>
      </c>
      <c r="L487" s="5">
        <f>K487*Assumptions!$D$44*-1</f>
        <v>-1146.2169087296934</v>
      </c>
      <c r="M487" s="2">
        <f>J487*Assumptions!$E$46*-1</f>
        <v>-284.3626059067679</v>
      </c>
      <c r="N487" s="5">
        <f t="shared" si="55"/>
        <v>8531011.4790679961</v>
      </c>
      <c r="O487" s="88">
        <f>Assumptions!$D$30</f>
        <v>2756</v>
      </c>
      <c r="P487" s="23">
        <f>(Model_Renter[[#This Row],[Monthly Investment]]*-1)+Model_Renter[[#This Row],[Less Renter''s Insurance]]</f>
        <v>-1980.6222083369685</v>
      </c>
    </row>
    <row r="488" spans="1:16" x14ac:dyDescent="0.25">
      <c r="A488" s="17">
        <f t="shared" si="49"/>
        <v>486</v>
      </c>
      <c r="B488" s="17">
        <f t="shared" si="50"/>
        <v>41</v>
      </c>
      <c r="C488" s="23">
        <f>MAX(Model_30y!V488, Model_15y!V488)</f>
        <v>13987.525769990349</v>
      </c>
      <c r="D488" s="2">
        <f>D476*(1+Assumptions!$D$52)</f>
        <v>-11970.959445776649</v>
      </c>
      <c r="E488" s="2">
        <f>E476+(E476*Assumptions!$D$52)</f>
        <v>-99.902782022083386</v>
      </c>
      <c r="F488" s="22">
        <f t="shared" si="51"/>
        <v>1916.6635421916164</v>
      </c>
      <c r="G488" s="5">
        <f t="shared" si="52"/>
        <v>8531011.4790679961</v>
      </c>
      <c r="H488" s="5">
        <f t="shared" si="53"/>
        <v>1916.6635421916164</v>
      </c>
      <c r="I488" s="3">
        <f>Assumptions!$E$45</f>
        <v>6.9899151946608562E-3</v>
      </c>
      <c r="J488" s="5">
        <f t="shared" si="54"/>
        <v>8592559.1893735528</v>
      </c>
      <c r="K488" s="5">
        <f>J488*Assumptions!$E$43</f>
        <v>7695.2854876319207</v>
      </c>
      <c r="L488" s="5">
        <f>K488*Assumptions!$D$44*-1</f>
        <v>-1154.2928231447881</v>
      </c>
      <c r="M488" s="2">
        <f>J488*Assumptions!$E$46*-1</f>
        <v>-286.36614297786332</v>
      </c>
      <c r="N488" s="5">
        <f t="shared" si="55"/>
        <v>8591118.5304074306</v>
      </c>
      <c r="O488" s="88">
        <f>Assumptions!$D$30</f>
        <v>2756</v>
      </c>
      <c r="P488" s="23">
        <f>(Model_Renter[[#This Row],[Monthly Investment]]*-1)+Model_Renter[[#This Row],[Less Renter''s Insurance]]</f>
        <v>-2016.5663242136998</v>
      </c>
    </row>
    <row r="489" spans="1:16" x14ac:dyDescent="0.25">
      <c r="A489" s="17">
        <f t="shared" si="49"/>
        <v>487</v>
      </c>
      <c r="B489" s="17">
        <f t="shared" si="50"/>
        <v>41</v>
      </c>
      <c r="C489" s="23">
        <f>MAX(Model_30y!V489, Model_15y!V489)</f>
        <v>14023.616326644458</v>
      </c>
      <c r="D489" s="2">
        <f>D477*(1+Assumptions!$D$52)</f>
        <v>-11970.959445776649</v>
      </c>
      <c r="E489" s="2">
        <f>E477+(E477*Assumptions!$D$52)</f>
        <v>-99.902782022083386</v>
      </c>
      <c r="F489" s="22">
        <f t="shared" si="51"/>
        <v>1952.754098845726</v>
      </c>
      <c r="G489" s="5">
        <f t="shared" si="52"/>
        <v>8591118.5304074306</v>
      </c>
      <c r="H489" s="5">
        <f t="shared" si="53"/>
        <v>1952.754098845726</v>
      </c>
      <c r="I489" s="3">
        <f>Assumptions!$E$45</f>
        <v>6.9899151946608562E-3</v>
      </c>
      <c r="J489" s="5">
        <f t="shared" si="54"/>
        <v>8653122.4744611029</v>
      </c>
      <c r="K489" s="5">
        <f>J489*Assumptions!$E$43</f>
        <v>7749.5244819229238</v>
      </c>
      <c r="L489" s="5">
        <f>K489*Assumptions!$D$44*-1</f>
        <v>-1162.4286722884385</v>
      </c>
      <c r="M489" s="2">
        <f>J489*Assumptions!$E$46*-1</f>
        <v>-288.38454913304452</v>
      </c>
      <c r="N489" s="5">
        <f t="shared" si="55"/>
        <v>8651671.6612396818</v>
      </c>
      <c r="O489" s="88">
        <f>Assumptions!$D$30</f>
        <v>2756</v>
      </c>
      <c r="P489" s="23">
        <f>(Model_Renter[[#This Row],[Monthly Investment]]*-1)+Model_Renter[[#This Row],[Less Renter''s Insurance]]</f>
        <v>-2052.6568808678094</v>
      </c>
    </row>
    <row r="490" spans="1:16" x14ac:dyDescent="0.25">
      <c r="A490" s="17">
        <f t="shared" si="49"/>
        <v>488</v>
      </c>
      <c r="B490" s="17">
        <f t="shared" si="50"/>
        <v>41</v>
      </c>
      <c r="C490" s="23">
        <f>MAX(Model_30y!V490, Model_15y!V490)</f>
        <v>14059.853920693795</v>
      </c>
      <c r="D490" s="2">
        <f>D478*(1+Assumptions!$D$52)</f>
        <v>-11970.959445776649</v>
      </c>
      <c r="E490" s="2">
        <f>E478+(E478*Assumptions!$D$52)</f>
        <v>-99.902782022083386</v>
      </c>
      <c r="F490" s="22">
        <f t="shared" si="51"/>
        <v>1988.9916928950627</v>
      </c>
      <c r="G490" s="5">
        <f t="shared" si="52"/>
        <v>8651671.6612396818</v>
      </c>
      <c r="H490" s="5">
        <f t="shared" si="53"/>
        <v>1988.9916928950627</v>
      </c>
      <c r="I490" s="3">
        <f>Assumptions!$E$45</f>
        <v>6.9899151946608562E-3</v>
      </c>
      <c r="J490" s="5">
        <f t="shared" si="54"/>
        <v>8714135.1041366924</v>
      </c>
      <c r="K490" s="5">
        <f>J490*Assumptions!$E$43</f>
        <v>7804.1658982177878</v>
      </c>
      <c r="L490" s="5">
        <f>K490*Assumptions!$D$44*-1</f>
        <v>-1170.6248847326681</v>
      </c>
      <c r="M490" s="2">
        <f>J490*Assumptions!$E$46*-1</f>
        <v>-290.41793069586726</v>
      </c>
      <c r="N490" s="5">
        <f t="shared" si="55"/>
        <v>8712674.0613212641</v>
      </c>
      <c r="O490" s="88">
        <f>Assumptions!$D$30</f>
        <v>2756</v>
      </c>
      <c r="P490" s="23">
        <f>(Model_Renter[[#This Row],[Monthly Investment]]*-1)+Model_Renter[[#This Row],[Less Renter''s Insurance]]</f>
        <v>-2088.894474917146</v>
      </c>
    </row>
    <row r="491" spans="1:16" x14ac:dyDescent="0.25">
      <c r="A491" s="17">
        <f t="shared" si="49"/>
        <v>489</v>
      </c>
      <c r="B491" s="17">
        <f t="shared" si="50"/>
        <v>41</v>
      </c>
      <c r="C491" s="23">
        <f>MAX(Model_30y!V491, Model_15y!V491)</f>
        <v>14096.239151186912</v>
      </c>
      <c r="D491" s="2">
        <f>D479*(1+Assumptions!$D$52)</f>
        <v>-11970.959445776649</v>
      </c>
      <c r="E491" s="2">
        <f>E479+(E479*Assumptions!$D$52)</f>
        <v>-99.902782022083386</v>
      </c>
      <c r="F491" s="22">
        <f t="shared" si="51"/>
        <v>2025.3769233881796</v>
      </c>
      <c r="G491" s="5">
        <f t="shared" si="52"/>
        <v>8712674.0613212641</v>
      </c>
      <c r="H491" s="5">
        <f t="shared" si="53"/>
        <v>2025.3769233881796</v>
      </c>
      <c r="I491" s="3">
        <f>Assumptions!$E$45</f>
        <v>6.9899151946608562E-3</v>
      </c>
      <c r="J491" s="5">
        <f t="shared" si="54"/>
        <v>8775600.2910520099</v>
      </c>
      <c r="K491" s="5">
        <f>J491*Assumptions!$E$43</f>
        <v>7859.2126136886545</v>
      </c>
      <c r="L491" s="5">
        <f>K491*Assumptions!$D$44*-1</f>
        <v>-1178.8818920532981</v>
      </c>
      <c r="M491" s="2">
        <f>J491*Assumptions!$E$46*-1</f>
        <v>-292.46639473509333</v>
      </c>
      <c r="N491" s="5">
        <f t="shared" si="55"/>
        <v>8774128.942765221</v>
      </c>
      <c r="O491" s="88">
        <f>Assumptions!$D$30</f>
        <v>2756</v>
      </c>
      <c r="P491" s="23">
        <f>(Model_Renter[[#This Row],[Monthly Investment]]*-1)+Model_Renter[[#This Row],[Less Renter''s Insurance]]</f>
        <v>-2125.279705410263</v>
      </c>
    </row>
    <row r="492" spans="1:16" x14ac:dyDescent="0.25">
      <c r="A492" s="17">
        <f t="shared" si="49"/>
        <v>490</v>
      </c>
      <c r="B492" s="17">
        <f t="shared" si="50"/>
        <v>41</v>
      </c>
      <c r="C492" s="23">
        <f>MAX(Model_30y!V492, Model_15y!V492)</f>
        <v>14132.772619612953</v>
      </c>
      <c r="D492" s="2">
        <f>D480*(1+Assumptions!$D$52)</f>
        <v>-11970.959445776649</v>
      </c>
      <c r="E492" s="2">
        <f>E480+(E480*Assumptions!$D$52)</f>
        <v>-99.902782022083386</v>
      </c>
      <c r="F492" s="22">
        <f t="shared" si="51"/>
        <v>2061.9103918142209</v>
      </c>
      <c r="G492" s="5">
        <f t="shared" si="52"/>
        <v>8774128.942765221</v>
      </c>
      <c r="H492" s="5">
        <f t="shared" si="53"/>
        <v>2061.9103918142209</v>
      </c>
      <c r="I492" s="3">
        <f>Assumptions!$E$45</f>
        <v>6.9899151946608562E-3</v>
      </c>
      <c r="J492" s="5">
        <f t="shared" si="54"/>
        <v>8837521.2703739833</v>
      </c>
      <c r="K492" s="5">
        <f>J492*Assumptions!$E$43</f>
        <v>7914.6675256717608</v>
      </c>
      <c r="L492" s="5">
        <f>K492*Assumptions!$D$44*-1</f>
        <v>-1187.200128850764</v>
      </c>
      <c r="M492" s="2">
        <f>J492*Assumptions!$E$46*-1</f>
        <v>-294.53004906985484</v>
      </c>
      <c r="N492" s="5">
        <f t="shared" si="55"/>
        <v>8836039.540196063</v>
      </c>
      <c r="O492" s="88">
        <f>Assumptions!$D$30</f>
        <v>2756</v>
      </c>
      <c r="P492" s="23">
        <f>(Model_Renter[[#This Row],[Monthly Investment]]*-1)+Model_Renter[[#This Row],[Less Renter''s Insurance]]</f>
        <v>-2161.8131738363045</v>
      </c>
    </row>
    <row r="493" spans="1:16" x14ac:dyDescent="0.25">
      <c r="A493" s="17">
        <f t="shared" si="49"/>
        <v>491</v>
      </c>
      <c r="B493" s="17">
        <f t="shared" si="50"/>
        <v>41</v>
      </c>
      <c r="C493" s="23">
        <f>MAX(Model_30y!V493, Model_15y!V493)</f>
        <v>14169.454929911608</v>
      </c>
      <c r="D493" s="2">
        <f>D481*(1+Assumptions!$D$52)</f>
        <v>-11970.959445776649</v>
      </c>
      <c r="E493" s="2">
        <f>E481+(E481*Assumptions!$D$52)</f>
        <v>-99.902782022083386</v>
      </c>
      <c r="F493" s="22">
        <f t="shared" si="51"/>
        <v>2098.5927021128755</v>
      </c>
      <c r="G493" s="5">
        <f t="shared" si="52"/>
        <v>8836039.540196063</v>
      </c>
      <c r="H493" s="5">
        <f t="shared" si="53"/>
        <v>2098.5927021128755</v>
      </c>
      <c r="I493" s="3">
        <f>Assumptions!$E$45</f>
        <v>6.9899151946608562E-3</v>
      </c>
      <c r="J493" s="5">
        <f t="shared" si="54"/>
        <v>8899901.2999408171</v>
      </c>
      <c r="K493" s="5">
        <f>J493*Assumptions!$E$43</f>
        <v>7970.5335518071824</v>
      </c>
      <c r="L493" s="5">
        <f>K493*Assumptions!$D$44*-1</f>
        <v>-1195.5800327710774</v>
      </c>
      <c r="M493" s="2">
        <f>J493*Assumptions!$E$46*-1</f>
        <v>-296.60900227485467</v>
      </c>
      <c r="N493" s="5">
        <f t="shared" si="55"/>
        <v>8898409.1109057702</v>
      </c>
      <c r="O493" s="88">
        <f>Assumptions!$D$30</f>
        <v>2756</v>
      </c>
      <c r="P493" s="23">
        <f>(Model_Renter[[#This Row],[Monthly Investment]]*-1)+Model_Renter[[#This Row],[Less Renter''s Insurance]]</f>
        <v>-2198.495484134959</v>
      </c>
    </row>
    <row r="494" spans="1:16" x14ac:dyDescent="0.25">
      <c r="A494" s="17">
        <f t="shared" si="49"/>
        <v>492</v>
      </c>
      <c r="B494" s="17">
        <f t="shared" si="50"/>
        <v>41</v>
      </c>
      <c r="C494" s="23">
        <f>MAX(Model_30y!V494, Model_15y!V494)</f>
        <v>14206.286688483091</v>
      </c>
      <c r="D494" s="2">
        <f>D482*(1+Assumptions!$D$52)</f>
        <v>-11970.959445776649</v>
      </c>
      <c r="E494" s="2">
        <f>E482+(E482*Assumptions!$D$52)</f>
        <v>-99.902782022083386</v>
      </c>
      <c r="F494" s="22">
        <f t="shared" si="51"/>
        <v>2135.4244606843586</v>
      </c>
      <c r="G494" s="5">
        <f t="shared" si="52"/>
        <v>8898409.1109057702</v>
      </c>
      <c r="H494" s="5">
        <f t="shared" si="53"/>
        <v>2135.4244606843586</v>
      </c>
      <c r="I494" s="3">
        <f>Assumptions!$E$45</f>
        <v>6.9899151946608562E-3</v>
      </c>
      <c r="J494" s="5">
        <f t="shared" si="54"/>
        <v>8962743.6604190841</v>
      </c>
      <c r="K494" s="5">
        <f>J494*Assumptions!$E$43</f>
        <v>8026.8136301795257</v>
      </c>
      <c r="L494" s="5">
        <f>K494*Assumptions!$D$44*-1</f>
        <v>-1204.0220445269288</v>
      </c>
      <c r="M494" s="2">
        <f>J494*Assumptions!$E$46*-1</f>
        <v>-298.70336368560197</v>
      </c>
      <c r="N494" s="5">
        <f t="shared" si="55"/>
        <v>8961240.9350108709</v>
      </c>
      <c r="O494" s="88">
        <f>Assumptions!$D$30</f>
        <v>2756</v>
      </c>
      <c r="P494" s="23">
        <f>(Model_Renter[[#This Row],[Monthly Investment]]*-1)+Model_Renter[[#This Row],[Less Renter''s Insurance]]</f>
        <v>-2235.3272427064421</v>
      </c>
    </row>
    <row r="495" spans="1:16" x14ac:dyDescent="0.25">
      <c r="A495" s="17">
        <f t="shared" ref="A495:A541" si="56">A494+1</f>
        <v>493</v>
      </c>
      <c r="B495" s="17">
        <f t="shared" si="50"/>
        <v>42</v>
      </c>
      <c r="C495" s="23">
        <f>MAX(Model_30y!V495, Model_15y!V495)</f>
        <v>14357.638987483888</v>
      </c>
      <c r="D495" s="2">
        <f>D483*(1+Assumptions!$D$52)</f>
        <v>-12418.673329048697</v>
      </c>
      <c r="E495" s="2">
        <f>E483+(E483*Assumptions!$D$52)</f>
        <v>-103.6391460697093</v>
      </c>
      <c r="F495" s="22">
        <f t="shared" si="51"/>
        <v>1835.3265123654812</v>
      </c>
      <c r="G495" s="5">
        <f t="shared" si="52"/>
        <v>8961240.9350108709</v>
      </c>
      <c r="H495" s="5">
        <f t="shared" si="53"/>
        <v>1835.3265123654812</v>
      </c>
      <c r="I495" s="3">
        <f>Assumptions!$E$45</f>
        <v>6.9899151946608562E-3</v>
      </c>
      <c r="J495" s="5">
        <f t="shared" si="54"/>
        <v>9025714.5756978858</v>
      </c>
      <c r="K495" s="5">
        <f>J495*Assumptions!$E$43</f>
        <v>8083.2088390815661</v>
      </c>
      <c r="L495" s="5">
        <f>K495*Assumptions!$D$44*-1</f>
        <v>-1212.4813258622348</v>
      </c>
      <c r="M495" s="2">
        <f>J495*Assumptions!$E$46*-1</f>
        <v>-300.80200947095511</v>
      </c>
      <c r="N495" s="5">
        <f t="shared" si="55"/>
        <v>9024201.2923625521</v>
      </c>
      <c r="O495" s="88">
        <f>Assumptions!$D$30</f>
        <v>2756</v>
      </c>
      <c r="P495" s="23">
        <f>(Model_Renter[[#This Row],[Monthly Investment]]*-1)+Model_Renter[[#This Row],[Less Renter''s Insurance]]</f>
        <v>-1938.9656584351906</v>
      </c>
    </row>
    <row r="496" spans="1:16" x14ac:dyDescent="0.25">
      <c r="A496" s="17">
        <f t="shared" si="56"/>
        <v>494</v>
      </c>
      <c r="B496" s="17">
        <f t="shared" si="50"/>
        <v>42</v>
      </c>
      <c r="C496" s="23">
        <f>MAX(Model_30y!V496, Model_15y!V496)</f>
        <v>14394.771471693928</v>
      </c>
      <c r="D496" s="2">
        <f>D484*(1+Assumptions!$D$52)</f>
        <v>-12418.673329048697</v>
      </c>
      <c r="E496" s="2">
        <f>E484+(E484*Assumptions!$D$52)</f>
        <v>-103.6391460697093</v>
      </c>
      <c r="F496" s="22">
        <f t="shared" si="51"/>
        <v>1872.4589965755215</v>
      </c>
      <c r="G496" s="5">
        <f t="shared" si="52"/>
        <v>9024201.2923625521</v>
      </c>
      <c r="H496" s="5">
        <f t="shared" si="53"/>
        <v>1872.4589965755215</v>
      </c>
      <c r="I496" s="3">
        <f>Assumptions!$E$45</f>
        <v>6.9899151946608562E-3</v>
      </c>
      <c r="J496" s="5">
        <f t="shared" si="54"/>
        <v>9089152.1530922912</v>
      </c>
      <c r="K496" s="5">
        <f>J496*Assumptions!$E$43</f>
        <v>8140.0219791408645</v>
      </c>
      <c r="L496" s="5">
        <f>K496*Assumptions!$D$44*-1</f>
        <v>-1221.0032968711296</v>
      </c>
      <c r="M496" s="2">
        <f>J496*Assumptions!$E$46*-1</f>
        <v>-302.91620780906629</v>
      </c>
      <c r="N496" s="5">
        <f t="shared" si="55"/>
        <v>9087628.2335876115</v>
      </c>
      <c r="O496" s="88">
        <f>Assumptions!$D$30</f>
        <v>2756</v>
      </c>
      <c r="P496" s="23">
        <f>(Model_Renter[[#This Row],[Monthly Investment]]*-1)+Model_Renter[[#This Row],[Less Renter''s Insurance]]</f>
        <v>-1976.0981426452308</v>
      </c>
    </row>
    <row r="497" spans="1:16" x14ac:dyDescent="0.25">
      <c r="A497" s="17">
        <f t="shared" si="56"/>
        <v>495</v>
      </c>
      <c r="B497" s="17">
        <f t="shared" si="50"/>
        <v>42</v>
      </c>
      <c r="C497" s="23">
        <f>MAX(Model_30y!V497, Model_15y!V497)</f>
        <v>14432.055238241033</v>
      </c>
      <c r="D497" s="2">
        <f>D485*(1+Assumptions!$D$52)</f>
        <v>-12418.673329048697</v>
      </c>
      <c r="E497" s="2">
        <f>E485+(E485*Assumptions!$D$52)</f>
        <v>-103.6391460697093</v>
      </c>
      <c r="F497" s="22">
        <f t="shared" si="51"/>
        <v>1909.7427631226267</v>
      </c>
      <c r="G497" s="5">
        <f t="shared" si="52"/>
        <v>9087628.2335876115</v>
      </c>
      <c r="H497" s="5">
        <f t="shared" si="53"/>
        <v>1909.7427631226267</v>
      </c>
      <c r="I497" s="3">
        <f>Assumptions!$E$45</f>
        <v>6.9899151946608562E-3</v>
      </c>
      <c r="J497" s="5">
        <f t="shared" si="54"/>
        <v>9153059.7270241175</v>
      </c>
      <c r="K497" s="5">
        <f>J497*Assumptions!$E$43</f>
        <v>8197.2560365839072</v>
      </c>
      <c r="L497" s="5">
        <f>K497*Assumptions!$D$44*-1</f>
        <v>-1229.588405487586</v>
      </c>
      <c r="M497" s="2">
        <f>J497*Assumptions!$E$46*-1</f>
        <v>-305.04606982695759</v>
      </c>
      <c r="N497" s="5">
        <f t="shared" si="55"/>
        <v>9151525.0925488025</v>
      </c>
      <c r="O497" s="88">
        <f>Assumptions!$D$30</f>
        <v>2756</v>
      </c>
      <c r="P497" s="23">
        <f>(Model_Renter[[#This Row],[Monthly Investment]]*-1)+Model_Renter[[#This Row],[Less Renter''s Insurance]]</f>
        <v>-2013.381909192336</v>
      </c>
    </row>
    <row r="498" spans="1:16" x14ac:dyDescent="0.25">
      <c r="A498" s="17">
        <f t="shared" si="56"/>
        <v>496</v>
      </c>
      <c r="B498" s="17">
        <f t="shared" si="50"/>
        <v>42</v>
      </c>
      <c r="C498" s="23">
        <f>MAX(Model_30y!V498, Model_15y!V498)</f>
        <v>14469.490903468171</v>
      </c>
      <c r="D498" s="2">
        <f>D486*(1+Assumptions!$D$52)</f>
        <v>-12418.673329048697</v>
      </c>
      <c r="E498" s="2">
        <f>E486+(E486*Assumptions!$D$52)</f>
        <v>-103.6391460697093</v>
      </c>
      <c r="F498" s="22">
        <f t="shared" si="51"/>
        <v>1947.1784283497648</v>
      </c>
      <c r="G498" s="5">
        <f t="shared" si="52"/>
        <v>9151525.0925488025</v>
      </c>
      <c r="H498" s="5">
        <f t="shared" si="53"/>
        <v>1947.1784283497648</v>
      </c>
      <c r="I498" s="3">
        <f>Assumptions!$E$45</f>
        <v>6.9899151946608562E-3</v>
      </c>
      <c r="J498" s="5">
        <f t="shared" si="54"/>
        <v>9217440.6552758794</v>
      </c>
      <c r="K498" s="5">
        <f>J498*Assumptions!$E$43</f>
        <v>8254.9140185584456</v>
      </c>
      <c r="L498" s="5">
        <f>K498*Assumptions!$D$44*-1</f>
        <v>-1238.2371027837669</v>
      </c>
      <c r="M498" s="2">
        <f>J498*Assumptions!$E$46*-1</f>
        <v>-307.19170743019833</v>
      </c>
      <c r="N498" s="5">
        <f t="shared" si="55"/>
        <v>9215895.2264656648</v>
      </c>
      <c r="O498" s="88">
        <f>Assumptions!$D$30</f>
        <v>2756</v>
      </c>
      <c r="P498" s="23">
        <f>(Model_Renter[[#This Row],[Monthly Investment]]*-1)+Model_Renter[[#This Row],[Less Renter''s Insurance]]</f>
        <v>-2050.8175744194741</v>
      </c>
    </row>
    <row r="499" spans="1:16" x14ac:dyDescent="0.25">
      <c r="A499" s="17">
        <f t="shared" si="56"/>
        <v>497</v>
      </c>
      <c r="B499" s="17">
        <f t="shared" si="50"/>
        <v>42</v>
      </c>
      <c r="C499" s="23">
        <f>MAX(Model_30y!V499, Model_15y!V499)</f>
        <v>14507.079086229367</v>
      </c>
      <c r="D499" s="2">
        <f>D487*(1+Assumptions!$D$52)</f>
        <v>-12418.673329048697</v>
      </c>
      <c r="E499" s="2">
        <f>E487+(E487*Assumptions!$D$52)</f>
        <v>-103.6391460697093</v>
      </c>
      <c r="F499" s="22">
        <f t="shared" si="51"/>
        <v>1984.7666111109604</v>
      </c>
      <c r="G499" s="5">
        <f t="shared" si="52"/>
        <v>9215895.2264656648</v>
      </c>
      <c r="H499" s="5">
        <f t="shared" si="53"/>
        <v>1984.7666111109604</v>
      </c>
      <c r="I499" s="3">
        <f>Assumptions!$E$45</f>
        <v>6.9899151946608562E-3</v>
      </c>
      <c r="J499" s="5">
        <f t="shared" si="54"/>
        <v>9282298.3191526495</v>
      </c>
      <c r="K499" s="5">
        <f>J499*Assumptions!$E$43</f>
        <v>8312.9989532784584</v>
      </c>
      <c r="L499" s="5">
        <f>K499*Assumptions!$D$44*-1</f>
        <v>-1246.9498429917687</v>
      </c>
      <c r="M499" s="2">
        <f>J499*Assumptions!$E$46*-1</f>
        <v>-309.35323330829931</v>
      </c>
      <c r="N499" s="5">
        <f t="shared" si="55"/>
        <v>9280742.0160763487</v>
      </c>
      <c r="O499" s="88">
        <f>Assumptions!$D$30</f>
        <v>2756</v>
      </c>
      <c r="P499" s="23">
        <f>(Model_Renter[[#This Row],[Monthly Investment]]*-1)+Model_Renter[[#This Row],[Less Renter''s Insurance]]</f>
        <v>-2088.4057571806698</v>
      </c>
    </row>
    <row r="500" spans="1:16" x14ac:dyDescent="0.25">
      <c r="A500" s="17">
        <f t="shared" si="56"/>
        <v>498</v>
      </c>
      <c r="B500" s="17">
        <f t="shared" si="50"/>
        <v>42</v>
      </c>
      <c r="C500" s="23">
        <f>MAX(Model_30y!V500, Model_15y!V500)</f>
        <v>14544.820407899939</v>
      </c>
      <c r="D500" s="2">
        <f>D488*(1+Assumptions!$D$52)</f>
        <v>-12418.673329048697</v>
      </c>
      <c r="E500" s="2">
        <f>E488+(E488*Assumptions!$D$52)</f>
        <v>-103.6391460697093</v>
      </c>
      <c r="F500" s="22">
        <f t="shared" si="51"/>
        <v>2022.5079327815322</v>
      </c>
      <c r="G500" s="5">
        <f t="shared" si="52"/>
        <v>9280742.0160763487</v>
      </c>
      <c r="H500" s="5">
        <f t="shared" si="53"/>
        <v>2022.5079327815322</v>
      </c>
      <c r="I500" s="3">
        <f>Assumptions!$E$45</f>
        <v>6.9899151946608562E-3</v>
      </c>
      <c r="J500" s="5">
        <f t="shared" si="54"/>
        <v>9347636.12364503</v>
      </c>
      <c r="K500" s="5">
        <f>J500*Assumptions!$E$43</f>
        <v>8371.5138901701084</v>
      </c>
      <c r="L500" s="5">
        <f>K500*Assumptions!$D$44*-1</f>
        <v>-1255.7270835255163</v>
      </c>
      <c r="M500" s="2">
        <f>J500*Assumptions!$E$46*-1</f>
        <v>-311.53076094014432</v>
      </c>
      <c r="N500" s="5">
        <f t="shared" si="55"/>
        <v>9346068.8658005651</v>
      </c>
      <c r="O500" s="88">
        <f>Assumptions!$D$30</f>
        <v>2756</v>
      </c>
      <c r="P500" s="23">
        <f>(Model_Renter[[#This Row],[Monthly Investment]]*-1)+Model_Renter[[#This Row],[Less Renter''s Insurance]]</f>
        <v>-2126.1470788512415</v>
      </c>
    </row>
    <row r="501" spans="1:16" x14ac:dyDescent="0.25">
      <c r="A501" s="17">
        <f t="shared" si="56"/>
        <v>499</v>
      </c>
      <c r="B501" s="17">
        <f t="shared" si="50"/>
        <v>42</v>
      </c>
      <c r="C501" s="23">
        <f>MAX(Model_30y!V501, Model_15y!V501)</f>
        <v>14582.715492386751</v>
      </c>
      <c r="D501" s="2">
        <f>D489*(1+Assumptions!$D$52)</f>
        <v>-12418.673329048697</v>
      </c>
      <c r="E501" s="2">
        <f>E489+(E489*Assumptions!$D$52)</f>
        <v>-103.6391460697093</v>
      </c>
      <c r="F501" s="22">
        <f t="shared" si="51"/>
        <v>2060.4030172683447</v>
      </c>
      <c r="G501" s="5">
        <f t="shared" si="52"/>
        <v>9346068.8658005651</v>
      </c>
      <c r="H501" s="5">
        <f t="shared" si="53"/>
        <v>2060.4030172683447</v>
      </c>
      <c r="I501" s="3">
        <f>Assumptions!$E$45</f>
        <v>6.9899151946608562E-3</v>
      </c>
      <c r="J501" s="5">
        <f t="shared" si="54"/>
        <v>9413457.4975932389</v>
      </c>
      <c r="K501" s="5">
        <f>J501*Assumptions!$E$43</f>
        <v>8430.4619000186813</v>
      </c>
      <c r="L501" s="5">
        <f>K501*Assumptions!$D$44*-1</f>
        <v>-1264.5692850028022</v>
      </c>
      <c r="M501" s="2">
        <f>J501*Assumptions!$E$46*-1</f>
        <v>-313.72440459945864</v>
      </c>
      <c r="N501" s="5">
        <f t="shared" si="55"/>
        <v>9411879.203903636</v>
      </c>
      <c r="O501" s="88">
        <f>Assumptions!$D$30</f>
        <v>2756</v>
      </c>
      <c r="P501" s="23">
        <f>(Model_Renter[[#This Row],[Monthly Investment]]*-1)+Model_Renter[[#This Row],[Less Renter''s Insurance]]</f>
        <v>-2164.0421633380538</v>
      </c>
    </row>
    <row r="502" spans="1:16" x14ac:dyDescent="0.25">
      <c r="A502" s="17">
        <f t="shared" si="56"/>
        <v>500</v>
      </c>
      <c r="B502" s="17">
        <f t="shared" si="50"/>
        <v>42</v>
      </c>
      <c r="C502" s="23">
        <f>MAX(Model_30y!V502, Model_15y!V502)</f>
        <v>14620.764966138557</v>
      </c>
      <c r="D502" s="2">
        <f>D490*(1+Assumptions!$D$52)</f>
        <v>-12418.673329048697</v>
      </c>
      <c r="E502" s="2">
        <f>E490+(E490*Assumptions!$D$52)</f>
        <v>-103.6391460697093</v>
      </c>
      <c r="F502" s="22">
        <f t="shared" si="51"/>
        <v>2098.4524910201503</v>
      </c>
      <c r="G502" s="5">
        <f t="shared" si="52"/>
        <v>9411879.203903636</v>
      </c>
      <c r="H502" s="5">
        <f t="shared" si="53"/>
        <v>2098.4524910201503</v>
      </c>
      <c r="I502" s="3">
        <f>Assumptions!$E$45</f>
        <v>6.9899151946608562E-3</v>
      </c>
      <c r="J502" s="5">
        <f t="shared" si="54"/>
        <v>9479765.8938523345</v>
      </c>
      <c r="K502" s="5">
        <f>J502*Assumptions!$E$43</f>
        <v>8489.8460751165749</v>
      </c>
      <c r="L502" s="5">
        <f>K502*Assumptions!$D$44*-1</f>
        <v>-1273.4769112674862</v>
      </c>
      <c r="M502" s="2">
        <f>J502*Assumptions!$E$46*-1</f>
        <v>-315.93427936031549</v>
      </c>
      <c r="N502" s="5">
        <f t="shared" si="55"/>
        <v>9478176.4826617073</v>
      </c>
      <c r="O502" s="88">
        <f>Assumptions!$D$30</f>
        <v>2756</v>
      </c>
      <c r="P502" s="23">
        <f>(Model_Renter[[#This Row],[Monthly Investment]]*-1)+Model_Renter[[#This Row],[Less Renter''s Insurance]]</f>
        <v>-2202.0916370898594</v>
      </c>
    </row>
    <row r="503" spans="1:16" x14ac:dyDescent="0.25">
      <c r="A503" s="17">
        <f t="shared" si="56"/>
        <v>501</v>
      </c>
      <c r="B503" s="17">
        <f t="shared" si="50"/>
        <v>42</v>
      </c>
      <c r="C503" s="23">
        <f>MAX(Model_30y!V503, Model_15y!V503)</f>
        <v>14658.969458156329</v>
      </c>
      <c r="D503" s="2">
        <f>D491*(1+Assumptions!$D$52)</f>
        <v>-12418.673329048697</v>
      </c>
      <c r="E503" s="2">
        <f>E491+(E491*Assumptions!$D$52)</f>
        <v>-103.6391460697093</v>
      </c>
      <c r="F503" s="22">
        <f t="shared" si="51"/>
        <v>2136.6569830379226</v>
      </c>
      <c r="G503" s="5">
        <f t="shared" si="52"/>
        <v>9478176.4826617073</v>
      </c>
      <c r="H503" s="5">
        <f t="shared" si="53"/>
        <v>2136.6569830379226</v>
      </c>
      <c r="I503" s="3">
        <f>Assumptions!$E$45</f>
        <v>6.9899151946608562E-3</v>
      </c>
      <c r="J503" s="5">
        <f t="shared" si="54"/>
        <v>9546564.7894585803</v>
      </c>
      <c r="K503" s="5">
        <f>J503*Assumptions!$E$43</f>
        <v>8549.6695294122746</v>
      </c>
      <c r="L503" s="5">
        <f>K503*Assumptions!$D$44*-1</f>
        <v>-1282.4504294118412</v>
      </c>
      <c r="M503" s="2">
        <f>J503*Assumptions!$E$46*-1</f>
        <v>-318.16050110268048</v>
      </c>
      <c r="N503" s="5">
        <f t="shared" si="55"/>
        <v>9544964.1785280667</v>
      </c>
      <c r="O503" s="88">
        <f>Assumptions!$D$30</f>
        <v>2756</v>
      </c>
      <c r="P503" s="23">
        <f>(Model_Renter[[#This Row],[Monthly Investment]]*-1)+Model_Renter[[#This Row],[Less Renter''s Insurance]]</f>
        <v>-2240.2961291076317</v>
      </c>
    </row>
    <row r="504" spans="1:16" x14ac:dyDescent="0.25">
      <c r="A504" s="17">
        <f t="shared" si="56"/>
        <v>502</v>
      </c>
      <c r="B504" s="17">
        <f t="shared" si="50"/>
        <v>42</v>
      </c>
      <c r="C504" s="23">
        <f>MAX(Model_30y!V504, Model_15y!V504)</f>
        <v>14697.329600003673</v>
      </c>
      <c r="D504" s="2">
        <f>D492*(1+Assumptions!$D$52)</f>
        <v>-12418.673329048697</v>
      </c>
      <c r="E504" s="2">
        <f>E492+(E492*Assumptions!$D$52)</f>
        <v>-103.6391460697093</v>
      </c>
      <c r="F504" s="22">
        <f t="shared" si="51"/>
        <v>2175.0171248852671</v>
      </c>
      <c r="G504" s="5">
        <f t="shared" si="52"/>
        <v>9544964.1785280667</v>
      </c>
      <c r="H504" s="5">
        <f t="shared" si="53"/>
        <v>2175.0171248852671</v>
      </c>
      <c r="I504" s="3">
        <f>Assumptions!$E$45</f>
        <v>6.9899151946608562E-3</v>
      </c>
      <c r="J504" s="5">
        <f t="shared" si="54"/>
        <v>9613857.6857969388</v>
      </c>
      <c r="K504" s="5">
        <f>J504*Assumptions!$E$43</f>
        <v>8609.9353986603674</v>
      </c>
      <c r="L504" s="5">
        <f>K504*Assumptions!$D$44*-1</f>
        <v>-1291.490309799055</v>
      </c>
      <c r="M504" s="2">
        <f>J504*Assumptions!$E$46*-1</f>
        <v>-320.40318651799384</v>
      </c>
      <c r="N504" s="5">
        <f t="shared" si="55"/>
        <v>9612245.792300621</v>
      </c>
      <c r="O504" s="88">
        <f>Assumptions!$D$30</f>
        <v>2756</v>
      </c>
      <c r="P504" s="23">
        <f>(Model_Renter[[#This Row],[Monthly Investment]]*-1)+Model_Renter[[#This Row],[Less Renter''s Insurance]]</f>
        <v>-2278.6562709549762</v>
      </c>
    </row>
    <row r="505" spans="1:16" x14ac:dyDescent="0.25">
      <c r="A505" s="17">
        <f t="shared" si="56"/>
        <v>503</v>
      </c>
      <c r="B505" s="17">
        <f t="shared" si="50"/>
        <v>42</v>
      </c>
      <c r="C505" s="23">
        <f>MAX(Model_30y!V505, Model_15y!V505)</f>
        <v>14735.846025817262</v>
      </c>
      <c r="D505" s="2">
        <f>D493*(1+Assumptions!$D$52)</f>
        <v>-12418.673329048697</v>
      </c>
      <c r="E505" s="2">
        <f>E493+(E493*Assumptions!$D$52)</f>
        <v>-103.6391460697093</v>
      </c>
      <c r="F505" s="22">
        <f t="shared" si="51"/>
        <v>2213.5335506988554</v>
      </c>
      <c r="G505" s="5">
        <f t="shared" si="52"/>
        <v>9612245.792300621</v>
      </c>
      <c r="H505" s="5">
        <f t="shared" si="53"/>
        <v>2213.5335506988554</v>
      </c>
      <c r="I505" s="3">
        <f>Assumptions!$E$45</f>
        <v>6.9899151946608562E-3</v>
      </c>
      <c r="J505" s="5">
        <f t="shared" si="54"/>
        <v>9681648.1087697372</v>
      </c>
      <c r="K505" s="5">
        <f>J505*Assumptions!$E$43</f>
        <v>8670.6468405725918</v>
      </c>
      <c r="L505" s="5">
        <f>K505*Assumptions!$D$44*-1</f>
        <v>-1300.5970260858887</v>
      </c>
      <c r="M505" s="2">
        <f>J505*Assumptions!$E$46*-1</f>
        <v>-322.66245311479145</v>
      </c>
      <c r="N505" s="5">
        <f t="shared" si="55"/>
        <v>9680024.8492905367</v>
      </c>
      <c r="O505" s="88">
        <f>Assumptions!$D$30</f>
        <v>2756</v>
      </c>
      <c r="P505" s="23">
        <f>(Model_Renter[[#This Row],[Monthly Investment]]*-1)+Model_Renter[[#This Row],[Less Renter''s Insurance]]</f>
        <v>-2317.1726967685645</v>
      </c>
    </row>
    <row r="506" spans="1:16" x14ac:dyDescent="0.25">
      <c r="A506" s="17">
        <f t="shared" si="56"/>
        <v>504</v>
      </c>
      <c r="B506" s="17">
        <f t="shared" si="50"/>
        <v>42</v>
      </c>
      <c r="C506" s="23">
        <f>MAX(Model_30y!V506, Model_15y!V506)</f>
        <v>14774.519372317316</v>
      </c>
      <c r="D506" s="2">
        <f>D494*(1+Assumptions!$D$52)</f>
        <v>-12418.673329048697</v>
      </c>
      <c r="E506" s="2">
        <f>E494+(E494*Assumptions!$D$52)</f>
        <v>-103.6391460697093</v>
      </c>
      <c r="F506" s="22">
        <f t="shared" si="51"/>
        <v>2252.2068971989097</v>
      </c>
      <c r="G506" s="5">
        <f t="shared" si="52"/>
        <v>9680024.8492905367</v>
      </c>
      <c r="H506" s="5">
        <f t="shared" si="53"/>
        <v>2252.2068971989097</v>
      </c>
      <c r="I506" s="3">
        <f>Assumptions!$E$45</f>
        <v>6.9899151946608562E-3</v>
      </c>
      <c r="J506" s="5">
        <f t="shared" si="54"/>
        <v>9749939.6089664865</v>
      </c>
      <c r="K506" s="5">
        <f>J506*Assumptions!$E$43</f>
        <v>8731.8070349699228</v>
      </c>
      <c r="L506" s="5">
        <f>K506*Assumptions!$D$44*-1</f>
        <v>-1309.7710552454885</v>
      </c>
      <c r="M506" s="2">
        <f>J506*Assumptions!$E$46*-1</f>
        <v>-324.93841922436457</v>
      </c>
      <c r="N506" s="5">
        <f t="shared" si="55"/>
        <v>9748304.8994920161</v>
      </c>
      <c r="O506" s="88">
        <f>Assumptions!$D$30</f>
        <v>2756</v>
      </c>
      <c r="P506" s="23">
        <f>(Model_Renter[[#This Row],[Monthly Investment]]*-1)+Model_Renter[[#This Row],[Less Renter''s Insurance]]</f>
        <v>-2355.8460432686188</v>
      </c>
    </row>
    <row r="507" spans="1:16" x14ac:dyDescent="0.25">
      <c r="A507" s="17">
        <f t="shared" si="56"/>
        <v>505</v>
      </c>
      <c r="B507" s="17">
        <f t="shared" si="50"/>
        <v>43</v>
      </c>
      <c r="C507" s="23">
        <f>MAX(Model_30y!V507, Model_15y!V507)</f>
        <v>14933.439286268154</v>
      </c>
      <c r="D507" s="2">
        <f>D495*(1+Assumptions!$D$52)</f>
        <v>-12883.131711555119</v>
      </c>
      <c r="E507" s="2">
        <f>E495+(E495*Assumptions!$D$52)</f>
        <v>-107.51525013271643</v>
      </c>
      <c r="F507" s="22">
        <f t="shared" si="51"/>
        <v>1942.7923245803188</v>
      </c>
      <c r="G507" s="5">
        <f t="shared" si="52"/>
        <v>9748304.8994920161</v>
      </c>
      <c r="H507" s="5">
        <f t="shared" si="53"/>
        <v>1942.7923245803188</v>
      </c>
      <c r="I507" s="3">
        <f>Assumptions!$E$45</f>
        <v>6.9899151946608562E-3</v>
      </c>
      <c r="J507" s="5">
        <f t="shared" si="54"/>
        <v>9818387.5163557418</v>
      </c>
      <c r="K507" s="5">
        <f>J507*Assumptions!$E$43</f>
        <v>8793.1073038167997</v>
      </c>
      <c r="L507" s="5">
        <f>K507*Assumptions!$D$44*-1</f>
        <v>-1318.9660955725199</v>
      </c>
      <c r="M507" s="2">
        <f>J507*Assumptions!$E$46*-1</f>
        <v>-327.21959795144369</v>
      </c>
      <c r="N507" s="5">
        <f t="shared" si="55"/>
        <v>9816741.330662217</v>
      </c>
      <c r="O507" s="88">
        <f>Assumptions!$D$30</f>
        <v>2756</v>
      </c>
      <c r="P507" s="23">
        <f>(Model_Renter[[#This Row],[Monthly Investment]]*-1)+Model_Renter[[#This Row],[Less Renter''s Insurance]]</f>
        <v>-2050.3075747130351</v>
      </c>
    </row>
    <row r="508" spans="1:16" x14ac:dyDescent="0.25">
      <c r="A508" s="17">
        <f t="shared" si="56"/>
        <v>506</v>
      </c>
      <c r="B508" s="17">
        <f t="shared" si="50"/>
        <v>43</v>
      </c>
      <c r="C508" s="23">
        <f>MAX(Model_30y!V508, Model_15y!V508)</f>
        <v>14972.428394688695</v>
      </c>
      <c r="D508" s="2">
        <f>D496*(1+Assumptions!$D$52)</f>
        <v>-12883.131711555119</v>
      </c>
      <c r="E508" s="2">
        <f>E496+(E496*Assumptions!$D$52)</f>
        <v>-107.51525013271643</v>
      </c>
      <c r="F508" s="22">
        <f t="shared" si="51"/>
        <v>1981.7814330008598</v>
      </c>
      <c r="G508" s="5">
        <f t="shared" si="52"/>
        <v>9816741.330662217</v>
      </c>
      <c r="H508" s="5">
        <f t="shared" si="53"/>
        <v>1981.7814330008598</v>
      </c>
      <c r="I508" s="3">
        <f>Assumptions!$E$45</f>
        <v>6.9899151946608562E-3</v>
      </c>
      <c r="J508" s="5">
        <f t="shared" si="54"/>
        <v>9887341.3014844693</v>
      </c>
      <c r="K508" s="5">
        <f>J508*Assumptions!$E$43</f>
        <v>8854.86062437287</v>
      </c>
      <c r="L508" s="5">
        <f>K508*Assumptions!$D$44*-1</f>
        <v>-1328.2290936559305</v>
      </c>
      <c r="M508" s="2">
        <f>J508*Assumptions!$E$46*-1</f>
        <v>-329.51763617915333</v>
      </c>
      <c r="N508" s="5">
        <f t="shared" si="55"/>
        <v>9885683.5547546335</v>
      </c>
      <c r="O508" s="88">
        <f>Assumptions!$D$30</f>
        <v>2756</v>
      </c>
      <c r="P508" s="23">
        <f>(Model_Renter[[#This Row],[Monthly Investment]]*-1)+Model_Renter[[#This Row],[Less Renter''s Insurance]]</f>
        <v>-2089.2966831335762</v>
      </c>
    </row>
    <row r="509" spans="1:16" x14ac:dyDescent="0.25">
      <c r="A509" s="17">
        <f t="shared" si="56"/>
        <v>507</v>
      </c>
      <c r="B509" s="17">
        <f t="shared" si="50"/>
        <v>43</v>
      </c>
      <c r="C509" s="23">
        <f>MAX(Model_30y!V509, Model_15y!V509)</f>
        <v>15011.576349563156</v>
      </c>
      <c r="D509" s="2">
        <f>D497*(1+Assumptions!$D$52)</f>
        <v>-12883.131711555119</v>
      </c>
      <c r="E509" s="2">
        <f>E497+(E497*Assumptions!$D$52)</f>
        <v>-107.51525013271643</v>
      </c>
      <c r="F509" s="22">
        <f t="shared" si="51"/>
        <v>2020.9293878753208</v>
      </c>
      <c r="G509" s="5">
        <f t="shared" si="52"/>
        <v>9885683.5547546335</v>
      </c>
      <c r="H509" s="5">
        <f t="shared" si="53"/>
        <v>2020.9293878753208</v>
      </c>
      <c r="I509" s="3">
        <f>Assumptions!$E$45</f>
        <v>6.9899151946608562E-3</v>
      </c>
      <c r="J509" s="5">
        <f t="shared" si="54"/>
        <v>9956804.5738314968</v>
      </c>
      <c r="K509" s="5">
        <f>J509*Assumptions!$E$43</f>
        <v>8917.0702291989346</v>
      </c>
      <c r="L509" s="5">
        <f>K509*Assumptions!$D$44*-1</f>
        <v>-1337.5605343798402</v>
      </c>
      <c r="M509" s="2">
        <f>J509*Assumptions!$E$46*-1</f>
        <v>-331.83265420140208</v>
      </c>
      <c r="N509" s="5">
        <f t="shared" si="55"/>
        <v>9955135.1806429159</v>
      </c>
      <c r="O509" s="88">
        <f>Assumptions!$D$30</f>
        <v>2756</v>
      </c>
      <c r="P509" s="23">
        <f>(Model_Renter[[#This Row],[Monthly Investment]]*-1)+Model_Renter[[#This Row],[Less Renter''s Insurance]]</f>
        <v>-2128.4446380080371</v>
      </c>
    </row>
    <row r="510" spans="1:16" x14ac:dyDescent="0.25">
      <c r="A510" s="17">
        <f t="shared" si="56"/>
        <v>508</v>
      </c>
      <c r="B510" s="17">
        <f t="shared" si="50"/>
        <v>43</v>
      </c>
      <c r="C510" s="23">
        <f>MAX(Model_30y!V510, Model_15y!V510)</f>
        <v>15050.883798051653</v>
      </c>
      <c r="D510" s="2">
        <f>D498*(1+Assumptions!$D$52)</f>
        <v>-12883.131711555119</v>
      </c>
      <c r="E510" s="2">
        <f>E498+(E498*Assumptions!$D$52)</f>
        <v>-107.51525013271643</v>
      </c>
      <c r="F510" s="22">
        <f t="shared" si="51"/>
        <v>2060.236836363817</v>
      </c>
      <c r="G510" s="5">
        <f t="shared" si="52"/>
        <v>9955135.1806429159</v>
      </c>
      <c r="H510" s="5">
        <f t="shared" si="53"/>
        <v>2060.236836363817</v>
      </c>
      <c r="I510" s="3">
        <f>Assumptions!$E$45</f>
        <v>6.9899151946608562E-3</v>
      </c>
      <c r="J510" s="5">
        <f t="shared" si="54"/>
        <v>10026780.968143359</v>
      </c>
      <c r="K510" s="5">
        <f>J510*Assumptions!$E$43</f>
        <v>8979.7393734849393</v>
      </c>
      <c r="L510" s="5">
        <f>K510*Assumptions!$D$44*-1</f>
        <v>-1346.9609060227408</v>
      </c>
      <c r="M510" s="2">
        <f>J510*Assumptions!$E$46*-1</f>
        <v>-334.16477315420116</v>
      </c>
      <c r="N510" s="5">
        <f t="shared" si="55"/>
        <v>10025099.842464183</v>
      </c>
      <c r="O510" s="88">
        <f>Assumptions!$D$30</f>
        <v>2756</v>
      </c>
      <c r="P510" s="23">
        <f>(Model_Renter[[#This Row],[Monthly Investment]]*-1)+Model_Renter[[#This Row],[Less Renter''s Insurance]]</f>
        <v>-2167.7520864965336</v>
      </c>
    </row>
    <row r="511" spans="1:16" x14ac:dyDescent="0.25">
      <c r="A511" s="17">
        <f t="shared" si="56"/>
        <v>509</v>
      </c>
      <c r="B511" s="17">
        <f t="shared" si="50"/>
        <v>43</v>
      </c>
      <c r="C511" s="23">
        <f>MAX(Model_30y!V511, Model_15y!V511)</f>
        <v>15090.351389950911</v>
      </c>
      <c r="D511" s="2">
        <f>D499*(1+Assumptions!$D$52)</f>
        <v>-12883.131711555119</v>
      </c>
      <c r="E511" s="2">
        <f>E499+(E499*Assumptions!$D$52)</f>
        <v>-107.51525013271643</v>
      </c>
      <c r="F511" s="22">
        <f t="shared" si="51"/>
        <v>2099.704428263075</v>
      </c>
      <c r="G511" s="5">
        <f t="shared" si="52"/>
        <v>10025099.842464183</v>
      </c>
      <c r="H511" s="5">
        <f t="shared" si="53"/>
        <v>2099.704428263075</v>
      </c>
      <c r="I511" s="3">
        <f>Assumptions!$E$45</f>
        <v>6.9899151946608562E-3</v>
      </c>
      <c r="J511" s="5">
        <f t="shared" si="54"/>
        <v>10097274.144609278</v>
      </c>
      <c r="K511" s="5">
        <f>J511*Assumptions!$E$43</f>
        <v>9042.8713352066734</v>
      </c>
      <c r="L511" s="5">
        <f>K511*Assumptions!$D$44*-1</f>
        <v>-1356.430700281001</v>
      </c>
      <c r="M511" s="2">
        <f>J511*Assumptions!$E$46*-1</f>
        <v>-336.51411502149585</v>
      </c>
      <c r="N511" s="5">
        <f t="shared" si="55"/>
        <v>10095581.199793976</v>
      </c>
      <c r="O511" s="88">
        <f>Assumptions!$D$30</f>
        <v>2756</v>
      </c>
      <c r="P511" s="23">
        <f>(Model_Renter[[#This Row],[Monthly Investment]]*-1)+Model_Renter[[#This Row],[Less Renter''s Insurance]]</f>
        <v>-2207.2196783957916</v>
      </c>
    </row>
    <row r="512" spans="1:16" x14ac:dyDescent="0.25">
      <c r="A512" s="17">
        <f t="shared" si="56"/>
        <v>510</v>
      </c>
      <c r="B512" s="17">
        <f t="shared" si="50"/>
        <v>43</v>
      </c>
      <c r="C512" s="23">
        <f>MAX(Model_30y!V512, Model_15y!V512)</f>
        <v>15129.979777705006</v>
      </c>
      <c r="D512" s="2">
        <f>D500*(1+Assumptions!$D$52)</f>
        <v>-12883.131711555119</v>
      </c>
      <c r="E512" s="2">
        <f>E500+(E500*Assumptions!$D$52)</f>
        <v>-107.51525013271643</v>
      </c>
      <c r="F512" s="22">
        <f t="shared" si="51"/>
        <v>2139.3328160171704</v>
      </c>
      <c r="G512" s="5">
        <f t="shared" si="52"/>
        <v>10095581.199793976</v>
      </c>
      <c r="H512" s="5">
        <f t="shared" si="53"/>
        <v>2139.3328160171704</v>
      </c>
      <c r="I512" s="3">
        <f>Assumptions!$E$45</f>
        <v>6.9899151946608562E-3</v>
      </c>
      <c r="J512" s="5">
        <f t="shared" si="54"/>
        <v>10168287.789037365</v>
      </c>
      <c r="K512" s="5">
        <f>J512*Assumptions!$E$43</f>
        <v>9106.4694152835764</v>
      </c>
      <c r="L512" s="5">
        <f>K512*Assumptions!$D$44*-1</f>
        <v>-1365.9704122925364</v>
      </c>
      <c r="M512" s="2">
        <f>J512*Assumptions!$E$46*-1</f>
        <v>-338.88080264103797</v>
      </c>
      <c r="N512" s="5">
        <f t="shared" si="55"/>
        <v>10166582.937822431</v>
      </c>
      <c r="O512" s="88">
        <f>Assumptions!$D$30</f>
        <v>2756</v>
      </c>
      <c r="P512" s="23">
        <f>(Model_Renter[[#This Row],[Monthly Investment]]*-1)+Model_Renter[[#This Row],[Less Renter''s Insurance]]</f>
        <v>-2246.848066149887</v>
      </c>
    </row>
    <row r="513" spans="1:16" x14ac:dyDescent="0.25">
      <c r="A513" s="17">
        <f t="shared" si="56"/>
        <v>511</v>
      </c>
      <c r="B513" s="17">
        <f t="shared" si="50"/>
        <v>43</v>
      </c>
      <c r="C513" s="23">
        <f>MAX(Model_30y!V513, Model_15y!V513)</f>
        <v>15169.769616416163</v>
      </c>
      <c r="D513" s="2">
        <f>D501*(1+Assumptions!$D$52)</f>
        <v>-12883.131711555119</v>
      </c>
      <c r="E513" s="2">
        <f>E501+(E501*Assumptions!$D$52)</f>
        <v>-107.51525013271643</v>
      </c>
      <c r="F513" s="22">
        <f t="shared" si="51"/>
        <v>2179.1226547283268</v>
      </c>
      <c r="G513" s="5">
        <f t="shared" si="52"/>
        <v>10166582.937822431</v>
      </c>
      <c r="H513" s="5">
        <f t="shared" si="53"/>
        <v>2179.1226547283268</v>
      </c>
      <c r="I513" s="3">
        <f>Assumptions!$E$45</f>
        <v>6.9899151946608562E-3</v>
      </c>
      <c r="J513" s="5">
        <f t="shared" si="54"/>
        <v>10239825.613032024</v>
      </c>
      <c r="K513" s="5">
        <f>J513*Assumptions!$E$43</f>
        <v>9170.5369377376173</v>
      </c>
      <c r="L513" s="5">
        <f>K513*Assumptions!$D$44*-1</f>
        <v>-1375.5805406606426</v>
      </c>
      <c r="M513" s="2">
        <f>J513*Assumptions!$E$46*-1</f>
        <v>-341.26495971029794</v>
      </c>
      <c r="N513" s="5">
        <f t="shared" si="55"/>
        <v>10238108.767531654</v>
      </c>
      <c r="O513" s="88">
        <f>Assumptions!$D$30</f>
        <v>2756</v>
      </c>
      <c r="P513" s="23">
        <f>(Model_Renter[[#This Row],[Monthly Investment]]*-1)+Model_Renter[[#This Row],[Less Renter''s Insurance]]</f>
        <v>-2286.6379048610434</v>
      </c>
    </row>
    <row r="514" spans="1:16" x14ac:dyDescent="0.25">
      <c r="A514" s="17">
        <f t="shared" si="56"/>
        <v>512</v>
      </c>
      <c r="B514" s="17">
        <f t="shared" si="50"/>
        <v>43</v>
      </c>
      <c r="C514" s="23">
        <f>MAX(Model_30y!V514, Model_15y!V514)</f>
        <v>15209.721563855555</v>
      </c>
      <c r="D514" s="2">
        <f>D502*(1+Assumptions!$D$52)</f>
        <v>-12883.131711555119</v>
      </c>
      <c r="E514" s="2">
        <f>E502+(E502*Assumptions!$D$52)</f>
        <v>-107.51525013271643</v>
      </c>
      <c r="F514" s="22">
        <f t="shared" si="51"/>
        <v>2219.0746021677196</v>
      </c>
      <c r="G514" s="5">
        <f t="shared" si="52"/>
        <v>10238108.767531654</v>
      </c>
      <c r="H514" s="5">
        <f t="shared" si="53"/>
        <v>2219.0746021677196</v>
      </c>
      <c r="I514" s="3">
        <f>Assumptions!$E$45</f>
        <v>6.9899151946608562E-3</v>
      </c>
      <c r="J514" s="5">
        <f t="shared" si="54"/>
        <v>10311891.354172582</v>
      </c>
      <c r="K514" s="5">
        <f>J514*Assumptions!$E$43</f>
        <v>9235.0772498532679</v>
      </c>
      <c r="L514" s="5">
        <f>K514*Assumptions!$D$44*-1</f>
        <v>-1385.2615874779901</v>
      </c>
      <c r="M514" s="2">
        <f>J514*Assumptions!$E$46*-1</f>
        <v>-343.66671079241843</v>
      </c>
      <c r="N514" s="5">
        <f t="shared" si="55"/>
        <v>10310162.425874311</v>
      </c>
      <c r="O514" s="88">
        <f>Assumptions!$D$30</f>
        <v>2756</v>
      </c>
      <c r="P514" s="23">
        <f>(Model_Renter[[#This Row],[Monthly Investment]]*-1)+Model_Renter[[#This Row],[Less Renter''s Insurance]]</f>
        <v>-2326.5898523004362</v>
      </c>
    </row>
    <row r="515" spans="1:16" x14ac:dyDescent="0.25">
      <c r="A515" s="17">
        <f t="shared" si="56"/>
        <v>513</v>
      </c>
      <c r="B515" s="17">
        <f t="shared" ref="B515:B542" si="57">ROUNDUP(A515/12, 0)</f>
        <v>43</v>
      </c>
      <c r="C515" s="23">
        <f>MAX(Model_30y!V515, Model_15y!V515)</f>
        <v>15249.836280474216</v>
      </c>
      <c r="D515" s="2">
        <f>D503*(1+Assumptions!$D$52)</f>
        <v>-12883.131711555119</v>
      </c>
      <c r="E515" s="2">
        <f>E503+(E503*Assumptions!$D$52)</f>
        <v>-107.51525013271643</v>
      </c>
      <c r="F515" s="22">
        <f t="shared" ref="F515:F542" si="58">SUM(C515:E515)</f>
        <v>2259.1893187863798</v>
      </c>
      <c r="G515" s="5">
        <f t="shared" si="52"/>
        <v>10310162.425874311</v>
      </c>
      <c r="H515" s="5">
        <f t="shared" si="53"/>
        <v>2259.1893187863798</v>
      </c>
      <c r="I515" s="3">
        <f>Assumptions!$E$45</f>
        <v>6.9899151946608562E-3</v>
      </c>
      <c r="J515" s="5">
        <f t="shared" si="54"/>
        <v>10384488.776193138</v>
      </c>
      <c r="K515" s="5">
        <f>J515*Assumptions!$E$43</f>
        <v>9300.0937223385754</v>
      </c>
      <c r="L515" s="5">
        <f>K515*Assumptions!$D$44*-1</f>
        <v>-1395.0140583507862</v>
      </c>
      <c r="M515" s="2">
        <f>J515*Assumptions!$E$46*-1</f>
        <v>-346.08618132220812</v>
      </c>
      <c r="N515" s="5">
        <f t="shared" si="55"/>
        <v>10382747.675953465</v>
      </c>
      <c r="O515" s="88">
        <f>Assumptions!$D$30</f>
        <v>2756</v>
      </c>
      <c r="P515" s="23">
        <f>(Model_Renter[[#This Row],[Monthly Investment]]*-1)+Model_Renter[[#This Row],[Less Renter''s Insurance]]</f>
        <v>-2366.7045689190963</v>
      </c>
    </row>
    <row r="516" spans="1:16" x14ac:dyDescent="0.25">
      <c r="A516" s="17">
        <f t="shared" si="56"/>
        <v>514</v>
      </c>
      <c r="B516" s="17">
        <f t="shared" si="57"/>
        <v>43</v>
      </c>
      <c r="C516" s="23">
        <f>MAX(Model_30y!V516, Model_15y!V516)</f>
        <v>15290.114429413929</v>
      </c>
      <c r="D516" s="2">
        <f>D504*(1+Assumptions!$D$52)</f>
        <v>-12883.131711555119</v>
      </c>
      <c r="E516" s="2">
        <f>E504+(E504*Assumptions!$D$52)</f>
        <v>-107.51525013271643</v>
      </c>
      <c r="F516" s="22">
        <f t="shared" si="58"/>
        <v>2299.4674677260928</v>
      </c>
      <c r="G516" s="5">
        <f t="shared" ref="G516:G542" si="59">N515</f>
        <v>10382747.675953465</v>
      </c>
      <c r="H516" s="5">
        <f t="shared" ref="H516:H542" si="60">F516</f>
        <v>2299.4674677260928</v>
      </c>
      <c r="I516" s="3">
        <f>Assumptions!$E$45</f>
        <v>6.9899151946608562E-3</v>
      </c>
      <c r="J516" s="5">
        <f t="shared" ref="J516:J542" si="61">(G516+H516)+(G516*I516)</f>
        <v>10457621.669163667</v>
      </c>
      <c r="K516" s="5">
        <f>J516*Assumptions!$E$43</f>
        <v>9365.5897494873479</v>
      </c>
      <c r="L516" s="5">
        <f>K516*Assumptions!$D$44*-1</f>
        <v>-1404.8384624231021</v>
      </c>
      <c r="M516" s="2">
        <f>J516*Assumptions!$E$46*-1</f>
        <v>-348.52349761217715</v>
      </c>
      <c r="N516" s="5">
        <f t="shared" ref="N516:N541" si="62">J516+SUM(L516:M516)</f>
        <v>10455868.307203632</v>
      </c>
      <c r="O516" s="88">
        <f>Assumptions!$D$30</f>
        <v>2756</v>
      </c>
      <c r="P516" s="23">
        <f>(Model_Renter[[#This Row],[Monthly Investment]]*-1)+Model_Renter[[#This Row],[Less Renter''s Insurance]]</f>
        <v>-2406.9827178588093</v>
      </c>
    </row>
    <row r="517" spans="1:16" x14ac:dyDescent="0.25">
      <c r="A517" s="17">
        <f t="shared" si="56"/>
        <v>515</v>
      </c>
      <c r="B517" s="17">
        <f t="shared" si="57"/>
        <v>43</v>
      </c>
      <c r="C517" s="23">
        <f>MAX(Model_30y!V517, Model_15y!V517)</f>
        <v>15330.556676518196</v>
      </c>
      <c r="D517" s="2">
        <f>D505*(1+Assumptions!$D$52)</f>
        <v>-12883.131711555119</v>
      </c>
      <c r="E517" s="2">
        <f>E505+(E505*Assumptions!$D$52)</f>
        <v>-107.51525013271643</v>
      </c>
      <c r="F517" s="22">
        <f t="shared" si="58"/>
        <v>2339.9097148303599</v>
      </c>
      <c r="G517" s="5">
        <f t="shared" si="59"/>
        <v>10455868.307203632</v>
      </c>
      <c r="H517" s="5">
        <f t="shared" si="60"/>
        <v>2339.9097148303599</v>
      </c>
      <c r="I517" s="3">
        <f>Assumptions!$E$45</f>
        <v>6.9899151946608562E-3</v>
      </c>
      <c r="J517" s="5">
        <f t="shared" si="61"/>
        <v>10531293.849672358</v>
      </c>
      <c r="K517" s="5">
        <f>J517*Assumptions!$E$43</f>
        <v>9431.5687493424612</v>
      </c>
      <c r="L517" s="5">
        <f>K517*Assumptions!$D$44*-1</f>
        <v>-1414.7353124013691</v>
      </c>
      <c r="M517" s="2">
        <f>J517*Assumptions!$E$46*-1</f>
        <v>-350.97878685861423</v>
      </c>
      <c r="N517" s="5">
        <f t="shared" si="62"/>
        <v>10529528.135573098</v>
      </c>
      <c r="O517" s="88">
        <f>Assumptions!$D$30</f>
        <v>2756</v>
      </c>
      <c r="P517" s="23">
        <f>(Model_Renter[[#This Row],[Monthly Investment]]*-1)+Model_Renter[[#This Row],[Less Renter''s Insurance]]</f>
        <v>-2447.4249649630765</v>
      </c>
    </row>
    <row r="518" spans="1:16" x14ac:dyDescent="0.25">
      <c r="A518" s="17">
        <f t="shared" si="56"/>
        <v>516</v>
      </c>
      <c r="B518" s="17">
        <f t="shared" si="57"/>
        <v>43</v>
      </c>
      <c r="C518" s="23">
        <f>MAX(Model_30y!V518, Model_15y!V518)</f>
        <v>15371.163690343257</v>
      </c>
      <c r="D518" s="2">
        <f>D506*(1+Assumptions!$D$52)</f>
        <v>-12883.131711555119</v>
      </c>
      <c r="E518" s="2">
        <f>E506+(E506*Assumptions!$D$52)</f>
        <v>-107.51525013271643</v>
      </c>
      <c r="F518" s="22">
        <f t="shared" si="58"/>
        <v>2380.5167286554215</v>
      </c>
      <c r="G518" s="5">
        <f t="shared" si="59"/>
        <v>10529528.135573098</v>
      </c>
      <c r="H518" s="5">
        <f t="shared" si="60"/>
        <v>2380.5167286554215</v>
      </c>
      <c r="I518" s="3">
        <f>Assumptions!$E$45</f>
        <v>6.9899151946608562E-3</v>
      </c>
      <c r="J518" s="5">
        <f t="shared" si="61"/>
        <v>10605509.161009204</v>
      </c>
      <c r="K518" s="5">
        <f>J518*Assumptions!$E$43</f>
        <v>9498.0341638602695</v>
      </c>
      <c r="L518" s="5">
        <f>K518*Assumptions!$D$44*-1</f>
        <v>-1424.7051245790403</v>
      </c>
      <c r="M518" s="2">
        <f>J518*Assumptions!$E$46*-1</f>
        <v>-353.45217714770496</v>
      </c>
      <c r="N518" s="5">
        <f t="shared" si="62"/>
        <v>10603731.003707478</v>
      </c>
      <c r="O518" s="88">
        <f>Assumptions!$D$30</f>
        <v>2756</v>
      </c>
      <c r="P518" s="23">
        <f>(Model_Renter[[#This Row],[Monthly Investment]]*-1)+Model_Renter[[#This Row],[Less Renter''s Insurance]]</f>
        <v>-2488.0319787881381</v>
      </c>
    </row>
    <row r="519" spans="1:16" x14ac:dyDescent="0.25">
      <c r="A519" s="17">
        <f t="shared" si="56"/>
        <v>517</v>
      </c>
      <c r="B519" s="17">
        <f t="shared" si="57"/>
        <v>44</v>
      </c>
      <c r="C519" s="23">
        <f>MAX(Model_30y!V519, Model_15y!V519)</f>
        <v>15538.029599991636</v>
      </c>
      <c r="D519" s="2">
        <f>D507*(1+Assumptions!$D$52)</f>
        <v>-13364.960837567281</v>
      </c>
      <c r="E519" s="2">
        <f>E507+(E507*Assumptions!$D$52)</f>
        <v>-111.53632048768003</v>
      </c>
      <c r="F519" s="22">
        <f t="shared" si="58"/>
        <v>2061.5324419366748</v>
      </c>
      <c r="G519" s="5">
        <f t="shared" si="59"/>
        <v>10603731.003707478</v>
      </c>
      <c r="H519" s="5">
        <f t="shared" si="60"/>
        <v>2061.5324419366748</v>
      </c>
      <c r="I519" s="3">
        <f>Assumptions!$E$45</f>
        <v>6.9899151946608562E-3</v>
      </c>
      <c r="J519" s="5">
        <f t="shared" si="61"/>
        <v>10679911.716612326</v>
      </c>
      <c r="K519" s="5">
        <f>J519*Assumptions!$E$43</f>
        <v>9564.6672697553677</v>
      </c>
      <c r="L519" s="5">
        <f>K519*Assumptions!$D$44*-1</f>
        <v>-1434.7000904633051</v>
      </c>
      <c r="M519" s="2">
        <f>J519*Assumptions!$E$46*-1</f>
        <v>-355.93180776836004</v>
      </c>
      <c r="N519" s="5">
        <f t="shared" si="62"/>
        <v>10678121.084714094</v>
      </c>
      <c r="O519" s="88">
        <f>Assumptions!$D$30</f>
        <v>2756</v>
      </c>
      <c r="P519" s="23">
        <f>(Model_Renter[[#This Row],[Monthly Investment]]*-1)+Model_Renter[[#This Row],[Less Renter''s Insurance]]</f>
        <v>-2173.0687624243546</v>
      </c>
    </row>
    <row r="520" spans="1:16" x14ac:dyDescent="0.25">
      <c r="A520" s="17">
        <f t="shared" si="56"/>
        <v>518</v>
      </c>
      <c r="B520" s="17">
        <f t="shared" si="57"/>
        <v>44</v>
      </c>
      <c r="C520" s="23">
        <f>MAX(Model_30y!V520, Model_15y!V520)</f>
        <v>15578.968163833204</v>
      </c>
      <c r="D520" s="2">
        <f>D508*(1+Assumptions!$D$52)</f>
        <v>-13364.960837567281</v>
      </c>
      <c r="E520" s="2">
        <f>E508+(E508*Assumptions!$D$52)</f>
        <v>-111.53632048768003</v>
      </c>
      <c r="F520" s="22">
        <f t="shared" si="58"/>
        <v>2102.4710057782427</v>
      </c>
      <c r="G520" s="5">
        <f t="shared" si="59"/>
        <v>10678121.084714094</v>
      </c>
      <c r="H520" s="5">
        <f t="shared" si="60"/>
        <v>2102.4710057782427</v>
      </c>
      <c r="I520" s="3">
        <f>Assumptions!$E$45</f>
        <v>6.9899151946608562E-3</v>
      </c>
      <c r="J520" s="5">
        <f t="shared" si="61"/>
        <v>10754862.716540344</v>
      </c>
      <c r="K520" s="5">
        <f>J520*Assumptions!$E$43</f>
        <v>9631.7915489506595</v>
      </c>
      <c r="L520" s="5">
        <f>K520*Assumptions!$D$44*-1</f>
        <v>-1444.7687323425989</v>
      </c>
      <c r="M520" s="2">
        <f>J520*Assumptions!$E$46*-1</f>
        <v>-358.4297165157638</v>
      </c>
      <c r="N520" s="5">
        <f t="shared" si="62"/>
        <v>10753059.518091485</v>
      </c>
      <c r="O520" s="88">
        <f>Assumptions!$D$30</f>
        <v>2756</v>
      </c>
      <c r="P520" s="23">
        <f>(Model_Renter[[#This Row],[Monthly Investment]]*-1)+Model_Renter[[#This Row],[Less Renter''s Insurance]]</f>
        <v>-2214.0073262659225</v>
      </c>
    </row>
    <row r="521" spans="1:16" x14ac:dyDescent="0.25">
      <c r="A521" s="17">
        <f t="shared" si="56"/>
        <v>519</v>
      </c>
      <c r="B521" s="17">
        <f t="shared" si="57"/>
        <v>44</v>
      </c>
      <c r="C521" s="23">
        <f>MAX(Model_30y!V521, Model_15y!V521)</f>
        <v>15620.073516451388</v>
      </c>
      <c r="D521" s="2">
        <f>D509*(1+Assumptions!$D$52)</f>
        <v>-13364.960837567281</v>
      </c>
      <c r="E521" s="2">
        <f>E509+(E509*Assumptions!$D$52)</f>
        <v>-111.53632048768003</v>
      </c>
      <c r="F521" s="22">
        <f t="shared" si="58"/>
        <v>2143.5763583964267</v>
      </c>
      <c r="G521" s="5">
        <f t="shared" si="59"/>
        <v>10753059.518091485</v>
      </c>
      <c r="H521" s="5">
        <f t="shared" si="60"/>
        <v>2143.5763583964267</v>
      </c>
      <c r="I521" s="3">
        <f>Assumptions!$E$45</f>
        <v>6.9899151946608562E-3</v>
      </c>
      <c r="J521" s="5">
        <f t="shared" si="61"/>
        <v>10830366.068564482</v>
      </c>
      <c r="K521" s="5">
        <f>J521*Assumptions!$E$43</f>
        <v>9699.4105011503107</v>
      </c>
      <c r="L521" s="5">
        <f>K521*Assumptions!$D$44*-1</f>
        <v>-1454.9115751725465</v>
      </c>
      <c r="M521" s="2">
        <f>J521*Assumptions!$E$46*-1</f>
        <v>-360.94603362508224</v>
      </c>
      <c r="N521" s="5">
        <f t="shared" si="62"/>
        <v>10828550.210955685</v>
      </c>
      <c r="O521" s="88">
        <f>Assumptions!$D$30</f>
        <v>2756</v>
      </c>
      <c r="P521" s="23">
        <f>(Model_Renter[[#This Row],[Monthly Investment]]*-1)+Model_Renter[[#This Row],[Less Renter''s Insurance]]</f>
        <v>-2255.1126788841066</v>
      </c>
    </row>
    <row r="522" spans="1:16" x14ac:dyDescent="0.25">
      <c r="A522" s="17">
        <f t="shared" si="56"/>
        <v>520</v>
      </c>
      <c r="B522" s="17">
        <f t="shared" si="57"/>
        <v>44</v>
      </c>
      <c r="C522" s="23">
        <f>MAX(Model_30y!V522, Model_15y!V522)</f>
        <v>15661.34633736431</v>
      </c>
      <c r="D522" s="2">
        <f>D510*(1+Assumptions!$D$52)</f>
        <v>-13364.960837567281</v>
      </c>
      <c r="E522" s="2">
        <f>E510+(E510*Assumptions!$D$52)</f>
        <v>-111.53632048768003</v>
      </c>
      <c r="F522" s="22">
        <f t="shared" si="58"/>
        <v>2184.8491793093485</v>
      </c>
      <c r="G522" s="5">
        <f t="shared" si="59"/>
        <v>10828550.210955685</v>
      </c>
      <c r="H522" s="5">
        <f t="shared" si="60"/>
        <v>2184.8491793093485</v>
      </c>
      <c r="I522" s="3">
        <f>Assumptions!$E$45</f>
        <v>6.9899151946608562E-3</v>
      </c>
      <c r="J522" s="5">
        <f t="shared" si="61"/>
        <v>10906425.707790701</v>
      </c>
      <c r="K522" s="5">
        <f>J522*Assumptions!$E$43</f>
        <v>9767.5276505388047</v>
      </c>
      <c r="L522" s="5">
        <f>K522*Assumptions!$D$44*-1</f>
        <v>-1465.1291475808207</v>
      </c>
      <c r="M522" s="2">
        <f>J522*Assumptions!$E$46*-1</f>
        <v>-363.48089024247241</v>
      </c>
      <c r="N522" s="5">
        <f t="shared" si="62"/>
        <v>10904597.097752877</v>
      </c>
      <c r="O522" s="88">
        <f>Assumptions!$D$30</f>
        <v>2756</v>
      </c>
      <c r="P522" s="23">
        <f>(Model_Renter[[#This Row],[Monthly Investment]]*-1)+Model_Renter[[#This Row],[Less Renter''s Insurance]]</f>
        <v>-2296.3854997970284</v>
      </c>
    </row>
    <row r="523" spans="1:16" x14ac:dyDescent="0.25">
      <c r="A523" s="17">
        <f t="shared" si="56"/>
        <v>521</v>
      </c>
      <c r="B523" s="17">
        <f t="shared" si="57"/>
        <v>44</v>
      </c>
      <c r="C523" s="23">
        <f>MAX(Model_30y!V523, Model_15y!V523)</f>
        <v>15702.787308858529</v>
      </c>
      <c r="D523" s="2">
        <f>D511*(1+Assumptions!$D$52)</f>
        <v>-13364.960837567281</v>
      </c>
      <c r="E523" s="2">
        <f>E511+(E511*Assumptions!$D$52)</f>
        <v>-111.53632048768003</v>
      </c>
      <c r="F523" s="22">
        <f t="shared" si="58"/>
        <v>2226.2901508035679</v>
      </c>
      <c r="G523" s="5">
        <f t="shared" si="59"/>
        <v>10904597.097752877</v>
      </c>
      <c r="H523" s="5">
        <f t="shared" si="60"/>
        <v>2226.2901508035679</v>
      </c>
      <c r="I523" s="3">
        <f>Assumptions!$E$45</f>
        <v>6.9899151946608562E-3</v>
      </c>
      <c r="J523" s="5">
        <f t="shared" si="61"/>
        <v>10983045.596848918</v>
      </c>
      <c r="K523" s="5">
        <f>J523*Assumptions!$E$43</f>
        <v>9836.1465459504125</v>
      </c>
      <c r="L523" s="5">
        <f>K523*Assumptions!$D$44*-1</f>
        <v>-1475.4219818925619</v>
      </c>
      <c r="M523" s="2">
        <f>J523*Assumptions!$E$46*-1</f>
        <v>-366.0344184313883</v>
      </c>
      <c r="N523" s="5">
        <f t="shared" si="62"/>
        <v>10981204.140448594</v>
      </c>
      <c r="O523" s="88">
        <f>Assumptions!$D$30</f>
        <v>2756</v>
      </c>
      <c r="P523" s="23">
        <f>(Model_Renter[[#This Row],[Monthly Investment]]*-1)+Model_Renter[[#This Row],[Less Renter''s Insurance]]</f>
        <v>-2337.8264712912478</v>
      </c>
    </row>
    <row r="524" spans="1:16" x14ac:dyDescent="0.25">
      <c r="A524" s="17">
        <f t="shared" si="56"/>
        <v>522</v>
      </c>
      <c r="B524" s="17">
        <f t="shared" si="57"/>
        <v>44</v>
      </c>
      <c r="C524" s="23">
        <f>MAX(Model_30y!V524, Model_15y!V524)</f>
        <v>15744.397116000331</v>
      </c>
      <c r="D524" s="2">
        <f>D512*(1+Assumptions!$D$52)</f>
        <v>-13364.960837567281</v>
      </c>
      <c r="E524" s="2">
        <f>E512+(E512*Assumptions!$D$52)</f>
        <v>-111.53632048768003</v>
      </c>
      <c r="F524" s="22">
        <f t="shared" si="58"/>
        <v>2267.8999579453698</v>
      </c>
      <c r="G524" s="5">
        <f t="shared" si="59"/>
        <v>10981204.140448594</v>
      </c>
      <c r="H524" s="5">
        <f t="shared" si="60"/>
        <v>2267.8999579453698</v>
      </c>
      <c r="I524" s="3">
        <f>Assumptions!$E$45</f>
        <v>6.9899151946608562E-3</v>
      </c>
      <c r="J524" s="5">
        <f t="shared" si="61"/>
        <v>11060229.726083534</v>
      </c>
      <c r="K524" s="5">
        <f>J524*Assumptions!$E$43</f>
        <v>9905.2707610398102</v>
      </c>
      <c r="L524" s="5">
        <f>K524*Assumptions!$D$44*-1</f>
        <v>-1485.7906141559715</v>
      </c>
      <c r="M524" s="2">
        <f>J524*Assumptions!$E$46*-1</f>
        <v>-368.60675117893066</v>
      </c>
      <c r="N524" s="5">
        <f t="shared" si="62"/>
        <v>11058375.328718198</v>
      </c>
      <c r="O524" s="88">
        <f>Assumptions!$D$30</f>
        <v>2756</v>
      </c>
      <c r="P524" s="23">
        <f>(Model_Renter[[#This Row],[Monthly Investment]]*-1)+Model_Renter[[#This Row],[Less Renter''s Insurance]]</f>
        <v>-2379.4362784330497</v>
      </c>
    </row>
    <row r="525" spans="1:16" x14ac:dyDescent="0.25">
      <c r="A525" s="17">
        <f t="shared" si="56"/>
        <v>523</v>
      </c>
      <c r="B525" s="17">
        <f t="shared" si="57"/>
        <v>44</v>
      </c>
      <c r="C525" s="23">
        <f>MAX(Model_30y!V525, Model_15y!V525)</f>
        <v>15786.176446647043</v>
      </c>
      <c r="D525" s="2">
        <f>D513*(1+Assumptions!$D$52)</f>
        <v>-13364.960837567281</v>
      </c>
      <c r="E525" s="2">
        <f>E513+(E513*Assumptions!$D$52)</f>
        <v>-111.53632048768003</v>
      </c>
      <c r="F525" s="22">
        <f t="shared" si="58"/>
        <v>2309.6792885920818</v>
      </c>
      <c r="G525" s="5">
        <f t="shared" si="59"/>
        <v>11058375.328718198</v>
      </c>
      <c r="H525" s="5">
        <f t="shared" si="60"/>
        <v>2309.6792885920818</v>
      </c>
      <c r="I525" s="3">
        <f>Assumptions!$E$45</f>
        <v>6.9899151946608562E-3</v>
      </c>
      <c r="J525" s="5">
        <f t="shared" si="61"/>
        <v>11137982.113745261</v>
      </c>
      <c r="K525" s="5">
        <f>J525*Assumptions!$E$43</f>
        <v>9974.9038944538897</v>
      </c>
      <c r="L525" s="5">
        <f>K525*Assumptions!$D$44*-1</f>
        <v>-1496.2355841680835</v>
      </c>
      <c r="M525" s="2">
        <f>J525*Assumptions!$E$46*-1</f>
        <v>-371.19802240224033</v>
      </c>
      <c r="N525" s="5">
        <f t="shared" si="62"/>
        <v>11136114.68013869</v>
      </c>
      <c r="O525" s="88">
        <f>Assumptions!$D$30</f>
        <v>2756</v>
      </c>
      <c r="P525" s="23">
        <f>(Model_Renter[[#This Row],[Monthly Investment]]*-1)+Model_Renter[[#This Row],[Less Renter''s Insurance]]</f>
        <v>-2421.2156090797616</v>
      </c>
    </row>
    <row r="526" spans="1:16" x14ac:dyDescent="0.25">
      <c r="A526" s="17">
        <f t="shared" si="56"/>
        <v>524</v>
      </c>
      <c r="B526" s="17">
        <f t="shared" si="57"/>
        <v>44</v>
      </c>
      <c r="C526" s="23">
        <f>MAX(Model_30y!V526, Model_15y!V526)</f>
        <v>15828.125991458408</v>
      </c>
      <c r="D526" s="2">
        <f>D514*(1+Assumptions!$D$52)</f>
        <v>-13364.960837567281</v>
      </c>
      <c r="E526" s="2">
        <f>E514+(E514*Assumptions!$D$52)</f>
        <v>-111.53632048768003</v>
      </c>
      <c r="F526" s="22">
        <f t="shared" si="58"/>
        <v>2351.6288334034466</v>
      </c>
      <c r="G526" s="5">
        <f t="shared" si="59"/>
        <v>11136114.68013869</v>
      </c>
      <c r="H526" s="5">
        <f t="shared" si="60"/>
        <v>2351.6288334034466</v>
      </c>
      <c r="I526" s="3">
        <f>Assumptions!$E$45</f>
        <v>6.9899151946608562E-3</v>
      </c>
      <c r="J526" s="5">
        <f t="shared" si="61"/>
        <v>11216306.806184281</v>
      </c>
      <c r="K526" s="5">
        <f>J526*Assumptions!$E$43</f>
        <v>10045.049570004734</v>
      </c>
      <c r="L526" s="5">
        <f>K526*Assumptions!$D$44*-1</f>
        <v>-1506.75743550071</v>
      </c>
      <c r="M526" s="2">
        <f>J526*Assumptions!$E$46*-1</f>
        <v>-373.80836695493514</v>
      </c>
      <c r="N526" s="5">
        <f t="shared" si="62"/>
        <v>11214426.240381826</v>
      </c>
      <c r="O526" s="88">
        <f>Assumptions!$D$30</f>
        <v>2756</v>
      </c>
      <c r="P526" s="23">
        <f>(Model_Renter[[#This Row],[Monthly Investment]]*-1)+Model_Renter[[#This Row],[Less Renter''s Insurance]]</f>
        <v>-2463.1651538911265</v>
      </c>
    </row>
    <row r="527" spans="1:16" x14ac:dyDescent="0.25">
      <c r="A527" s="17">
        <f t="shared" si="56"/>
        <v>525</v>
      </c>
      <c r="B527" s="17">
        <f t="shared" si="57"/>
        <v>44</v>
      </c>
      <c r="C527" s="23">
        <f>MAX(Model_30y!V527, Model_15y!V527)</f>
        <v>15870.246443908001</v>
      </c>
      <c r="D527" s="2">
        <f>D515*(1+Assumptions!$D$52)</f>
        <v>-13364.960837567281</v>
      </c>
      <c r="E527" s="2">
        <f>E515+(E515*Assumptions!$D$52)</f>
        <v>-111.53632048768003</v>
      </c>
      <c r="F527" s="22">
        <f t="shared" si="58"/>
        <v>2393.74928585304</v>
      </c>
      <c r="G527" s="5">
        <f t="shared" si="59"/>
        <v>11214426.240381826</v>
      </c>
      <c r="H527" s="5">
        <f t="shared" si="60"/>
        <v>2393.74928585304</v>
      </c>
      <c r="I527" s="3">
        <f>Assumptions!$E$45</f>
        <v>6.9899151946608562E-3</v>
      </c>
      <c r="J527" s="5">
        <f t="shared" si="61"/>
        <v>11295207.878044726</v>
      </c>
      <c r="K527" s="5">
        <f>J527*Assumptions!$E$43</f>
        <v>10115.711436843798</v>
      </c>
      <c r="L527" s="5">
        <f>K527*Assumptions!$D$44*-1</f>
        <v>-1517.3567155265696</v>
      </c>
      <c r="M527" s="2">
        <f>J527*Assumptions!$E$46*-1</f>
        <v>-376.43792063359217</v>
      </c>
      <c r="N527" s="5">
        <f t="shared" si="62"/>
        <v>11293314.083408566</v>
      </c>
      <c r="O527" s="88">
        <f>Assumptions!$D$30</f>
        <v>2756</v>
      </c>
      <c r="P527" s="23">
        <f>(Model_Renter[[#This Row],[Monthly Investment]]*-1)+Model_Renter[[#This Row],[Less Renter''s Insurance]]</f>
        <v>-2505.2856063407198</v>
      </c>
    </row>
    <row r="528" spans="1:16" x14ac:dyDescent="0.25">
      <c r="A528" s="17">
        <f t="shared" si="56"/>
        <v>526</v>
      </c>
      <c r="B528" s="17">
        <f t="shared" si="57"/>
        <v>44</v>
      </c>
      <c r="C528" s="23">
        <f>MAX(Model_30y!V528, Model_15y!V528)</f>
        <v>15912.538500294699</v>
      </c>
      <c r="D528" s="2">
        <f>D516*(1+Assumptions!$D$52)</f>
        <v>-13364.960837567281</v>
      </c>
      <c r="E528" s="2">
        <f>E516+(E516*Assumptions!$D$52)</f>
        <v>-111.53632048768003</v>
      </c>
      <c r="F528" s="22">
        <f t="shared" si="58"/>
        <v>2436.0413422397373</v>
      </c>
      <c r="G528" s="5">
        <f t="shared" si="59"/>
        <v>11293314.083408566</v>
      </c>
      <c r="H528" s="5">
        <f t="shared" si="60"/>
        <v>2436.0413422397373</v>
      </c>
      <c r="I528" s="3">
        <f>Assumptions!$E$45</f>
        <v>6.9899151946608562E-3</v>
      </c>
      <c r="J528" s="5">
        <f t="shared" si="61"/>
        <v>11374689.432460502</v>
      </c>
      <c r="K528" s="5">
        <f>J528*Assumptions!$E$43</f>
        <v>10186.893169637277</v>
      </c>
      <c r="L528" s="5">
        <f>K528*Assumptions!$D$44*-1</f>
        <v>-1528.0339754455915</v>
      </c>
      <c r="M528" s="2">
        <f>J528*Assumptions!$E$46*-1</f>
        <v>-379.08682018427305</v>
      </c>
      <c r="N528" s="5">
        <f t="shared" si="62"/>
        <v>11372782.311664872</v>
      </c>
      <c r="O528" s="88">
        <f>Assumptions!$D$30</f>
        <v>2756</v>
      </c>
      <c r="P528" s="23">
        <f>(Model_Renter[[#This Row],[Monthly Investment]]*-1)+Model_Renter[[#This Row],[Less Renter''s Insurance]]</f>
        <v>-2547.5776627274172</v>
      </c>
    </row>
    <row r="529" spans="1:19" x14ac:dyDescent="0.25">
      <c r="A529" s="17">
        <f t="shared" si="56"/>
        <v>527</v>
      </c>
      <c r="B529" s="17">
        <f t="shared" si="57"/>
        <v>44</v>
      </c>
      <c r="C529" s="23">
        <f>MAX(Model_30y!V529, Model_15y!V529)</f>
        <v>15955.00285975418</v>
      </c>
      <c r="D529" s="2">
        <f>D517*(1+Assumptions!$D$52)</f>
        <v>-13364.960837567281</v>
      </c>
      <c r="E529" s="2">
        <f>E517+(E517*Assumptions!$D$52)</f>
        <v>-111.53632048768003</v>
      </c>
      <c r="F529" s="22">
        <f t="shared" si="58"/>
        <v>2478.5057016992191</v>
      </c>
      <c r="G529" s="5">
        <f t="shared" si="59"/>
        <v>11372782.311664872</v>
      </c>
      <c r="H529" s="5">
        <f t="shared" si="60"/>
        <v>2478.5057016992191</v>
      </c>
      <c r="I529" s="3">
        <f>Assumptions!$E$45</f>
        <v>6.9899151946608562E-3</v>
      </c>
      <c r="J529" s="5">
        <f t="shared" si="61"/>
        <v>11454755.601252446</v>
      </c>
      <c r="K529" s="5">
        <f>J529*Assumptions!$E$43</f>
        <v>10258.598468742683</v>
      </c>
      <c r="L529" s="5">
        <f>K529*Assumptions!$D$44*-1</f>
        <v>-1538.7897703114024</v>
      </c>
      <c r="M529" s="2">
        <f>J529*Assumptions!$E$46*-1</f>
        <v>-381.75520330909563</v>
      </c>
      <c r="N529" s="5">
        <f t="shared" si="62"/>
        <v>11452835.056278825</v>
      </c>
      <c r="O529" s="88">
        <f>Assumptions!$D$30</f>
        <v>2756</v>
      </c>
      <c r="P529" s="23">
        <f>(Model_Renter[[#This Row],[Monthly Investment]]*-1)+Model_Renter[[#This Row],[Less Renter''s Insurance]]</f>
        <v>-2590.042022186899</v>
      </c>
    </row>
    <row r="530" spans="1:19" x14ac:dyDescent="0.25">
      <c r="A530" s="17">
        <f t="shared" si="56"/>
        <v>528</v>
      </c>
      <c r="B530" s="17">
        <f t="shared" si="57"/>
        <v>44</v>
      </c>
      <c r="C530" s="23">
        <f>MAX(Model_30y!V530, Model_15y!V530)</f>
        <v>15997.640224270493</v>
      </c>
      <c r="D530" s="2">
        <f>D518*(1+Assumptions!$D$52)</f>
        <v>-13364.960837567281</v>
      </c>
      <c r="E530" s="2">
        <f>E518+(E518*Assumptions!$D$52)</f>
        <v>-111.53632048768003</v>
      </c>
      <c r="F530" s="22">
        <f t="shared" si="58"/>
        <v>2521.1430662155321</v>
      </c>
      <c r="G530" s="5">
        <f t="shared" si="59"/>
        <v>11452835.056278825</v>
      </c>
      <c r="H530" s="5">
        <f t="shared" si="60"/>
        <v>2521.1430662155321</v>
      </c>
      <c r="I530" s="3">
        <f>Assumptions!$E$45</f>
        <v>6.9899151946608562E-3</v>
      </c>
      <c r="J530" s="5">
        <f t="shared" si="61"/>
        <v>11535410.545126868</v>
      </c>
      <c r="K530" s="5">
        <f>J530*Assumptions!$E$43</f>
        <v>10330.831060386647</v>
      </c>
      <c r="L530" s="5">
        <f>K530*Assumptions!$D$44*-1</f>
        <v>-1549.624659057997</v>
      </c>
      <c r="M530" s="2">
        <f>J530*Assumptions!$E$46*-1</f>
        <v>-384.44320867285018</v>
      </c>
      <c r="N530" s="5">
        <f t="shared" si="62"/>
        <v>11533476.477259137</v>
      </c>
      <c r="O530" s="88">
        <f>Assumptions!$D$30</f>
        <v>2756</v>
      </c>
      <c r="P530" s="23">
        <f>(Model_Renter[[#This Row],[Monthly Investment]]*-1)+Model_Renter[[#This Row],[Less Renter''s Insurance]]</f>
        <v>-2632.679386703212</v>
      </c>
    </row>
    <row r="531" spans="1:19" x14ac:dyDescent="0.25">
      <c r="A531" s="17">
        <f t="shared" si="56"/>
        <v>529</v>
      </c>
      <c r="B531" s="17">
        <f t="shared" si="57"/>
        <v>45</v>
      </c>
      <c r="C531" s="23">
        <f>MAX(Model_30y!V531, Model_15y!V531)</f>
        <v>16172.849429401291</v>
      </c>
      <c r="D531" s="2">
        <f>D519*(1+Assumptions!$D$52)</f>
        <v>-13864.8103728923</v>
      </c>
      <c r="E531" s="2">
        <f>E519+(E519*Assumptions!$D$52)</f>
        <v>-115.70777887391927</v>
      </c>
      <c r="F531" s="22">
        <f t="shared" si="58"/>
        <v>2192.3312776350717</v>
      </c>
      <c r="G531" s="5">
        <f t="shared" si="59"/>
        <v>11533476.477259137</v>
      </c>
      <c r="H531" s="5">
        <f t="shared" si="60"/>
        <v>2192.3312776350717</v>
      </c>
      <c r="I531" s="3">
        <f>Assumptions!$E$45</f>
        <v>6.9899151946608562E-3</v>
      </c>
      <c r="J531" s="5">
        <f t="shared" si="61"/>
        <v>11616286.83101243</v>
      </c>
      <c r="K531" s="5">
        <f>J531*Assumptions!$E$43</f>
        <v>10403.261880512788</v>
      </c>
      <c r="L531" s="5">
        <f>K531*Assumptions!$D$44*-1</f>
        <v>-1560.489282076918</v>
      </c>
      <c r="M531" s="2">
        <f>J531*Assumptions!$E$46*-1</f>
        <v>-387.13859075134263</v>
      </c>
      <c r="N531" s="5">
        <f t="shared" si="62"/>
        <v>11614339.203139601</v>
      </c>
      <c r="O531" s="88">
        <f>Assumptions!$D$30</f>
        <v>2756</v>
      </c>
      <c r="P531" s="23">
        <f>(Model_Renter[[#This Row],[Monthly Investment]]*-1)+Model_Renter[[#This Row],[Less Renter''s Insurance]]</f>
        <v>-2308.0390565089911</v>
      </c>
      <c r="S531" s="4"/>
    </row>
    <row r="532" spans="1:19" x14ac:dyDescent="0.25">
      <c r="A532" s="17">
        <f t="shared" si="56"/>
        <v>530</v>
      </c>
      <c r="B532" s="17">
        <f t="shared" si="57"/>
        <v>45</v>
      </c>
      <c r="C532" s="23">
        <f>MAX(Model_30y!V532, Model_15y!V532)</f>
        <v>16215.834921434936</v>
      </c>
      <c r="D532" s="2">
        <f>D520*(1+Assumptions!$D$52)</f>
        <v>-13864.8103728923</v>
      </c>
      <c r="E532" s="2">
        <f>E520+(E520*Assumptions!$D$52)</f>
        <v>-115.70777887391927</v>
      </c>
      <c r="F532" s="22">
        <f t="shared" si="58"/>
        <v>2235.3167696687174</v>
      </c>
      <c r="G532" s="5">
        <f t="shared" si="59"/>
        <v>11614339.203139601</v>
      </c>
      <c r="H532" s="5">
        <f t="shared" si="60"/>
        <v>2235.3167696687174</v>
      </c>
      <c r="I532" s="3">
        <f>Assumptions!$E$45</f>
        <v>6.9899151946608562E-3</v>
      </c>
      <c r="J532" s="5">
        <f t="shared" si="61"/>
        <v>11697757.76598124</v>
      </c>
      <c r="K532" s="5">
        <f>J532*Assumptions!$E$43</f>
        <v>10476.22525378866</v>
      </c>
      <c r="L532" s="5">
        <f>K532*Assumptions!$D$44*-1</f>
        <v>-1571.433788068299</v>
      </c>
      <c r="M532" s="2">
        <f>J532*Assumptions!$E$46*-1</f>
        <v>-389.85379083290525</v>
      </c>
      <c r="N532" s="5">
        <f t="shared" si="62"/>
        <v>11695796.478402339</v>
      </c>
      <c r="O532" s="88">
        <f>Assumptions!$D$30</f>
        <v>2756</v>
      </c>
      <c r="P532" s="23">
        <f>(Model_Renter[[#This Row],[Monthly Investment]]*-1)+Model_Renter[[#This Row],[Less Renter''s Insurance]]</f>
        <v>-2351.0245485426367</v>
      </c>
      <c r="S532" s="5"/>
    </row>
    <row r="533" spans="1:19" x14ac:dyDescent="0.25">
      <c r="A533" s="17">
        <f t="shared" si="56"/>
        <v>531</v>
      </c>
      <c r="B533" s="17">
        <f t="shared" si="57"/>
        <v>45</v>
      </c>
      <c r="C533" s="23">
        <f>MAX(Model_30y!V533, Model_15y!V533)</f>
        <v>16258.995541684029</v>
      </c>
      <c r="D533" s="2">
        <f>D521*(1+Assumptions!$D$52)</f>
        <v>-13864.8103728923</v>
      </c>
      <c r="E533" s="2">
        <f>E521+(E521*Assumptions!$D$52)</f>
        <v>-115.70777887391927</v>
      </c>
      <c r="F533" s="22">
        <f t="shared" si="58"/>
        <v>2278.4773899178103</v>
      </c>
      <c r="G533" s="5">
        <f t="shared" si="59"/>
        <v>11695796.478402339</v>
      </c>
      <c r="H533" s="5">
        <f t="shared" si="60"/>
        <v>2278.4773899178103</v>
      </c>
      <c r="I533" s="3">
        <f>Assumptions!$E$45</f>
        <v>6.9899151946608562E-3</v>
      </c>
      <c r="J533" s="5">
        <f t="shared" si="61"/>
        <v>11779827.581310304</v>
      </c>
      <c r="K533" s="5">
        <f>J533*Assumptions!$E$43</f>
        <v>10549.72496964228</v>
      </c>
      <c r="L533" s="5">
        <f>K533*Assumptions!$D$44*-1</f>
        <v>-1582.4587454463419</v>
      </c>
      <c r="M533" s="2">
        <f>J533*Assumptions!$E$46*-1</f>
        <v>-392.58894993425361</v>
      </c>
      <c r="N533" s="5">
        <f t="shared" si="62"/>
        <v>11777852.533614924</v>
      </c>
      <c r="O533" s="88">
        <f>Assumptions!$D$30</f>
        <v>2756</v>
      </c>
      <c r="P533" s="23">
        <f>(Model_Renter[[#This Row],[Monthly Investment]]*-1)+Model_Renter[[#This Row],[Less Renter''s Insurance]]</f>
        <v>-2394.1851687917297</v>
      </c>
    </row>
    <row r="534" spans="1:19" x14ac:dyDescent="0.25">
      <c r="A534" s="17">
        <f t="shared" si="56"/>
        <v>532</v>
      </c>
      <c r="B534" s="17">
        <f t="shared" si="57"/>
        <v>45</v>
      </c>
      <c r="C534" s="23">
        <f>MAX(Model_30y!V534, Model_15y!V534)</f>
        <v>16302.332003642596</v>
      </c>
      <c r="D534" s="2">
        <f>D522*(1+Assumptions!$D$52)</f>
        <v>-13864.8103728923</v>
      </c>
      <c r="E534" s="2">
        <f>E522+(E522*Assumptions!$D$52)</f>
        <v>-115.70777887391927</v>
      </c>
      <c r="F534" s="22">
        <f t="shared" si="58"/>
        <v>2321.8138518763767</v>
      </c>
      <c r="G534" s="5">
        <f t="shared" si="59"/>
        <v>11777852.533614924</v>
      </c>
      <c r="H534" s="5">
        <f t="shared" si="60"/>
        <v>2321.8138518763767</v>
      </c>
      <c r="I534" s="3">
        <f>Assumptions!$E$45</f>
        <v>6.9899151946608562E-3</v>
      </c>
      <c r="J534" s="5">
        <f t="shared" si="61"/>
        <v>11862500.537851989</v>
      </c>
      <c r="K534" s="5">
        <f>J534*Assumptions!$E$43</f>
        <v>10623.764843988638</v>
      </c>
      <c r="L534" s="5">
        <f>K534*Assumptions!$D$44*-1</f>
        <v>-1593.5647265982957</v>
      </c>
      <c r="M534" s="2">
        <f>J534*Assumptions!$E$46*-1</f>
        <v>-395.34421005776807</v>
      </c>
      <c r="N534" s="5">
        <f t="shared" si="62"/>
        <v>11860511.628915334</v>
      </c>
      <c r="O534" s="88">
        <f>Assumptions!$D$30</f>
        <v>2756</v>
      </c>
      <c r="P534" s="23">
        <f>(Model_Renter[[#This Row],[Monthly Investment]]*-1)+Model_Renter[[#This Row],[Less Renter''s Insurance]]</f>
        <v>-2437.521630750296</v>
      </c>
    </row>
    <row r="535" spans="1:19" x14ac:dyDescent="0.25">
      <c r="A535" s="17">
        <f t="shared" si="56"/>
        <v>533</v>
      </c>
      <c r="B535" s="17">
        <f t="shared" si="57"/>
        <v>45</v>
      </c>
      <c r="C535" s="23">
        <f>MAX(Model_30y!V535, Model_15y!V535)</f>
        <v>16345.845023711527</v>
      </c>
      <c r="D535" s="2">
        <f>D523*(1+Assumptions!$D$52)</f>
        <v>-13864.8103728923</v>
      </c>
      <c r="E535" s="2">
        <f>E523+(E523*Assumptions!$D$52)</f>
        <v>-115.70777887391927</v>
      </c>
      <c r="F535" s="22">
        <f t="shared" si="58"/>
        <v>2365.3268719453076</v>
      </c>
      <c r="G535" s="5">
        <f t="shared" si="59"/>
        <v>11860511.628915334</v>
      </c>
      <c r="H535" s="5">
        <f t="shared" si="60"/>
        <v>2365.3268719453076</v>
      </c>
      <c r="I535" s="3">
        <f>Assumptions!$E$45</f>
        <v>6.9899151946608562E-3</v>
      </c>
      <c r="J535" s="5">
        <f t="shared" si="61"/>
        <v>11945780.926238686</v>
      </c>
      <c r="K535" s="5">
        <f>J535*Assumptions!$E$43</f>
        <v>10698.348719412978</v>
      </c>
      <c r="L535" s="5">
        <f>K535*Assumptions!$D$44*-1</f>
        <v>-1604.7523079119467</v>
      </c>
      <c r="M535" s="2">
        <f>J535*Assumptions!$E$46*-1</f>
        <v>-398.11971419831457</v>
      </c>
      <c r="N535" s="5">
        <f t="shared" si="62"/>
        <v>11943778.054216575</v>
      </c>
      <c r="O535" s="88">
        <f>Assumptions!$D$30</f>
        <v>2756</v>
      </c>
      <c r="P535" s="23">
        <f>(Model_Renter[[#This Row],[Monthly Investment]]*-1)+Model_Renter[[#This Row],[Less Renter''s Insurance]]</f>
        <v>-2481.034650819227</v>
      </c>
    </row>
    <row r="536" spans="1:19" x14ac:dyDescent="0.25">
      <c r="A536" s="17">
        <f t="shared" si="56"/>
        <v>534</v>
      </c>
      <c r="B536" s="17">
        <f t="shared" si="57"/>
        <v>45</v>
      </c>
      <c r="C536" s="23">
        <f>MAX(Model_30y!V536, Model_15y!V536)</f>
        <v>16389.53532121042</v>
      </c>
      <c r="D536" s="2">
        <f>D524*(1+Assumptions!$D$52)</f>
        <v>-13864.8103728923</v>
      </c>
      <c r="E536" s="2">
        <f>E524+(E524*Assumptions!$D$52)</f>
        <v>-115.70777887391927</v>
      </c>
      <c r="F536" s="22">
        <f t="shared" si="58"/>
        <v>2409.017169444201</v>
      </c>
      <c r="G536" s="5">
        <f t="shared" si="59"/>
        <v>11943778.054216575</v>
      </c>
      <c r="H536" s="5">
        <f t="shared" si="60"/>
        <v>2409.017169444201</v>
      </c>
      <c r="I536" s="3">
        <f>Assumptions!$E$45</f>
        <v>6.9899151946608562E-3</v>
      </c>
      <c r="J536" s="5">
        <f t="shared" si="61"/>
        <v>12029673.067088844</v>
      </c>
      <c r="K536" s="5">
        <f>J536*Assumptions!$E$43</f>
        <v>10773.480465355324</v>
      </c>
      <c r="L536" s="5">
        <f>K536*Assumptions!$D$44*-1</f>
        <v>-1616.0220698032986</v>
      </c>
      <c r="M536" s="2">
        <f>J536*Assumptions!$E$46*-1</f>
        <v>-400.91560635011092</v>
      </c>
      <c r="N536" s="5">
        <f t="shared" si="62"/>
        <v>12027656.12941269</v>
      </c>
      <c r="O536" s="88">
        <f>Assumptions!$D$30</f>
        <v>2756</v>
      </c>
      <c r="P536" s="23">
        <f>(Model_Renter[[#This Row],[Monthly Investment]]*-1)+Model_Renter[[#This Row],[Less Renter''s Insurance]]</f>
        <v>-2524.7249483181204</v>
      </c>
    </row>
    <row r="537" spans="1:19" x14ac:dyDescent="0.25">
      <c r="A537" s="17">
        <f t="shared" si="56"/>
        <v>535</v>
      </c>
      <c r="B537" s="17">
        <f t="shared" si="57"/>
        <v>45</v>
      </c>
      <c r="C537" s="23">
        <f>MAX(Model_30y!V537, Model_15y!V537)</f>
        <v>16433.403618389468</v>
      </c>
      <c r="D537" s="2">
        <f>D525*(1+Assumptions!$D$52)</f>
        <v>-13864.8103728923</v>
      </c>
      <c r="E537" s="2">
        <f>E525+(E525*Assumptions!$D$52)</f>
        <v>-115.70777887391927</v>
      </c>
      <c r="F537" s="22">
        <f t="shared" si="58"/>
        <v>2452.8854666232487</v>
      </c>
      <c r="G537" s="5">
        <f t="shared" si="59"/>
        <v>12027656.12941269</v>
      </c>
      <c r="H537" s="5">
        <f t="shared" si="60"/>
        <v>2452.8854666232487</v>
      </c>
      <c r="I537" s="3">
        <f>Assumptions!$E$45</f>
        <v>6.9899151946608562E-3</v>
      </c>
      <c r="J537" s="5">
        <f t="shared" si="61"/>
        <v>12114181.311214453</v>
      </c>
      <c r="K537" s="5">
        <f>J537*Assumptions!$E$43</f>
        <v>10849.163978296299</v>
      </c>
      <c r="L537" s="5">
        <f>K537*Assumptions!$D$44*-1</f>
        <v>-1627.3745967444449</v>
      </c>
      <c r="M537" s="2">
        <f>J537*Assumptions!$E$46*-1</f>
        <v>-403.73203151364203</v>
      </c>
      <c r="N537" s="5">
        <f t="shared" si="62"/>
        <v>12112150.204586195</v>
      </c>
      <c r="O537" s="88">
        <f>Assumptions!$D$30</f>
        <v>2756</v>
      </c>
      <c r="P537" s="23">
        <f>(Model_Renter[[#This Row],[Monthly Investment]]*-1)+Model_Renter[[#This Row],[Less Renter''s Insurance]]</f>
        <v>-2568.593245497168</v>
      </c>
    </row>
    <row r="538" spans="1:19" x14ac:dyDescent="0.25">
      <c r="A538" s="17">
        <f t="shared" si="56"/>
        <v>536</v>
      </c>
      <c r="B538" s="17">
        <f t="shared" si="57"/>
        <v>45</v>
      </c>
      <c r="C538" s="23">
        <f>MAX(Model_30y!V538, Model_15y!V538)</f>
        <v>16477.450640441399</v>
      </c>
      <c r="D538" s="2">
        <f>D526*(1+Assumptions!$D$52)</f>
        <v>-13864.8103728923</v>
      </c>
      <c r="E538" s="2">
        <f>E526+(E526*Assumptions!$D$52)</f>
        <v>-115.70777887391927</v>
      </c>
      <c r="F538" s="22">
        <f t="shared" si="58"/>
        <v>2496.9324886751797</v>
      </c>
      <c r="G538" s="5">
        <f t="shared" si="59"/>
        <v>12112150.204586195</v>
      </c>
      <c r="H538" s="5">
        <f t="shared" si="60"/>
        <v>2496.9324886751797</v>
      </c>
      <c r="I538" s="3">
        <f>Assumptions!$E$45</f>
        <v>6.9899151946608562E-3</v>
      </c>
      <c r="J538" s="5">
        <f t="shared" si="61"/>
        <v>12199310.039829921</v>
      </c>
      <c r="K538" s="5">
        <f>J538*Assumptions!$E$43</f>
        <v>10925.403181944186</v>
      </c>
      <c r="L538" s="5">
        <f>K538*Assumptions!$D$44*-1</f>
        <v>-1638.8104772916279</v>
      </c>
      <c r="M538" s="2">
        <f>J538*Assumptions!$E$46*-1</f>
        <v>-406.56913570262094</v>
      </c>
      <c r="N538" s="5">
        <f t="shared" si="62"/>
        <v>12197264.660216928</v>
      </c>
      <c r="O538" s="88">
        <f>Assumptions!$D$30</f>
        <v>2756</v>
      </c>
      <c r="P538" s="23">
        <f>(Model_Renter[[#This Row],[Monthly Investment]]*-1)+Model_Renter[[#This Row],[Less Renter''s Insurance]]</f>
        <v>-2612.640267549099</v>
      </c>
    </row>
    <row r="539" spans="1:19" x14ac:dyDescent="0.25">
      <c r="A539" s="17">
        <f t="shared" si="56"/>
        <v>537</v>
      </c>
      <c r="B539" s="17">
        <f t="shared" si="57"/>
        <v>45</v>
      </c>
      <c r="C539" s="23">
        <f>MAX(Model_30y!V539, Model_15y!V539)</f>
        <v>16521.677115513474</v>
      </c>
      <c r="D539" s="2">
        <f>D527*(1+Assumptions!$D$52)</f>
        <v>-13864.8103728923</v>
      </c>
      <c r="E539" s="2">
        <f>E527+(E527*Assumptions!$D$52)</f>
        <v>-115.70777887391927</v>
      </c>
      <c r="F539" s="22">
        <f t="shared" si="58"/>
        <v>2541.1589637472548</v>
      </c>
      <c r="G539" s="5">
        <f t="shared" si="59"/>
        <v>12197264.660216928</v>
      </c>
      <c r="H539" s="5">
        <f t="shared" si="60"/>
        <v>2541.1589637472548</v>
      </c>
      <c r="I539" s="3">
        <f>Assumptions!$E$45</f>
        <v>6.9899151946608562E-3</v>
      </c>
      <c r="J539" s="5">
        <f t="shared" si="61"/>
        <v>12285063.664762424</v>
      </c>
      <c r="K539" s="5">
        <f>J539*Assumptions!$E$43</f>
        <v>11002.202027423311</v>
      </c>
      <c r="L539" s="5">
        <f>K539*Assumptions!$D$44*-1</f>
        <v>-1650.3303041134966</v>
      </c>
      <c r="M539" s="2">
        <f>J539*Assumptions!$E$46*-1</f>
        <v>-409.42706595099924</v>
      </c>
      <c r="N539" s="5">
        <f t="shared" si="62"/>
        <v>12283003.90739236</v>
      </c>
      <c r="O539" s="88">
        <f>Assumptions!$D$30</f>
        <v>2756</v>
      </c>
      <c r="P539" s="23">
        <f>(Model_Renter[[#This Row],[Monthly Investment]]*-1)+Model_Renter[[#This Row],[Less Renter''s Insurance]]</f>
        <v>-2656.8667426211741</v>
      </c>
    </row>
    <row r="540" spans="1:19" x14ac:dyDescent="0.25">
      <c r="A540" s="17">
        <f t="shared" si="56"/>
        <v>538</v>
      </c>
      <c r="B540" s="17">
        <f t="shared" si="57"/>
        <v>45</v>
      </c>
      <c r="C540" s="23">
        <f>MAX(Model_30y!V540, Model_15y!V540)</f>
        <v>16566.083774719504</v>
      </c>
      <c r="D540" s="2">
        <f>D528*(1+Assumptions!$D$52)</f>
        <v>-13864.8103728923</v>
      </c>
      <c r="E540" s="2">
        <f>E528+(E528*Assumptions!$D$52)</f>
        <v>-115.70777887391927</v>
      </c>
      <c r="F540" s="22">
        <f t="shared" si="58"/>
        <v>2585.5656229532847</v>
      </c>
      <c r="G540" s="5">
        <f t="shared" si="59"/>
        <v>12283003.90739236</v>
      </c>
      <c r="H540" s="5">
        <f t="shared" si="60"/>
        <v>2585.5656229532847</v>
      </c>
      <c r="I540" s="3">
        <f>Assumptions!$E$45</f>
        <v>6.9899151946608562E-3</v>
      </c>
      <c r="J540" s="5">
        <f t="shared" si="61"/>
        <v>12371446.628663674</v>
      </c>
      <c r="K540" s="5">
        <f>J540*Assumptions!$E$43</f>
        <v>11079.564493463697</v>
      </c>
      <c r="L540" s="5">
        <f>K540*Assumptions!$D$44*-1</f>
        <v>-1661.9346740195544</v>
      </c>
      <c r="M540" s="2">
        <f>J540*Assumptions!$E$46*-1</f>
        <v>-412.30597032002464</v>
      </c>
      <c r="N540" s="5">
        <f t="shared" si="62"/>
        <v>12369372.388019335</v>
      </c>
      <c r="O540" s="88">
        <f>Assumptions!$D$30</f>
        <v>2756</v>
      </c>
      <c r="P540" s="23">
        <f>(Model_Renter[[#This Row],[Monthly Investment]]*-1)+Model_Renter[[#This Row],[Less Renter''s Insurance]]</f>
        <v>-2701.273401827204</v>
      </c>
    </row>
    <row r="541" spans="1:19" x14ac:dyDescent="0.25">
      <c r="A541" s="17">
        <f t="shared" si="56"/>
        <v>539</v>
      </c>
      <c r="B541" s="17">
        <f t="shared" si="57"/>
        <v>45</v>
      </c>
      <c r="C541" s="23">
        <f>MAX(Model_30y!V541, Model_15y!V541)</f>
        <v>16610.67135215196</v>
      </c>
      <c r="D541" s="2">
        <f>D529*(1+Assumptions!$D$52)</f>
        <v>-13864.8103728923</v>
      </c>
      <c r="E541" s="2">
        <f>E529+(E529*Assumptions!$D$52)</f>
        <v>-115.70777887391927</v>
      </c>
      <c r="F541" s="22">
        <f t="shared" si="58"/>
        <v>2630.1532003857405</v>
      </c>
      <c r="G541" s="5">
        <f t="shared" si="59"/>
        <v>12369372.388019335</v>
      </c>
      <c r="H541" s="5">
        <f t="shared" si="60"/>
        <v>2630.1532003857405</v>
      </c>
      <c r="I541" s="3">
        <f>Assumptions!$E$45</f>
        <v>6.9899151946608562E-3</v>
      </c>
      <c r="J541" s="5">
        <f t="shared" si="61"/>
        <v>12458463.405223155</v>
      </c>
      <c r="K541" s="5">
        <f>J541*Assumptions!$E$43</f>
        <v>11157.49458659204</v>
      </c>
      <c r="L541" s="5">
        <f>K541*Assumptions!$D$44*-1</f>
        <v>-1673.6241879888059</v>
      </c>
      <c r="M541" s="2">
        <f>J541*Assumptions!$E$46*-1</f>
        <v>-415.20599790534777</v>
      </c>
      <c r="N541" s="5">
        <f t="shared" si="62"/>
        <v>12456374.575037261</v>
      </c>
      <c r="O541" s="88">
        <f>Assumptions!$D$30</f>
        <v>2756</v>
      </c>
      <c r="P541" s="23">
        <f>(Model_Renter[[#This Row],[Monthly Investment]]*-1)+Model_Renter[[#This Row],[Less Renter''s Insurance]]</f>
        <v>-2745.8609792596599</v>
      </c>
    </row>
    <row r="542" spans="1:19" x14ac:dyDescent="0.25">
      <c r="A542" s="17">
        <f t="shared" ref="A542" si="63">A541+1</f>
        <v>540</v>
      </c>
      <c r="B542" s="17">
        <f t="shared" si="57"/>
        <v>45</v>
      </c>
      <c r="C542" s="23">
        <f>MAX(Model_30y!V542, Model_15y!V542)</f>
        <v>16655.440584894088</v>
      </c>
      <c r="D542" s="2">
        <f>D530*(1+Assumptions!$D$52)</f>
        <v>-13864.8103728923</v>
      </c>
      <c r="E542" s="2">
        <f>E530+(E530*Assumptions!$D$52)</f>
        <v>-115.70777887391927</v>
      </c>
      <c r="F542" s="22">
        <f t="shared" si="58"/>
        <v>2674.9224331278688</v>
      </c>
      <c r="G542" s="5">
        <f t="shared" si="59"/>
        <v>12456374.575037261</v>
      </c>
      <c r="H542" s="5">
        <f t="shared" si="60"/>
        <v>2674.9224331278688</v>
      </c>
      <c r="I542" s="3">
        <f>Assumptions!$E$45</f>
        <v>6.9899151946608562E-3</v>
      </c>
      <c r="J542" s="5">
        <f t="shared" si="61"/>
        <v>12546118.499382829</v>
      </c>
      <c r="K542" s="5">
        <f>J542*Assumptions!$E$43</f>
        <v>11235.996341323988</v>
      </c>
      <c r="L542" s="5">
        <f>K542*Assumptions!$D$44*-1</f>
        <v>-1685.3994511985982</v>
      </c>
      <c r="M542" s="2">
        <f>J542*Assumptions!$E$46*-1</f>
        <v>-418.12729884417752</v>
      </c>
      <c r="N542" s="5">
        <f>J542+SUM(L542:M542)</f>
        <v>12544014.972632786</v>
      </c>
      <c r="O542" s="88">
        <f>Assumptions!$D$30</f>
        <v>2756</v>
      </c>
      <c r="P542" s="23">
        <f>(Model_Renter[[#This Row],[Monthly Investment]]*-1)+Model_Renter[[#This Row],[Less Renter''s Insurance]]</f>
        <v>-2790.6302120017881</v>
      </c>
    </row>
  </sheetData>
  <sheetProtection algorithmName="SHA-512" hashValue="LXdQufncAW5baK9hXfIxD19GsOifvYuTNUFoyS/V4jPfNTUIn9LChJhCFRWmh/yzKbSTqhORlgjmWg0agzUjkQ==" saltValue="6nTOThb/oDcX6sCjw+4GUg==" spinCount="100000" sheet="1" objects="1" scenarios="1"/>
  <pageMargins left="0.7" right="0.7" top="0.75" bottom="0.75" header="0.3" footer="0.3"/>
  <pageSetup orientation="portrait" r:id="rId1"/>
  <ignoredErrors>
    <ignoredError sqref="F2:K2 M2:N2" calculatedColumn="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B88A-7AFC-4FEC-A758-A0D9047E727A}">
  <sheetPr>
    <tabColor rgb="FFFF0000"/>
  </sheetPr>
  <dimension ref="A69:E71"/>
  <sheetViews>
    <sheetView showGridLines="0" showRowColHeaders="0" workbookViewId="0">
      <selection activeCell="U122" sqref="U122"/>
      <extLst>
        <ext xmlns:xlsdti="http://schemas.microsoft.com/office/spreadsheetml/2023/showDataTypeIcons" uri="{77bfe23e-c014-4d31-8a63-9c772dbf06b6}">
          <xlsdti:showDataTypeIcons visible="0"/>
        </ext>
      </extLst>
    </sheetView>
  </sheetViews>
  <sheetFormatPr defaultRowHeight="15" x14ac:dyDescent="0.25"/>
  <sheetData>
    <row r="69" spans="1:5" x14ac:dyDescent="0.25">
      <c r="A69" s="195"/>
    </row>
    <row r="70" spans="1:5" x14ac:dyDescent="0.25">
      <c r="C70" s="194"/>
      <c r="D70" s="194"/>
      <c r="E70" s="194"/>
    </row>
    <row r="71" spans="1:5" x14ac:dyDescent="0.25">
      <c r="A71" s="193"/>
      <c r="C71" s="192"/>
      <c r="D71" s="192"/>
      <c r="E71" s="192"/>
    </row>
  </sheetData>
  <sheetProtection algorithmName="SHA-512" hashValue="gd52Wzxb43SdKw+ECetciA+LB4YRcyDEenJ6kTuTt6eHBZXZtkFwQ6otbPtrYPGuQiktPrECEAaEm7g5gyfDoQ==" saltValue="GpA0eY19NJUE3ODwxhpH5Q=="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BE46E-8931-4DF8-8C3A-5D58A6F482DF}">
  <sheetPr>
    <tabColor rgb="FFC00000"/>
  </sheetPr>
  <dimension ref="A1:J542"/>
  <sheetViews>
    <sheetView workbookViewId="0">
      <selection sqref="A1:E2"/>
    </sheetView>
  </sheetViews>
  <sheetFormatPr defaultRowHeight="15" x14ac:dyDescent="0.25"/>
  <cols>
    <col min="1" max="5" width="14.28515625" customWidth="1"/>
  </cols>
  <sheetData>
    <row r="1" spans="1:10" ht="30" x14ac:dyDescent="0.25">
      <c r="A1" s="21" t="s">
        <v>15</v>
      </c>
      <c r="B1" s="21" t="s">
        <v>0</v>
      </c>
      <c r="C1" s="18" t="s">
        <v>32</v>
      </c>
      <c r="D1" s="18" t="s">
        <v>30</v>
      </c>
      <c r="E1" s="18" t="s">
        <v>31</v>
      </c>
      <c r="F1" s="18" t="s">
        <v>37</v>
      </c>
    </row>
    <row r="2" spans="1:10" x14ac:dyDescent="0.25">
      <c r="A2" s="31">
        <v>0</v>
      </c>
      <c r="B2" s="33">
        <f>A2/12</f>
        <v>0</v>
      </c>
      <c r="C2" s="5">
        <f>Model_30y!V2</f>
        <v>0</v>
      </c>
      <c r="D2" s="5">
        <f>Model_15y!V2</f>
        <v>0</v>
      </c>
      <c r="E2" s="2">
        <f>Model_Renter!C2</f>
        <v>0</v>
      </c>
      <c r="F2" s="24">
        <f>IF(AND(C2-D2&lt;1, C2-E2&lt;1), 1, 0)</f>
        <v>1</v>
      </c>
      <c r="I2" s="24"/>
      <c r="J2" s="24"/>
    </row>
    <row r="3" spans="1:10" x14ac:dyDescent="0.25">
      <c r="A3" s="31">
        <f>A2+1</f>
        <v>1</v>
      </c>
      <c r="B3" s="33">
        <f>ROUNDUP(A3/12, 0)</f>
        <v>1</v>
      </c>
      <c r="C3" s="5">
        <f>Model_30y!V3</f>
        <v>4399.5367510275046</v>
      </c>
      <c r="D3" s="5">
        <f>Model_15y!V3</f>
        <v>4399.5367510275046</v>
      </c>
      <c r="E3" s="2">
        <f>Model_Renter!C3</f>
        <v>4399.5367510275046</v>
      </c>
      <c r="F3" s="24">
        <f>IF(AND(C3-D3&lt;1, C3-E3&lt;1), 1, 0)</f>
        <v>1</v>
      </c>
      <c r="I3" s="5"/>
    </row>
    <row r="4" spans="1:10" x14ac:dyDescent="0.25">
      <c r="A4" s="31">
        <f t="shared" ref="A4:A67" si="0">A3+1</f>
        <v>2</v>
      </c>
      <c r="B4" s="33">
        <f t="shared" ref="B4:B67" si="1">ROUNDUP(A4/12, 0)</f>
        <v>1</v>
      </c>
      <c r="C4" s="5">
        <f>Model_30y!V4</f>
        <v>4404.5600929847615</v>
      </c>
      <c r="D4" s="5">
        <f>Model_15y!V4</f>
        <v>4404.5600929847615</v>
      </c>
      <c r="E4" s="2">
        <f>Model_Renter!C4</f>
        <v>4404.5600929847615</v>
      </c>
      <c r="F4" s="24">
        <f t="shared" ref="F4:F66" si="2">IF(AND(C4-D4&lt;1, C4-E4&lt;1), 1, 0)</f>
        <v>1</v>
      </c>
    </row>
    <row r="5" spans="1:10" x14ac:dyDescent="0.25">
      <c r="A5" s="31">
        <f t="shared" si="0"/>
        <v>3</v>
      </c>
      <c r="B5" s="33">
        <f t="shared" si="1"/>
        <v>1</v>
      </c>
      <c r="C5" s="5">
        <f>Model_30y!V5</f>
        <v>4409.603900658959</v>
      </c>
      <c r="D5" s="5">
        <f>Model_15y!V5</f>
        <v>4409.603900658959</v>
      </c>
      <c r="E5" s="2">
        <f>Model_Renter!C5</f>
        <v>4409.603900658959</v>
      </c>
      <c r="F5" s="24">
        <f t="shared" si="2"/>
        <v>1</v>
      </c>
      <c r="I5" s="62"/>
    </row>
    <row r="6" spans="1:10" x14ac:dyDescent="0.25">
      <c r="A6" s="31">
        <f t="shared" si="0"/>
        <v>4</v>
      </c>
      <c r="B6" s="33">
        <f t="shared" si="1"/>
        <v>1</v>
      </c>
      <c r="C6" s="5">
        <f>Model_30y!V6</f>
        <v>4414.6682574299621</v>
      </c>
      <c r="D6" s="5">
        <f>Model_15y!V6</f>
        <v>4414.6682574299621</v>
      </c>
      <c r="E6" s="2">
        <f>Model_Renter!C6</f>
        <v>4414.6682574299621</v>
      </c>
      <c r="F6" s="24">
        <f t="shared" si="2"/>
        <v>1</v>
      </c>
    </row>
    <row r="7" spans="1:10" x14ac:dyDescent="0.25">
      <c r="A7" s="31">
        <f t="shared" si="0"/>
        <v>5</v>
      </c>
      <c r="B7" s="33">
        <f t="shared" si="1"/>
        <v>1</v>
      </c>
      <c r="C7" s="5">
        <f>Model_30y!V7</f>
        <v>4419.7532470173355</v>
      </c>
      <c r="D7" s="5">
        <f>Model_15y!V7</f>
        <v>4419.7532470173355</v>
      </c>
      <c r="E7" s="2">
        <f>Model_Renter!C7</f>
        <v>4419.7532470173355</v>
      </c>
      <c r="F7" s="24">
        <f t="shared" si="2"/>
        <v>1</v>
      </c>
    </row>
    <row r="8" spans="1:10" x14ac:dyDescent="0.25">
      <c r="A8" s="31">
        <f t="shared" si="0"/>
        <v>6</v>
      </c>
      <c r="B8" s="33">
        <f t="shared" si="1"/>
        <v>1</v>
      </c>
      <c r="C8" s="5">
        <f>Model_30y!V8</f>
        <v>4424.8589534817265</v>
      </c>
      <c r="D8" s="5">
        <f>Model_15y!V8</f>
        <v>4424.8589534817265</v>
      </c>
      <c r="E8" s="2">
        <f>Model_Renter!C8</f>
        <v>4424.8589534817265</v>
      </c>
      <c r="F8" s="24">
        <f t="shared" si="2"/>
        <v>1</v>
      </c>
      <c r="J8" s="5"/>
    </row>
    <row r="9" spans="1:10" x14ac:dyDescent="0.25">
      <c r="A9" s="31">
        <f t="shared" si="0"/>
        <v>7</v>
      </c>
      <c r="B9" s="33">
        <f t="shared" si="1"/>
        <v>1</v>
      </c>
      <c r="C9" s="5">
        <f>Model_30y!V9</f>
        <v>4429.9854612262552</v>
      </c>
      <c r="D9" s="5">
        <f>Model_15y!V9</f>
        <v>4429.9854612262552</v>
      </c>
      <c r="E9" s="2">
        <f>Model_Renter!C9</f>
        <v>4429.9854612262552</v>
      </c>
      <c r="F9" s="24">
        <f t="shared" si="2"/>
        <v>1</v>
      </c>
    </row>
    <row r="10" spans="1:10" x14ac:dyDescent="0.25">
      <c r="A10" s="31">
        <f t="shared" si="0"/>
        <v>8</v>
      </c>
      <c r="B10" s="33">
        <f t="shared" si="1"/>
        <v>1</v>
      </c>
      <c r="C10" s="5">
        <f>Model_30y!V10</f>
        <v>4435.1328549979144</v>
      </c>
      <c r="D10" s="5">
        <f>Model_15y!V10</f>
        <v>4435.1328549979144</v>
      </c>
      <c r="E10" s="2">
        <f>Model_Renter!C10</f>
        <v>4435.1328549979144</v>
      </c>
      <c r="F10" s="24">
        <f t="shared" si="2"/>
        <v>1</v>
      </c>
    </row>
    <row r="11" spans="1:10" x14ac:dyDescent="0.25">
      <c r="A11" s="31">
        <f t="shared" si="0"/>
        <v>9</v>
      </c>
      <c r="B11" s="33">
        <f t="shared" si="1"/>
        <v>1</v>
      </c>
      <c r="C11" s="5">
        <f>Model_30y!V11</f>
        <v>4440.3012198889619</v>
      </c>
      <c r="D11" s="5">
        <f>Model_15y!V11</f>
        <v>4440.3012198889619</v>
      </c>
      <c r="E11" s="2">
        <f>Model_Renter!C11</f>
        <v>4440.3012198889619</v>
      </c>
      <c r="F11" s="24">
        <f t="shared" si="2"/>
        <v>1</v>
      </c>
    </row>
    <row r="12" spans="1:10" x14ac:dyDescent="0.25">
      <c r="A12" s="31">
        <f t="shared" si="0"/>
        <v>10</v>
      </c>
      <c r="B12" s="33">
        <f t="shared" si="1"/>
        <v>1</v>
      </c>
      <c r="C12" s="5">
        <f>Model_30y!V12</f>
        <v>4445.4906413383342</v>
      </c>
      <c r="D12" s="5">
        <f>Model_15y!V12</f>
        <v>4445.4906413383342</v>
      </c>
      <c r="E12" s="2">
        <f>Model_Renter!C12</f>
        <v>4445.4906413383342</v>
      </c>
      <c r="F12" s="24">
        <f t="shared" si="2"/>
        <v>1</v>
      </c>
    </row>
    <row r="13" spans="1:10" x14ac:dyDescent="0.25">
      <c r="A13" s="31">
        <f t="shared" si="0"/>
        <v>11</v>
      </c>
      <c r="B13" s="33">
        <f t="shared" si="1"/>
        <v>1</v>
      </c>
      <c r="C13" s="5">
        <f>Model_30y!V13</f>
        <v>4450.7012051330576</v>
      </c>
      <c r="D13" s="5">
        <f>Model_15y!V13</f>
        <v>4450.7012051330576</v>
      </c>
      <c r="E13" s="2">
        <f>Model_Renter!C13</f>
        <v>4450.7012051330576</v>
      </c>
      <c r="F13" s="24">
        <f t="shared" si="2"/>
        <v>1</v>
      </c>
    </row>
    <row r="14" spans="1:10" x14ac:dyDescent="0.25">
      <c r="A14" s="31">
        <f t="shared" si="0"/>
        <v>12</v>
      </c>
      <c r="B14" s="33">
        <f t="shared" si="1"/>
        <v>1</v>
      </c>
      <c r="C14" s="5">
        <f>Model_30y!V14</f>
        <v>4455.9329974096627</v>
      </c>
      <c r="D14" s="5">
        <f>Model_15y!V14</f>
        <v>4455.9329974096627</v>
      </c>
      <c r="E14" s="2">
        <f>Model_Renter!C14</f>
        <v>4455.9329974096627</v>
      </c>
      <c r="F14" s="24">
        <f t="shared" si="2"/>
        <v>1</v>
      </c>
    </row>
    <row r="15" spans="1:10" x14ac:dyDescent="0.25">
      <c r="A15" s="31">
        <f t="shared" si="0"/>
        <v>13</v>
      </c>
      <c r="B15" s="33">
        <f t="shared" si="1"/>
        <v>2</v>
      </c>
      <c r="C15" s="5">
        <f>Model_30y!V15</f>
        <v>4477.4319379889457</v>
      </c>
      <c r="D15" s="5">
        <f>Model_15y!V15</f>
        <v>4477.4319379889457</v>
      </c>
      <c r="E15" s="2">
        <f>Model_Renter!C15</f>
        <v>4477.4319379889457</v>
      </c>
      <c r="F15" s="24">
        <f t="shared" si="2"/>
        <v>1</v>
      </c>
    </row>
    <row r="16" spans="1:10" x14ac:dyDescent="0.25">
      <c r="A16" s="31">
        <f t="shared" si="0"/>
        <v>14</v>
      </c>
      <c r="B16" s="33">
        <f t="shared" si="1"/>
        <v>2</v>
      </c>
      <c r="C16" s="5">
        <f>Model_30y!V16</f>
        <v>4482.7064470440655</v>
      </c>
      <c r="D16" s="5">
        <f>Model_15y!V16</f>
        <v>4482.7064470440655</v>
      </c>
      <c r="E16" s="2">
        <f>Model_Renter!C16</f>
        <v>4482.7064470440655</v>
      </c>
      <c r="F16" s="24">
        <f t="shared" si="2"/>
        <v>1</v>
      </c>
    </row>
    <row r="17" spans="1:6" x14ac:dyDescent="0.25">
      <c r="A17" s="31">
        <f t="shared" si="0"/>
        <v>15</v>
      </c>
      <c r="B17" s="33">
        <f t="shared" si="1"/>
        <v>2</v>
      </c>
      <c r="C17" s="5">
        <f>Model_30y!V17</f>
        <v>4488.0024451019726</v>
      </c>
      <c r="D17" s="5">
        <f>Model_15y!V17</f>
        <v>4488.0024451019726</v>
      </c>
      <c r="E17" s="2">
        <f>Model_Renter!C17</f>
        <v>4488.0024451019726</v>
      </c>
      <c r="F17" s="24">
        <f t="shared" si="2"/>
        <v>1</v>
      </c>
    </row>
    <row r="18" spans="1:6" x14ac:dyDescent="0.25">
      <c r="A18" s="31">
        <f t="shared" si="0"/>
        <v>16</v>
      </c>
      <c r="B18" s="33">
        <f t="shared" si="1"/>
        <v>2</v>
      </c>
      <c r="C18" s="5">
        <f>Model_30y!V18</f>
        <v>4493.3200197115266</v>
      </c>
      <c r="D18" s="5">
        <f>Model_15y!V18</f>
        <v>4493.3200197115266</v>
      </c>
      <c r="E18" s="2">
        <f>Model_Renter!C18</f>
        <v>4493.3200197115266</v>
      </c>
      <c r="F18" s="24">
        <f t="shared" si="2"/>
        <v>1</v>
      </c>
    </row>
    <row r="19" spans="1:6" x14ac:dyDescent="0.25">
      <c r="A19" s="31">
        <f t="shared" si="0"/>
        <v>17</v>
      </c>
      <c r="B19" s="33">
        <f t="shared" si="1"/>
        <v>2</v>
      </c>
      <c r="C19" s="5">
        <f>Model_30y!V19</f>
        <v>4498.6592587782688</v>
      </c>
      <c r="D19" s="5">
        <f>Model_15y!V19</f>
        <v>4498.6592587782688</v>
      </c>
      <c r="E19" s="2">
        <f>Model_Renter!C19</f>
        <v>4498.6592587782688</v>
      </c>
      <c r="F19" s="24">
        <f t="shared" si="2"/>
        <v>1</v>
      </c>
    </row>
    <row r="20" spans="1:6" x14ac:dyDescent="0.25">
      <c r="A20" s="31">
        <f t="shared" si="0"/>
        <v>18</v>
      </c>
      <c r="B20" s="33">
        <f t="shared" si="1"/>
        <v>2</v>
      </c>
      <c r="C20" s="5">
        <f>Model_30y!V20</f>
        <v>4504.0202505658781</v>
      </c>
      <c r="D20" s="5">
        <f>Model_15y!V20</f>
        <v>4504.0202505658781</v>
      </c>
      <c r="E20" s="2">
        <f>Model_Renter!C20</f>
        <v>4504.0202505658781</v>
      </c>
      <c r="F20" s="24">
        <f t="shared" si="2"/>
        <v>1</v>
      </c>
    </row>
    <row r="21" spans="1:6" x14ac:dyDescent="0.25">
      <c r="A21" s="31">
        <f t="shared" si="0"/>
        <v>19</v>
      </c>
      <c r="B21" s="33">
        <f t="shared" si="1"/>
        <v>2</v>
      </c>
      <c r="C21" s="5">
        <f>Model_30y!V21</f>
        <v>4509.4030836976344</v>
      </c>
      <c r="D21" s="5">
        <f>Model_15y!V21</f>
        <v>4509.4030836976344</v>
      </c>
      <c r="E21" s="2">
        <f>Model_Renter!C21</f>
        <v>4509.4030836976344</v>
      </c>
      <c r="F21" s="24">
        <f t="shared" si="2"/>
        <v>1</v>
      </c>
    </row>
    <row r="22" spans="1:6" x14ac:dyDescent="0.25">
      <c r="A22" s="31">
        <f t="shared" si="0"/>
        <v>20</v>
      </c>
      <c r="B22" s="33">
        <f t="shared" si="1"/>
        <v>2</v>
      </c>
      <c r="C22" s="5">
        <f>Model_30y!V22</f>
        <v>4514.8078471578756</v>
      </c>
      <c r="D22" s="5">
        <f>Model_15y!V22</f>
        <v>4514.8078471578756</v>
      </c>
      <c r="E22" s="2">
        <f>Model_Renter!C22</f>
        <v>4514.8078471578756</v>
      </c>
      <c r="F22" s="24">
        <f t="shared" si="2"/>
        <v>1</v>
      </c>
    </row>
    <row r="23" spans="1:6" x14ac:dyDescent="0.25">
      <c r="A23" s="31">
        <f t="shared" si="0"/>
        <v>21</v>
      </c>
      <c r="B23" s="33">
        <f t="shared" si="1"/>
        <v>2</v>
      </c>
      <c r="C23" s="5">
        <f>Model_30y!V23</f>
        <v>4520.2346302934757</v>
      </c>
      <c r="D23" s="5">
        <f>Model_15y!V23</f>
        <v>4520.2346302934757</v>
      </c>
      <c r="E23" s="2">
        <f>Model_Renter!C23</f>
        <v>4520.2346302934757</v>
      </c>
      <c r="F23" s="24">
        <f t="shared" si="2"/>
        <v>1</v>
      </c>
    </row>
    <row r="24" spans="1:6" x14ac:dyDescent="0.25">
      <c r="A24" s="31">
        <f t="shared" si="0"/>
        <v>22</v>
      </c>
      <c r="B24" s="33">
        <f t="shared" si="1"/>
        <v>2</v>
      </c>
      <c r="C24" s="5">
        <f>Model_30y!V24</f>
        <v>4525.6835228153177</v>
      </c>
      <c r="D24" s="5">
        <f>Model_15y!V24</f>
        <v>4525.6835228153177</v>
      </c>
      <c r="E24" s="2">
        <f>Model_Renter!C24</f>
        <v>4525.6835228153177</v>
      </c>
      <c r="F24" s="24">
        <f t="shared" si="2"/>
        <v>1</v>
      </c>
    </row>
    <row r="25" spans="1:6" x14ac:dyDescent="0.25">
      <c r="A25" s="31">
        <f t="shared" si="0"/>
        <v>23</v>
      </c>
      <c r="B25" s="33">
        <f t="shared" si="1"/>
        <v>2</v>
      </c>
      <c r="C25" s="5">
        <f>Model_30y!V25</f>
        <v>4531.154614799776</v>
      </c>
      <c r="D25" s="5">
        <f>Model_15y!V25</f>
        <v>4531.154614799776</v>
      </c>
      <c r="E25" s="2">
        <f>Model_Renter!C25</f>
        <v>4531.154614799776</v>
      </c>
      <c r="F25" s="24">
        <f t="shared" si="2"/>
        <v>1</v>
      </c>
    </row>
    <row r="26" spans="1:6" x14ac:dyDescent="0.25">
      <c r="A26" s="31">
        <f t="shared" si="0"/>
        <v>24</v>
      </c>
      <c r="B26" s="33">
        <f t="shared" si="1"/>
        <v>2</v>
      </c>
      <c r="C26" s="5">
        <f>Model_30y!V26</f>
        <v>4536.6479966902116</v>
      </c>
      <c r="D26" s="5">
        <f>Model_15y!V26</f>
        <v>4536.6479966902116</v>
      </c>
      <c r="E26" s="2">
        <f>Model_Renter!C26</f>
        <v>4536.6479966902116</v>
      </c>
      <c r="F26" s="24">
        <f t="shared" si="2"/>
        <v>1</v>
      </c>
    </row>
    <row r="27" spans="1:6" x14ac:dyDescent="0.25">
      <c r="A27" s="31">
        <f t="shared" si="0"/>
        <v>25</v>
      </c>
      <c r="B27" s="33">
        <f t="shared" si="1"/>
        <v>3</v>
      </c>
      <c r="C27" s="5">
        <f>Model_30y!V27</f>
        <v>4559.2218842984594</v>
      </c>
      <c r="D27" s="5">
        <f>Model_15y!V27</f>
        <v>4559.2218842984594</v>
      </c>
      <c r="E27" s="2">
        <f>Model_Renter!C27</f>
        <v>4559.2218842984594</v>
      </c>
      <c r="F27" s="24">
        <f t="shared" si="2"/>
        <v>1</v>
      </c>
    </row>
    <row r="28" spans="1:6" x14ac:dyDescent="0.25">
      <c r="A28" s="31">
        <f t="shared" si="0"/>
        <v>26</v>
      </c>
      <c r="B28" s="33">
        <f t="shared" si="1"/>
        <v>3</v>
      </c>
      <c r="C28" s="5">
        <f>Model_30y!V28</f>
        <v>4564.7601188063345</v>
      </c>
      <c r="D28" s="5">
        <f>Model_15y!V28</f>
        <v>4564.7601188063345</v>
      </c>
      <c r="E28" s="2">
        <f>Model_Renter!C28</f>
        <v>4564.7601188063345</v>
      </c>
      <c r="F28" s="24">
        <f t="shared" si="2"/>
        <v>1</v>
      </c>
    </row>
    <row r="29" spans="1:6" x14ac:dyDescent="0.25">
      <c r="A29" s="31">
        <f t="shared" si="0"/>
        <v>27</v>
      </c>
      <c r="B29" s="33">
        <f t="shared" si="1"/>
        <v>3</v>
      </c>
      <c r="C29" s="5">
        <f>Model_30y!V29</f>
        <v>4570.3209167671375</v>
      </c>
      <c r="D29" s="5">
        <f>Model_15y!V29</f>
        <v>4570.3209167671375</v>
      </c>
      <c r="E29" s="2">
        <f>Model_Renter!C29</f>
        <v>4570.3209167671375</v>
      </c>
      <c r="F29" s="24">
        <f t="shared" si="2"/>
        <v>1</v>
      </c>
    </row>
    <row r="30" spans="1:6" x14ac:dyDescent="0.25">
      <c r="A30" s="31">
        <f t="shared" si="0"/>
        <v>28</v>
      </c>
      <c r="B30" s="33">
        <f t="shared" si="1"/>
        <v>3</v>
      </c>
      <c r="C30" s="5">
        <f>Model_30y!V30</f>
        <v>4575.9043701071696</v>
      </c>
      <c r="D30" s="5">
        <f>Model_15y!V30</f>
        <v>4575.9043701071696</v>
      </c>
      <c r="E30" s="2">
        <f>Model_Renter!C30</f>
        <v>4575.9043701071696</v>
      </c>
      <c r="F30" s="24">
        <f t="shared" si="2"/>
        <v>1</v>
      </c>
    </row>
    <row r="31" spans="1:6" x14ac:dyDescent="0.25">
      <c r="A31" s="31">
        <f t="shared" si="0"/>
        <v>29</v>
      </c>
      <c r="B31" s="33">
        <f t="shared" si="1"/>
        <v>3</v>
      </c>
      <c r="C31" s="5">
        <f>Model_30y!V31</f>
        <v>4581.5105711272481</v>
      </c>
      <c r="D31" s="5">
        <f>Model_15y!V31</f>
        <v>4581.5105711272481</v>
      </c>
      <c r="E31" s="2">
        <f>Model_Renter!C31</f>
        <v>4581.5105711272481</v>
      </c>
      <c r="F31" s="24">
        <f t="shared" si="2"/>
        <v>1</v>
      </c>
    </row>
    <row r="32" spans="1:6" x14ac:dyDescent="0.25">
      <c r="A32" s="31">
        <f t="shared" si="0"/>
        <v>30</v>
      </c>
      <c r="B32" s="33">
        <f t="shared" si="1"/>
        <v>3</v>
      </c>
      <c r="C32" s="5">
        <f>Model_30y!V32</f>
        <v>4587.1396125042393</v>
      </c>
      <c r="D32" s="5">
        <f>Model_15y!V32</f>
        <v>4587.1396125042393</v>
      </c>
      <c r="E32" s="2">
        <f>Model_Renter!C32</f>
        <v>4587.1396125042393</v>
      </c>
      <c r="F32" s="24">
        <f t="shared" si="2"/>
        <v>1</v>
      </c>
    </row>
    <row r="33" spans="1:6" x14ac:dyDescent="0.25">
      <c r="A33" s="31">
        <f t="shared" si="0"/>
        <v>31</v>
      </c>
      <c r="B33" s="33">
        <f t="shared" si="1"/>
        <v>3</v>
      </c>
      <c r="C33" s="5">
        <f>Model_30y!V33</f>
        <v>4592.7915872925823</v>
      </c>
      <c r="D33" s="5">
        <f>Model_15y!V33</f>
        <v>4592.7915872925823</v>
      </c>
      <c r="E33" s="2">
        <f>Model_Renter!C33</f>
        <v>4592.7915872925823</v>
      </c>
      <c r="F33" s="24">
        <f t="shared" si="2"/>
        <v>1</v>
      </c>
    </row>
    <row r="34" spans="1:6" x14ac:dyDescent="0.25">
      <c r="A34" s="31">
        <f t="shared" si="0"/>
        <v>32</v>
      </c>
      <c r="B34" s="33">
        <f t="shared" si="1"/>
        <v>3</v>
      </c>
      <c r="C34" s="5">
        <f>Model_30y!V34</f>
        <v>4598.4665889258358</v>
      </c>
      <c r="D34" s="5">
        <f>Model_15y!V34</f>
        <v>4598.4665889258358</v>
      </c>
      <c r="E34" s="2">
        <f>Model_Renter!C34</f>
        <v>4598.4665889258358</v>
      </c>
      <c r="F34" s="24">
        <f t="shared" si="2"/>
        <v>1</v>
      </c>
    </row>
    <row r="35" spans="1:6" x14ac:dyDescent="0.25">
      <c r="A35" s="31">
        <f t="shared" si="0"/>
        <v>33</v>
      </c>
      <c r="B35" s="33">
        <f t="shared" si="1"/>
        <v>3</v>
      </c>
      <c r="C35" s="5">
        <f>Model_30y!V35</f>
        <v>4604.1647112182163</v>
      </c>
      <c r="D35" s="5">
        <f>Model_15y!V35</f>
        <v>4604.1647112182163</v>
      </c>
      <c r="E35" s="2">
        <f>Model_Renter!C35</f>
        <v>4604.1647112182163</v>
      </c>
      <c r="F35" s="24">
        <f t="shared" si="2"/>
        <v>1</v>
      </c>
    </row>
    <row r="36" spans="1:6" x14ac:dyDescent="0.25">
      <c r="A36" s="31">
        <f t="shared" si="0"/>
        <v>34</v>
      </c>
      <c r="B36" s="33">
        <f t="shared" si="1"/>
        <v>3</v>
      </c>
      <c r="C36" s="5">
        <f>Model_30y!V36</f>
        <v>4609.8860483661492</v>
      </c>
      <c r="D36" s="5">
        <f>Model_15y!V36</f>
        <v>4609.8860483661492</v>
      </c>
      <c r="E36" s="2">
        <f>Model_Renter!C36</f>
        <v>4609.8860483661492</v>
      </c>
      <c r="F36" s="24">
        <f t="shared" si="2"/>
        <v>1</v>
      </c>
    </row>
    <row r="37" spans="1:6" x14ac:dyDescent="0.25">
      <c r="A37" s="31">
        <f t="shared" si="0"/>
        <v>35</v>
      </c>
      <c r="B37" s="33">
        <f t="shared" si="1"/>
        <v>3</v>
      </c>
      <c r="C37" s="5">
        <f>Model_30y!V37</f>
        <v>4615.6306949498312</v>
      </c>
      <c r="D37" s="5">
        <f>Model_15y!V37</f>
        <v>4615.6306949498312</v>
      </c>
      <c r="E37" s="2">
        <f>Model_Renter!C37</f>
        <v>4615.6306949498312</v>
      </c>
      <c r="F37" s="24">
        <f t="shared" si="2"/>
        <v>1</v>
      </c>
    </row>
    <row r="38" spans="1:6" x14ac:dyDescent="0.25">
      <c r="A38" s="31">
        <f t="shared" si="0"/>
        <v>36</v>
      </c>
      <c r="B38" s="33">
        <f t="shared" si="1"/>
        <v>3</v>
      </c>
      <c r="C38" s="5">
        <f>Model_30y!V38</f>
        <v>4621.3987459347882</v>
      </c>
      <c r="D38" s="5">
        <f>Model_15y!V38</f>
        <v>4621.3987459347882</v>
      </c>
      <c r="E38" s="2">
        <f>Model_Renter!C38</f>
        <v>4621.3987459347882</v>
      </c>
      <c r="F38" s="24">
        <f t="shared" si="2"/>
        <v>1</v>
      </c>
    </row>
    <row r="39" spans="1:6" x14ac:dyDescent="0.25">
      <c r="A39" s="31">
        <f t="shared" si="0"/>
        <v>37</v>
      </c>
      <c r="B39" s="33">
        <f t="shared" si="1"/>
        <v>4</v>
      </c>
      <c r="C39" s="5">
        <f>Model_30y!V39</f>
        <v>4645.1013279234485</v>
      </c>
      <c r="D39" s="5">
        <f>Model_15y!V39</f>
        <v>4645.1013279234485</v>
      </c>
      <c r="E39" s="2">
        <f>Model_Renter!C39</f>
        <v>4645.1013279234485</v>
      </c>
      <c r="F39" s="24">
        <f t="shared" si="2"/>
        <v>1</v>
      </c>
    </row>
    <row r="40" spans="1:6" x14ac:dyDescent="0.25">
      <c r="A40" s="31">
        <f t="shared" si="0"/>
        <v>38</v>
      </c>
      <c r="B40" s="33">
        <f t="shared" si="1"/>
        <v>4</v>
      </c>
      <c r="C40" s="5">
        <f>Model_30y!V40</f>
        <v>4650.9164741567183</v>
      </c>
      <c r="D40" s="5">
        <f>Model_15y!V40</f>
        <v>4650.9164741567183</v>
      </c>
      <c r="E40" s="2">
        <f>Model_Renter!C40</f>
        <v>4650.9164741567183</v>
      </c>
      <c r="F40" s="24">
        <f t="shared" si="2"/>
        <v>1</v>
      </c>
    </row>
    <row r="41" spans="1:6" x14ac:dyDescent="0.25">
      <c r="A41" s="31">
        <f t="shared" si="0"/>
        <v>39</v>
      </c>
      <c r="B41" s="33">
        <f t="shared" si="1"/>
        <v>4</v>
      </c>
      <c r="C41" s="5">
        <f>Model_30y!V41</f>
        <v>4656.7553120155608</v>
      </c>
      <c r="D41" s="5">
        <f>Model_15y!V41</f>
        <v>4656.7553120155608</v>
      </c>
      <c r="E41" s="2">
        <f>Model_Renter!C41</f>
        <v>4656.7553120155608</v>
      </c>
      <c r="F41" s="24">
        <f t="shared" si="2"/>
        <v>1</v>
      </c>
    </row>
    <row r="42" spans="1:6" x14ac:dyDescent="0.25">
      <c r="A42" s="31">
        <f t="shared" si="0"/>
        <v>40</v>
      </c>
      <c r="B42" s="33">
        <f t="shared" si="1"/>
        <v>4</v>
      </c>
      <c r="C42" s="5">
        <f>Model_30y!V42</f>
        <v>4662.6179380225931</v>
      </c>
      <c r="D42" s="5">
        <f>Model_15y!V42</f>
        <v>4662.6179380225931</v>
      </c>
      <c r="E42" s="2">
        <f>Model_Renter!C42</f>
        <v>4662.6179380225931</v>
      </c>
      <c r="F42" s="24">
        <f t="shared" si="2"/>
        <v>1</v>
      </c>
    </row>
    <row r="43" spans="1:6" x14ac:dyDescent="0.25">
      <c r="A43" s="31">
        <f t="shared" si="0"/>
        <v>41</v>
      </c>
      <c r="B43" s="33">
        <f t="shared" si="1"/>
        <v>4</v>
      </c>
      <c r="C43" s="5">
        <f>Model_30y!V43</f>
        <v>4668.5044490936762</v>
      </c>
      <c r="D43" s="5">
        <f>Model_15y!V43</f>
        <v>4668.5044490936762</v>
      </c>
      <c r="E43" s="2">
        <f>Model_Renter!C43</f>
        <v>4668.5044490936762</v>
      </c>
      <c r="F43" s="24">
        <f t="shared" si="2"/>
        <v>1</v>
      </c>
    </row>
    <row r="44" spans="1:6" x14ac:dyDescent="0.25">
      <c r="A44" s="31">
        <f t="shared" si="0"/>
        <v>42</v>
      </c>
      <c r="B44" s="33">
        <f t="shared" si="1"/>
        <v>4</v>
      </c>
      <c r="C44" s="5">
        <f>Model_30y!V44</f>
        <v>4674.4149425395171</v>
      </c>
      <c r="D44" s="5">
        <f>Model_15y!V44</f>
        <v>4674.4149425395171</v>
      </c>
      <c r="E44" s="2">
        <f>Model_Renter!C44</f>
        <v>4674.4149425395171</v>
      </c>
      <c r="F44" s="24">
        <f t="shared" si="2"/>
        <v>1</v>
      </c>
    </row>
    <row r="45" spans="1:6" x14ac:dyDescent="0.25">
      <c r="A45" s="31">
        <f t="shared" si="0"/>
        <v>43</v>
      </c>
      <c r="B45" s="33">
        <f t="shared" si="1"/>
        <v>4</v>
      </c>
      <c r="C45" s="5">
        <f>Model_30y!V45</f>
        <v>4680.3495160672774</v>
      </c>
      <c r="D45" s="5">
        <f>Model_15y!V45</f>
        <v>4680.3495160672774</v>
      </c>
      <c r="E45" s="2">
        <f>Model_Renter!C45</f>
        <v>4680.3495160672774</v>
      </c>
      <c r="F45" s="24">
        <f t="shared" si="2"/>
        <v>1</v>
      </c>
    </row>
    <row r="46" spans="1:6" x14ac:dyDescent="0.25">
      <c r="A46" s="31">
        <f t="shared" si="0"/>
        <v>44</v>
      </c>
      <c r="B46" s="33">
        <f t="shared" si="1"/>
        <v>4</v>
      </c>
      <c r="C46" s="5">
        <f>Model_30y!V46</f>
        <v>4686.308267782194</v>
      </c>
      <c r="D46" s="5">
        <f>Model_15y!V46</f>
        <v>4686.308267782194</v>
      </c>
      <c r="E46" s="2">
        <f>Model_Renter!C46</f>
        <v>4686.308267782194</v>
      </c>
      <c r="F46" s="24">
        <f t="shared" si="2"/>
        <v>1</v>
      </c>
    </row>
    <row r="47" spans="1:6" x14ac:dyDescent="0.25">
      <c r="A47" s="31">
        <f t="shared" si="0"/>
        <v>45</v>
      </c>
      <c r="B47" s="33">
        <f t="shared" si="1"/>
        <v>4</v>
      </c>
      <c r="C47" s="5">
        <f>Model_30y!V47</f>
        <v>4692.2912961891925</v>
      </c>
      <c r="D47" s="5">
        <f>Model_15y!V47</f>
        <v>4692.2912961891925</v>
      </c>
      <c r="E47" s="2">
        <f>Model_Renter!C47</f>
        <v>4692.2912961891925</v>
      </c>
      <c r="F47" s="24">
        <f t="shared" si="2"/>
        <v>1</v>
      </c>
    </row>
    <row r="48" spans="1:6" x14ac:dyDescent="0.25">
      <c r="A48" s="31">
        <f t="shared" si="0"/>
        <v>46</v>
      </c>
      <c r="B48" s="33">
        <f t="shared" si="1"/>
        <v>4</v>
      </c>
      <c r="C48" s="5">
        <f>Model_30y!V48</f>
        <v>4698.298700194523</v>
      </c>
      <c r="D48" s="5">
        <f>Model_15y!V48</f>
        <v>4698.298700194523</v>
      </c>
      <c r="E48" s="2">
        <f>Model_Renter!C48</f>
        <v>4698.298700194523</v>
      </c>
      <c r="F48" s="24">
        <f t="shared" si="2"/>
        <v>1</v>
      </c>
    </row>
    <row r="49" spans="1:6" x14ac:dyDescent="0.25">
      <c r="A49" s="31">
        <f t="shared" si="0"/>
        <v>47</v>
      </c>
      <c r="B49" s="33">
        <f t="shared" si="1"/>
        <v>4</v>
      </c>
      <c r="C49" s="5">
        <f>Model_30y!V49</f>
        <v>4704.330579107389</v>
      </c>
      <c r="D49" s="5">
        <f>Model_15y!V49</f>
        <v>4704.330579107389</v>
      </c>
      <c r="E49" s="2">
        <f>Model_Renter!C49</f>
        <v>4704.330579107389</v>
      </c>
      <c r="F49" s="24">
        <f t="shared" si="2"/>
        <v>1</v>
      </c>
    </row>
    <row r="50" spans="1:6" x14ac:dyDescent="0.25">
      <c r="A50" s="31">
        <f t="shared" si="0"/>
        <v>48</v>
      </c>
      <c r="B50" s="33">
        <f t="shared" si="1"/>
        <v>4</v>
      </c>
      <c r="C50" s="5">
        <f>Model_30y!V50</f>
        <v>4710.3870326415945</v>
      </c>
      <c r="D50" s="5">
        <f>Model_15y!V50</f>
        <v>4710.3870326415945</v>
      </c>
      <c r="E50" s="2">
        <f>Model_Renter!C50</f>
        <v>4710.3870326415945</v>
      </c>
      <c r="F50" s="24">
        <f t="shared" si="2"/>
        <v>1</v>
      </c>
    </row>
    <row r="51" spans="1:6" x14ac:dyDescent="0.25">
      <c r="A51" s="31">
        <f t="shared" si="0"/>
        <v>49</v>
      </c>
      <c r="B51" s="33">
        <f t="shared" si="1"/>
        <v>5</v>
      </c>
      <c r="C51" s="5">
        <f>Model_30y!V51</f>
        <v>4735.2747437296875</v>
      </c>
      <c r="D51" s="5">
        <f>Model_15y!V51</f>
        <v>4735.2747437296875</v>
      </c>
      <c r="E51" s="2">
        <f>Model_Renter!C51</f>
        <v>4735.2747437296875</v>
      </c>
      <c r="F51" s="24">
        <f t="shared" si="2"/>
        <v>1</v>
      </c>
    </row>
    <row r="52" spans="1:6" x14ac:dyDescent="0.25">
      <c r="A52" s="31">
        <f t="shared" si="0"/>
        <v>50</v>
      </c>
      <c r="B52" s="33">
        <f t="shared" si="1"/>
        <v>5</v>
      </c>
      <c r="C52" s="5">
        <f>Model_30y!V52</f>
        <v>4741.3806472746201</v>
      </c>
      <c r="D52" s="5">
        <f>Model_15y!V52</f>
        <v>4741.3806472746201</v>
      </c>
      <c r="E52" s="2">
        <f>Model_Renter!C52</f>
        <v>4741.3806472746201</v>
      </c>
      <c r="F52" s="24">
        <f t="shared" si="2"/>
        <v>1</v>
      </c>
    </row>
    <row r="53" spans="1:6" x14ac:dyDescent="0.25">
      <c r="A53" s="31">
        <f t="shared" si="0"/>
        <v>51</v>
      </c>
      <c r="B53" s="33">
        <f t="shared" si="1"/>
        <v>5</v>
      </c>
      <c r="C53" s="5">
        <f>Model_30y!V53</f>
        <v>4747.5114270264057</v>
      </c>
      <c r="D53" s="5">
        <f>Model_15y!V53</f>
        <v>4747.5114270264057</v>
      </c>
      <c r="E53" s="2">
        <f>Model_Renter!C53</f>
        <v>4747.5114270264057</v>
      </c>
      <c r="F53" s="24">
        <f t="shared" si="2"/>
        <v>1</v>
      </c>
    </row>
    <row r="54" spans="1:6" x14ac:dyDescent="0.25">
      <c r="A54" s="31">
        <f t="shared" si="0"/>
        <v>52</v>
      </c>
      <c r="B54" s="33">
        <f t="shared" si="1"/>
        <v>5</v>
      </c>
      <c r="C54" s="5">
        <f>Model_30y!V54</f>
        <v>4753.6671843337899</v>
      </c>
      <c r="D54" s="5">
        <f>Model_15y!V54</f>
        <v>4753.6671843337899</v>
      </c>
      <c r="E54" s="2">
        <f>Model_Renter!C54</f>
        <v>4753.6671843337899</v>
      </c>
      <c r="F54" s="24">
        <f t="shared" si="2"/>
        <v>1</v>
      </c>
    </row>
    <row r="55" spans="1:6" x14ac:dyDescent="0.25">
      <c r="A55" s="31">
        <f t="shared" si="0"/>
        <v>53</v>
      </c>
      <c r="B55" s="33">
        <f t="shared" si="1"/>
        <v>5</v>
      </c>
      <c r="C55" s="5">
        <f>Model_30y!V55</f>
        <v>4759.8480209584268</v>
      </c>
      <c r="D55" s="5">
        <f>Model_15y!V55</f>
        <v>4759.8480209584268</v>
      </c>
      <c r="E55" s="2">
        <f>Model_Renter!C55</f>
        <v>4759.8480209584268</v>
      </c>
      <c r="F55" s="24">
        <f t="shared" si="2"/>
        <v>1</v>
      </c>
    </row>
    <row r="56" spans="1:6" x14ac:dyDescent="0.25">
      <c r="A56" s="31">
        <f t="shared" si="0"/>
        <v>54</v>
      </c>
      <c r="B56" s="33">
        <f t="shared" si="1"/>
        <v>5</v>
      </c>
      <c r="C56" s="5">
        <f>Model_30y!V56</f>
        <v>4766.0540390765582</v>
      </c>
      <c r="D56" s="5">
        <f>Model_15y!V56</f>
        <v>4766.0540390765582</v>
      </c>
      <c r="E56" s="2">
        <f>Model_Renter!C56</f>
        <v>4766.0540390765582</v>
      </c>
      <c r="F56" s="24">
        <f t="shared" si="2"/>
        <v>1</v>
      </c>
    </row>
    <row r="57" spans="1:6" x14ac:dyDescent="0.25">
      <c r="A57" s="31">
        <f t="shared" si="0"/>
        <v>55</v>
      </c>
      <c r="B57" s="33">
        <f t="shared" si="1"/>
        <v>5</v>
      </c>
      <c r="C57" s="5">
        <f>Model_30y!V57</f>
        <v>4772.2853412807081</v>
      </c>
      <c r="D57" s="5">
        <f>Model_15y!V57</f>
        <v>4772.2853412807081</v>
      </c>
      <c r="E57" s="2">
        <f>Model_Renter!C57</f>
        <v>4772.2853412807081</v>
      </c>
      <c r="F57" s="24">
        <f t="shared" si="2"/>
        <v>1</v>
      </c>
    </row>
    <row r="58" spans="1:6" x14ac:dyDescent="0.25">
      <c r="A58" s="31">
        <f t="shared" si="0"/>
        <v>56</v>
      </c>
      <c r="B58" s="33">
        <f t="shared" si="1"/>
        <v>5</v>
      </c>
      <c r="C58" s="5">
        <f>Model_30y!V58</f>
        <v>4778.5420305813695</v>
      </c>
      <c r="D58" s="5">
        <f>Model_15y!V58</f>
        <v>4778.5420305813695</v>
      </c>
      <c r="E58" s="2">
        <f>Model_Renter!C58</f>
        <v>4778.5420305813695</v>
      </c>
      <c r="F58" s="24">
        <f t="shared" si="2"/>
        <v>1</v>
      </c>
    </row>
    <row r="59" spans="1:6" x14ac:dyDescent="0.25">
      <c r="A59" s="31">
        <f t="shared" si="0"/>
        <v>57</v>
      </c>
      <c r="B59" s="33">
        <f t="shared" si="1"/>
        <v>5</v>
      </c>
      <c r="C59" s="5">
        <f>Model_30y!V59</f>
        <v>4784.8242104087185</v>
      </c>
      <c r="D59" s="5">
        <f>Model_15y!V59</f>
        <v>4784.8242104087185</v>
      </c>
      <c r="E59" s="2">
        <f>Model_Renter!C59</f>
        <v>4784.8242104087185</v>
      </c>
      <c r="F59" s="24">
        <f t="shared" si="2"/>
        <v>1</v>
      </c>
    </row>
    <row r="60" spans="1:6" x14ac:dyDescent="0.25">
      <c r="A60" s="31">
        <f t="shared" si="0"/>
        <v>58</v>
      </c>
      <c r="B60" s="33">
        <f t="shared" si="1"/>
        <v>5</v>
      </c>
      <c r="C60" s="5">
        <f>Model_30y!V60</f>
        <v>4791.1319846143151</v>
      </c>
      <c r="D60" s="5">
        <f>Model_15y!V60</f>
        <v>4791.1319846143151</v>
      </c>
      <c r="E60" s="2">
        <f>Model_Renter!C60</f>
        <v>4791.1319846143151</v>
      </c>
      <c r="F60" s="24">
        <f t="shared" si="2"/>
        <v>1</v>
      </c>
    </row>
    <row r="61" spans="1:6" x14ac:dyDescent="0.25">
      <c r="A61" s="31">
        <f t="shared" si="0"/>
        <v>59</v>
      </c>
      <c r="B61" s="33">
        <f t="shared" si="1"/>
        <v>5</v>
      </c>
      <c r="C61" s="5">
        <f>Model_30y!V61</f>
        <v>4797.4654574728238</v>
      </c>
      <c r="D61" s="5">
        <f>Model_15y!V61</f>
        <v>4797.4654574728238</v>
      </c>
      <c r="E61" s="2">
        <f>Model_Renter!C61</f>
        <v>4797.4654574728238</v>
      </c>
      <c r="F61" s="24">
        <f t="shared" si="2"/>
        <v>1</v>
      </c>
    </row>
    <row r="62" spans="1:6" x14ac:dyDescent="0.25">
      <c r="A62" s="31">
        <f t="shared" si="0"/>
        <v>60</v>
      </c>
      <c r="B62" s="33">
        <f t="shared" si="1"/>
        <v>5</v>
      </c>
      <c r="C62" s="5">
        <f>Model_30y!V62</f>
        <v>4803.8247336837394</v>
      </c>
      <c r="D62" s="5">
        <f>Model_15y!V62</f>
        <v>4803.8247336837394</v>
      </c>
      <c r="E62" s="2">
        <f>Model_Renter!C62</f>
        <v>4803.8247336837394</v>
      </c>
      <c r="F62" s="24">
        <f t="shared" si="2"/>
        <v>1</v>
      </c>
    </row>
    <row r="63" spans="1:6" x14ac:dyDescent="0.25">
      <c r="A63" s="31">
        <f t="shared" si="0"/>
        <v>61</v>
      </c>
      <c r="B63" s="33">
        <f t="shared" si="1"/>
        <v>6</v>
      </c>
      <c r="C63" s="5">
        <f>Model_30y!V63</f>
        <v>4829.9568303262377</v>
      </c>
      <c r="D63" s="5">
        <f>Model_15y!V63</f>
        <v>4829.9568303262377</v>
      </c>
      <c r="E63" s="2">
        <f>Model_Renter!C63</f>
        <v>4829.9568303262377</v>
      </c>
      <c r="F63" s="24">
        <f t="shared" si="2"/>
        <v>1</v>
      </c>
    </row>
    <row r="64" spans="1:6" x14ac:dyDescent="0.25">
      <c r="A64" s="31">
        <f t="shared" si="0"/>
        <v>62</v>
      </c>
      <c r="B64" s="33">
        <f t="shared" si="1"/>
        <v>6</v>
      </c>
      <c r="C64" s="5">
        <f>Model_30y!V64</f>
        <v>4836.3680290484162</v>
      </c>
      <c r="D64" s="5">
        <f>Model_15y!V64</f>
        <v>4836.3680290484162</v>
      </c>
      <c r="E64" s="2">
        <f>Model_Renter!C64</f>
        <v>4836.3680290484162</v>
      </c>
      <c r="F64" s="24">
        <f t="shared" si="2"/>
        <v>1</v>
      </c>
    </row>
    <row r="65" spans="1:6" x14ac:dyDescent="0.25">
      <c r="A65" s="31">
        <f t="shared" si="0"/>
        <v>63</v>
      </c>
      <c r="B65" s="33">
        <f t="shared" si="1"/>
        <v>6</v>
      </c>
      <c r="C65" s="5">
        <f>Model_30y!V65</f>
        <v>4842.8053477877911</v>
      </c>
      <c r="D65" s="5">
        <f>Model_15y!V65</f>
        <v>4842.8053477877911</v>
      </c>
      <c r="E65" s="2">
        <f>Model_Renter!C65</f>
        <v>4842.8053477877911</v>
      </c>
      <c r="F65" s="24">
        <f t="shared" si="2"/>
        <v>1</v>
      </c>
    </row>
    <row r="66" spans="1:6" x14ac:dyDescent="0.25">
      <c r="A66" s="31">
        <f t="shared" si="0"/>
        <v>64</v>
      </c>
      <c r="B66" s="33">
        <f t="shared" si="1"/>
        <v>6</v>
      </c>
      <c r="C66" s="5">
        <f>Model_30y!V66</f>
        <v>4849.2688929605447</v>
      </c>
      <c r="D66" s="5">
        <f>Model_15y!V66</f>
        <v>4849.2688929605447</v>
      </c>
      <c r="E66" s="2">
        <f>Model_Renter!C66</f>
        <v>4849.2688929605447</v>
      </c>
      <c r="F66" s="24">
        <f t="shared" si="2"/>
        <v>1</v>
      </c>
    </row>
    <row r="67" spans="1:6" x14ac:dyDescent="0.25">
      <c r="A67" s="31">
        <f t="shared" si="0"/>
        <v>65</v>
      </c>
      <c r="B67" s="33">
        <f t="shared" si="1"/>
        <v>6</v>
      </c>
      <c r="C67" s="5">
        <f>Model_30y!V67</f>
        <v>4855.7587714164138</v>
      </c>
      <c r="D67" s="5">
        <f>Model_15y!V67</f>
        <v>4855.7587714164138</v>
      </c>
      <c r="E67" s="2">
        <f>Model_Renter!C67</f>
        <v>4855.7587714164138</v>
      </c>
      <c r="F67" s="24">
        <f t="shared" ref="F67:F130" si="3">IF(AND(C67-D67&lt;1, C67-E67&lt;1), 1, 0)</f>
        <v>1</v>
      </c>
    </row>
    <row r="68" spans="1:6" x14ac:dyDescent="0.25">
      <c r="A68" s="31">
        <f t="shared" ref="A68:A131" si="4">A67+1</f>
        <v>66</v>
      </c>
      <c r="B68" s="33">
        <f t="shared" ref="B68:B131" si="5">ROUNDUP(A68/12, 0)</f>
        <v>6</v>
      </c>
      <c r="C68" s="5">
        <f>Model_30y!V68</f>
        <v>4862.2750904404529</v>
      </c>
      <c r="D68" s="5">
        <f>Model_15y!V68</f>
        <v>4862.2750904404529</v>
      </c>
      <c r="E68" s="2">
        <f>Model_Renter!C68</f>
        <v>4862.2750904404529</v>
      </c>
      <c r="F68" s="24">
        <f t="shared" si="3"/>
        <v>1</v>
      </c>
    </row>
    <row r="69" spans="1:6" x14ac:dyDescent="0.25">
      <c r="A69" s="31">
        <f t="shared" si="4"/>
        <v>67</v>
      </c>
      <c r="B69" s="33">
        <f t="shared" si="5"/>
        <v>6</v>
      </c>
      <c r="C69" s="5">
        <f>Model_30y!V69</f>
        <v>4868.817957754809</v>
      </c>
      <c r="D69" s="5">
        <f>Model_15y!V69</f>
        <v>4868.817957754809</v>
      </c>
      <c r="E69" s="2">
        <f>Model_Renter!C69</f>
        <v>4868.817957754809</v>
      </c>
      <c r="F69" s="24">
        <f t="shared" si="3"/>
        <v>1</v>
      </c>
    </row>
    <row r="70" spans="1:6" x14ac:dyDescent="0.25">
      <c r="A70" s="31">
        <f t="shared" si="4"/>
        <v>68</v>
      </c>
      <c r="B70" s="33">
        <f t="shared" si="5"/>
        <v>6</v>
      </c>
      <c r="C70" s="5">
        <f>Model_30y!V70</f>
        <v>4875.3874815205036</v>
      </c>
      <c r="D70" s="5">
        <f>Model_15y!V70</f>
        <v>4875.3874815205036</v>
      </c>
      <c r="E70" s="2">
        <f>Model_Renter!C70</f>
        <v>4875.3874815205036</v>
      </c>
      <c r="F70" s="24">
        <f t="shared" si="3"/>
        <v>1</v>
      </c>
    </row>
    <row r="71" spans="1:6" x14ac:dyDescent="0.25">
      <c r="A71" s="31">
        <f t="shared" si="4"/>
        <v>69</v>
      </c>
      <c r="B71" s="33">
        <f t="shared" si="5"/>
        <v>6</v>
      </c>
      <c r="C71" s="5">
        <f>Model_30y!V71</f>
        <v>4881.9837703392204</v>
      </c>
      <c r="D71" s="5">
        <f>Model_15y!V71</f>
        <v>4881.9837703392204</v>
      </c>
      <c r="E71" s="2">
        <f>Model_Renter!C71</f>
        <v>4881.9837703392204</v>
      </c>
      <c r="F71" s="24">
        <f t="shared" si="3"/>
        <v>1</v>
      </c>
    </row>
    <row r="72" spans="1:6" x14ac:dyDescent="0.25">
      <c r="A72" s="31">
        <f t="shared" si="4"/>
        <v>70</v>
      </c>
      <c r="B72" s="33">
        <f t="shared" si="5"/>
        <v>6</v>
      </c>
      <c r="C72" s="5">
        <f>Model_30y!V72</f>
        <v>4888.6069332550969</v>
      </c>
      <c r="D72" s="5">
        <f>Model_15y!V72</f>
        <v>4888.6069332550969</v>
      </c>
      <c r="E72" s="2">
        <f>Model_Renter!C72</f>
        <v>4888.6069332550969</v>
      </c>
      <c r="F72" s="24">
        <f t="shared" si="3"/>
        <v>1</v>
      </c>
    </row>
    <row r="73" spans="1:6" x14ac:dyDescent="0.25">
      <c r="A73" s="31">
        <f t="shared" si="4"/>
        <v>71</v>
      </c>
      <c r="B73" s="33">
        <f t="shared" si="5"/>
        <v>6</v>
      </c>
      <c r="C73" s="5">
        <f>Model_30y!V73</f>
        <v>4895.2570797565313</v>
      </c>
      <c r="D73" s="5">
        <f>Model_15y!V73</f>
        <v>4895.2570797565313</v>
      </c>
      <c r="E73" s="2">
        <f>Model_Renter!C73</f>
        <v>4895.2570797565313</v>
      </c>
      <c r="F73" s="24">
        <f t="shared" si="3"/>
        <v>1</v>
      </c>
    </row>
    <row r="74" spans="1:6" x14ac:dyDescent="0.25">
      <c r="A74" s="31">
        <f t="shared" si="4"/>
        <v>72</v>
      </c>
      <c r="B74" s="33">
        <f t="shared" si="5"/>
        <v>6</v>
      </c>
      <c r="C74" s="5">
        <f>Model_30y!V74</f>
        <v>4901.9343197779926</v>
      </c>
      <c r="D74" s="5">
        <f>Model_15y!V74</f>
        <v>4901.9343197779926</v>
      </c>
      <c r="E74" s="2">
        <f>Model_Renter!C74</f>
        <v>4901.9343197779926</v>
      </c>
      <c r="F74" s="24">
        <f t="shared" si="3"/>
        <v>1</v>
      </c>
    </row>
    <row r="75" spans="1:6" x14ac:dyDescent="0.25">
      <c r="A75" s="31">
        <f t="shared" si="4"/>
        <v>73</v>
      </c>
      <c r="B75" s="33">
        <f t="shared" si="5"/>
        <v>7</v>
      </c>
      <c r="C75" s="5">
        <f>Model_30y!V75</f>
        <v>4929.3730212526152</v>
      </c>
      <c r="D75" s="5">
        <f>Model_15y!V75</f>
        <v>4929.3730212526152</v>
      </c>
      <c r="E75" s="2">
        <f>Model_Renter!C75</f>
        <v>4929.3730212526152</v>
      </c>
      <c r="F75" s="24">
        <f t="shared" si="3"/>
        <v>1</v>
      </c>
    </row>
    <row r="76" spans="1:6" x14ac:dyDescent="0.25">
      <c r="A76" s="31">
        <f t="shared" si="4"/>
        <v>74</v>
      </c>
      <c r="B76" s="33">
        <f t="shared" si="5"/>
        <v>7</v>
      </c>
      <c r="C76" s="5">
        <f>Model_30y!V76</f>
        <v>4936.1047799109037</v>
      </c>
      <c r="D76" s="5">
        <f>Model_15y!V76</f>
        <v>4936.1047799109037</v>
      </c>
      <c r="E76" s="2">
        <f>Model_Renter!C76</f>
        <v>4936.1047799109037</v>
      </c>
      <c r="F76" s="24">
        <f t="shared" si="3"/>
        <v>1</v>
      </c>
    </row>
    <row r="77" spans="1:6" x14ac:dyDescent="0.25">
      <c r="A77" s="31">
        <f t="shared" si="4"/>
        <v>75</v>
      </c>
      <c r="B77" s="33">
        <f t="shared" si="5"/>
        <v>7</v>
      </c>
      <c r="C77" s="5">
        <f>Model_30y!V77</f>
        <v>4942.8639645872472</v>
      </c>
      <c r="D77" s="5">
        <f>Model_15y!V77</f>
        <v>4942.8639645872472</v>
      </c>
      <c r="E77" s="2">
        <f>Model_Renter!C77</f>
        <v>4942.8639645872472</v>
      </c>
      <c r="F77" s="24">
        <f t="shared" si="3"/>
        <v>1</v>
      </c>
    </row>
    <row r="78" spans="1:6" x14ac:dyDescent="0.25">
      <c r="A78" s="31">
        <f t="shared" si="4"/>
        <v>76</v>
      </c>
      <c r="B78" s="33">
        <f t="shared" si="5"/>
        <v>7</v>
      </c>
      <c r="C78" s="5">
        <f>Model_30y!V78</f>
        <v>4949.6506870186386</v>
      </c>
      <c r="D78" s="5">
        <f>Model_15y!V78</f>
        <v>4949.6506870186386</v>
      </c>
      <c r="E78" s="2">
        <f>Model_Renter!C78</f>
        <v>4949.6506870186386</v>
      </c>
      <c r="F78" s="24">
        <f t="shared" si="3"/>
        <v>1</v>
      </c>
    </row>
    <row r="79" spans="1:6" x14ac:dyDescent="0.25">
      <c r="A79" s="31">
        <f t="shared" si="4"/>
        <v>77</v>
      </c>
      <c r="B79" s="33">
        <f t="shared" si="5"/>
        <v>7</v>
      </c>
      <c r="C79" s="5">
        <f>Model_30y!V79</f>
        <v>4956.4650593973001</v>
      </c>
      <c r="D79" s="5">
        <f>Model_15y!V79</f>
        <v>4956.4650593973001</v>
      </c>
      <c r="E79" s="2">
        <f>Model_Renter!C79</f>
        <v>4956.4650593973001</v>
      </c>
      <c r="F79" s="24">
        <f t="shared" si="3"/>
        <v>1</v>
      </c>
    </row>
    <row r="80" spans="1:6" x14ac:dyDescent="0.25">
      <c r="A80" s="31">
        <f t="shared" si="4"/>
        <v>78</v>
      </c>
      <c r="B80" s="33">
        <f t="shared" si="5"/>
        <v>7</v>
      </c>
      <c r="C80" s="5">
        <f>Model_30y!V80</f>
        <v>4963.3071943725408</v>
      </c>
      <c r="D80" s="5">
        <f>Model_15y!V80</f>
        <v>4963.3071943725408</v>
      </c>
      <c r="E80" s="2">
        <f>Model_Renter!C80</f>
        <v>4963.3071943725408</v>
      </c>
      <c r="F80" s="24">
        <f t="shared" si="3"/>
        <v>1</v>
      </c>
    </row>
    <row r="81" spans="1:6" x14ac:dyDescent="0.25">
      <c r="A81" s="31">
        <f t="shared" si="4"/>
        <v>79</v>
      </c>
      <c r="B81" s="33">
        <f t="shared" si="5"/>
        <v>7</v>
      </c>
      <c r="C81" s="5">
        <f>Model_30y!V81</f>
        <v>4970.1772050526151</v>
      </c>
      <c r="D81" s="5">
        <f>Model_15y!V81</f>
        <v>4970.1772050526151</v>
      </c>
      <c r="E81" s="2">
        <f>Model_Renter!C81</f>
        <v>4970.1772050526151</v>
      </c>
      <c r="F81" s="24">
        <f t="shared" si="3"/>
        <v>1</v>
      </c>
    </row>
    <row r="82" spans="1:6" x14ac:dyDescent="0.25">
      <c r="A82" s="31">
        <f t="shared" si="4"/>
        <v>80</v>
      </c>
      <c r="B82" s="33">
        <f t="shared" si="5"/>
        <v>7</v>
      </c>
      <c r="C82" s="5">
        <f>Model_30y!V82</f>
        <v>4977.0752050065948</v>
      </c>
      <c r="D82" s="5">
        <f>Model_15y!V82</f>
        <v>4977.0752050065948</v>
      </c>
      <c r="E82" s="2">
        <f>Model_Renter!C82</f>
        <v>4977.0752050065948</v>
      </c>
      <c r="F82" s="24">
        <f t="shared" si="3"/>
        <v>1</v>
      </c>
    </row>
    <row r="83" spans="1:6" x14ac:dyDescent="0.25">
      <c r="A83" s="31">
        <f t="shared" si="4"/>
        <v>81</v>
      </c>
      <c r="B83" s="33">
        <f t="shared" si="5"/>
        <v>7</v>
      </c>
      <c r="C83" s="5">
        <f>Model_30y!V83</f>
        <v>4984.0013082662472</v>
      </c>
      <c r="D83" s="5">
        <f>Model_15y!V83</f>
        <v>4984.0013082662472</v>
      </c>
      <c r="E83" s="2">
        <f>Model_Renter!C83</f>
        <v>4984.0013082662472</v>
      </c>
      <c r="F83" s="24">
        <f t="shared" si="3"/>
        <v>1</v>
      </c>
    </row>
    <row r="84" spans="1:6" x14ac:dyDescent="0.25">
      <c r="A84" s="31">
        <f t="shared" si="4"/>
        <v>82</v>
      </c>
      <c r="B84" s="33">
        <f t="shared" si="5"/>
        <v>7</v>
      </c>
      <c r="C84" s="5">
        <f>Model_30y!V84</f>
        <v>4990.9556293279174</v>
      </c>
      <c r="D84" s="5">
        <f>Model_15y!V84</f>
        <v>4990.9556293279174</v>
      </c>
      <c r="E84" s="2">
        <f>Model_Renter!C84</f>
        <v>4990.9556293279174</v>
      </c>
      <c r="F84" s="24">
        <f t="shared" si="3"/>
        <v>1</v>
      </c>
    </row>
    <row r="85" spans="1:6" x14ac:dyDescent="0.25">
      <c r="A85" s="31">
        <f t="shared" si="4"/>
        <v>83</v>
      </c>
      <c r="B85" s="33">
        <f t="shared" si="5"/>
        <v>7</v>
      </c>
      <c r="C85" s="5">
        <f>Model_30y!V85</f>
        <v>4997.9382831544244</v>
      </c>
      <c r="D85" s="5">
        <f>Model_15y!V85</f>
        <v>4997.9382831544244</v>
      </c>
      <c r="E85" s="2">
        <f>Model_Renter!C85</f>
        <v>4997.9382831544244</v>
      </c>
      <c r="F85" s="24">
        <f t="shared" si="3"/>
        <v>1</v>
      </c>
    </row>
    <row r="86" spans="1:6" x14ac:dyDescent="0.25">
      <c r="A86" s="31">
        <f t="shared" si="4"/>
        <v>84</v>
      </c>
      <c r="B86" s="33">
        <f t="shared" si="5"/>
        <v>7</v>
      </c>
      <c r="C86" s="5">
        <f>Model_30y!V86</f>
        <v>5004.9493851769585</v>
      </c>
      <c r="D86" s="5">
        <f>Model_15y!V86</f>
        <v>5004.9493851769585</v>
      </c>
      <c r="E86" s="2">
        <f>Model_Renter!C86</f>
        <v>5004.9493851769585</v>
      </c>
      <c r="F86" s="24">
        <f t="shared" si="3"/>
        <v>1</v>
      </c>
    </row>
    <row r="87" spans="1:6" x14ac:dyDescent="0.25">
      <c r="A87" s="31">
        <f t="shared" si="4"/>
        <v>85</v>
      </c>
      <c r="B87" s="33">
        <f t="shared" si="5"/>
        <v>8</v>
      </c>
      <c r="C87" s="5">
        <f>Model_30y!V87</f>
        <v>5033.7600217253121</v>
      </c>
      <c r="D87" s="5">
        <f>Model_15y!V87</f>
        <v>5033.7600217253121</v>
      </c>
      <c r="E87" s="2">
        <f>Model_Renter!C87</f>
        <v>5033.7600217253121</v>
      </c>
      <c r="F87" s="24">
        <f t="shared" si="3"/>
        <v>1</v>
      </c>
    </row>
    <row r="88" spans="1:6" x14ac:dyDescent="0.25">
      <c r="A88" s="31">
        <f t="shared" si="4"/>
        <v>86</v>
      </c>
      <c r="B88" s="33">
        <f t="shared" si="5"/>
        <v>8</v>
      </c>
      <c r="C88" s="5">
        <f>Model_30y!V88</f>
        <v>5040.8283683165146</v>
      </c>
      <c r="D88" s="5">
        <f>Model_15y!V88</f>
        <v>5040.8283683165146</v>
      </c>
      <c r="E88" s="2">
        <f>Model_Renter!C88</f>
        <v>5040.8283683165146</v>
      </c>
      <c r="F88" s="24">
        <f t="shared" si="3"/>
        <v>1</v>
      </c>
    </row>
    <row r="89" spans="1:6" x14ac:dyDescent="0.25">
      <c r="A89" s="31">
        <f t="shared" si="4"/>
        <v>87</v>
      </c>
      <c r="B89" s="33">
        <f t="shared" si="5"/>
        <v>8</v>
      </c>
      <c r="C89" s="5">
        <f>Model_30y!V89</f>
        <v>5047.925512226675</v>
      </c>
      <c r="D89" s="5">
        <f>Model_15y!V89</f>
        <v>5047.925512226675</v>
      </c>
      <c r="E89" s="2">
        <f>Model_Renter!C89</f>
        <v>5047.925512226675</v>
      </c>
      <c r="F89" s="24">
        <f t="shared" si="3"/>
        <v>1</v>
      </c>
    </row>
    <row r="90" spans="1:6" x14ac:dyDescent="0.25">
      <c r="A90" s="31">
        <f t="shared" si="4"/>
        <v>88</v>
      </c>
      <c r="B90" s="33">
        <f t="shared" si="5"/>
        <v>8</v>
      </c>
      <c r="C90" s="5">
        <f>Model_30y!V90</f>
        <v>5055.0515707796367</v>
      </c>
      <c r="D90" s="5">
        <f>Model_15y!V90</f>
        <v>5055.0515707796367</v>
      </c>
      <c r="E90" s="2">
        <f>Model_Renter!C90</f>
        <v>5055.0515707796367</v>
      </c>
      <c r="F90" s="24">
        <f t="shared" si="3"/>
        <v>1</v>
      </c>
    </row>
    <row r="91" spans="1:6" x14ac:dyDescent="0.25">
      <c r="A91" s="31">
        <f t="shared" si="4"/>
        <v>89</v>
      </c>
      <c r="B91" s="33">
        <f t="shared" si="5"/>
        <v>8</v>
      </c>
      <c r="C91" s="5">
        <f>Model_30y!V91</f>
        <v>5062.2066617772316</v>
      </c>
      <c r="D91" s="5">
        <f>Model_15y!V91</f>
        <v>5062.2066617772316</v>
      </c>
      <c r="E91" s="2">
        <f>Model_Renter!C91</f>
        <v>5062.2066617772316</v>
      </c>
      <c r="F91" s="24">
        <f t="shared" si="3"/>
        <v>1</v>
      </c>
    </row>
    <row r="92" spans="1:6" x14ac:dyDescent="0.25">
      <c r="A92" s="31">
        <f t="shared" si="4"/>
        <v>90</v>
      </c>
      <c r="B92" s="33">
        <f t="shared" si="5"/>
        <v>8</v>
      </c>
      <c r="C92" s="5">
        <f>Model_30y!V92</f>
        <v>5069.3909035012339</v>
      </c>
      <c r="D92" s="5">
        <f>Model_15y!V92</f>
        <v>5069.3909035012339</v>
      </c>
      <c r="E92" s="2">
        <f>Model_Renter!C92</f>
        <v>5069.3909035012339</v>
      </c>
      <c r="F92" s="24">
        <f t="shared" si="3"/>
        <v>1</v>
      </c>
    </row>
    <row r="93" spans="1:6" x14ac:dyDescent="0.25">
      <c r="A93" s="31">
        <f t="shared" si="4"/>
        <v>91</v>
      </c>
      <c r="B93" s="33">
        <f t="shared" si="5"/>
        <v>8</v>
      </c>
      <c r="C93" s="5">
        <f>Model_30y!V93</f>
        <v>5076.6044147153116</v>
      </c>
      <c r="D93" s="5">
        <f>Model_15y!V93</f>
        <v>5076.6044147153116</v>
      </c>
      <c r="E93" s="2">
        <f>Model_Renter!C93</f>
        <v>5076.6044147153116</v>
      </c>
      <c r="F93" s="24">
        <f t="shared" si="3"/>
        <v>1</v>
      </c>
    </row>
    <row r="94" spans="1:6" x14ac:dyDescent="0.25">
      <c r="A94" s="31">
        <f t="shared" si="4"/>
        <v>92</v>
      </c>
      <c r="B94" s="33">
        <f t="shared" si="5"/>
        <v>8</v>
      </c>
      <c r="C94" s="5">
        <f>Model_30y!V94</f>
        <v>5083.8473146669912</v>
      </c>
      <c r="D94" s="5">
        <f>Model_15y!V94</f>
        <v>5083.8473146669912</v>
      </c>
      <c r="E94" s="2">
        <f>Model_Renter!C94</f>
        <v>5083.8473146669912</v>
      </c>
      <c r="F94" s="24">
        <f t="shared" si="3"/>
        <v>1</v>
      </c>
    </row>
    <row r="95" spans="1:6" x14ac:dyDescent="0.25">
      <c r="A95" s="31">
        <f t="shared" si="4"/>
        <v>93</v>
      </c>
      <c r="B95" s="33">
        <f t="shared" si="5"/>
        <v>8</v>
      </c>
      <c r="C95" s="5">
        <f>Model_30y!V95</f>
        <v>5091.1197230896259</v>
      </c>
      <c r="D95" s="5">
        <f>Model_15y!V95</f>
        <v>5091.1197230896259</v>
      </c>
      <c r="E95" s="2">
        <f>Model_Renter!C95</f>
        <v>5091.1197230896259</v>
      </c>
      <c r="F95" s="24">
        <f t="shared" si="3"/>
        <v>1</v>
      </c>
    </row>
    <row r="96" spans="1:6" x14ac:dyDescent="0.25">
      <c r="A96" s="31">
        <f t="shared" si="4"/>
        <v>94</v>
      </c>
      <c r="B96" s="33">
        <f t="shared" si="5"/>
        <v>8</v>
      </c>
      <c r="C96" s="5">
        <f>Model_30y!V96</f>
        <v>5098.4217602043791</v>
      </c>
      <c r="D96" s="5">
        <f>Model_15y!V96</f>
        <v>5098.4217602043791</v>
      </c>
      <c r="E96" s="2">
        <f>Model_Renter!C96</f>
        <v>5098.4217602043791</v>
      </c>
      <c r="F96" s="24">
        <f t="shared" si="3"/>
        <v>1</v>
      </c>
    </row>
    <row r="97" spans="1:6" x14ac:dyDescent="0.25">
      <c r="A97" s="31">
        <f t="shared" si="4"/>
        <v>95</v>
      </c>
      <c r="B97" s="33">
        <f t="shared" si="5"/>
        <v>8</v>
      </c>
      <c r="C97" s="5">
        <f>Model_30y!V97</f>
        <v>5105.7535467222115</v>
      </c>
      <c r="D97" s="5">
        <f>Model_15y!V97</f>
        <v>5105.7535467222115</v>
      </c>
      <c r="E97" s="2">
        <f>Model_Renter!C97</f>
        <v>5105.7535467222115</v>
      </c>
      <c r="F97" s="24">
        <f t="shared" si="3"/>
        <v>1</v>
      </c>
    </row>
    <row r="98" spans="1:6" x14ac:dyDescent="0.25">
      <c r="A98" s="31">
        <f t="shared" si="4"/>
        <v>96</v>
      </c>
      <c r="B98" s="33">
        <f t="shared" si="5"/>
        <v>8</v>
      </c>
      <c r="C98" s="5">
        <f>Model_30y!V98</f>
        <v>5113.1152038458722</v>
      </c>
      <c r="D98" s="5">
        <f>Model_15y!V98</f>
        <v>5113.1152038458722</v>
      </c>
      <c r="E98" s="2">
        <f>Model_Renter!C98</f>
        <v>5113.1152038458722</v>
      </c>
      <c r="F98" s="24">
        <f t="shared" si="3"/>
        <v>1</v>
      </c>
    </row>
    <row r="99" spans="1:6" x14ac:dyDescent="0.25">
      <c r="A99" s="31">
        <f t="shared" si="4"/>
        <v>97</v>
      </c>
      <c r="B99" s="33">
        <f t="shared" si="5"/>
        <v>9</v>
      </c>
      <c r="C99" s="5">
        <f>Model_30y!V99</f>
        <v>5143.3663722216443</v>
      </c>
      <c r="D99" s="5">
        <f>Model_15y!V99</f>
        <v>5143.3663722216443</v>
      </c>
      <c r="E99" s="2">
        <f>Model_Renter!C99</f>
        <v>5143.3663722216443</v>
      </c>
      <c r="F99" s="24">
        <f t="shared" si="3"/>
        <v>1</v>
      </c>
    </row>
    <row r="100" spans="1:6" x14ac:dyDescent="0.25">
      <c r="A100" s="31">
        <f t="shared" si="4"/>
        <v>98</v>
      </c>
      <c r="B100" s="33">
        <f t="shared" si="5"/>
        <v>9</v>
      </c>
      <c r="C100" s="5">
        <f>Model_30y!V100</f>
        <v>5150.788136142407</v>
      </c>
      <c r="D100" s="5">
        <f>Model_15y!V100</f>
        <v>5150.788136142407</v>
      </c>
      <c r="E100" s="2">
        <f>Model_Renter!C100</f>
        <v>5150.788136142407</v>
      </c>
      <c r="F100" s="24">
        <f t="shared" si="3"/>
        <v>1</v>
      </c>
    </row>
    <row r="101" spans="1:6" x14ac:dyDescent="0.25">
      <c r="A101" s="31">
        <f t="shared" si="4"/>
        <v>99</v>
      </c>
      <c r="B101" s="33">
        <f t="shared" si="5"/>
        <v>9</v>
      </c>
      <c r="C101" s="5">
        <f>Model_30y!V101</f>
        <v>5158.2401372480754</v>
      </c>
      <c r="D101" s="5">
        <f>Model_15y!V101</f>
        <v>5158.2401372480754</v>
      </c>
      <c r="E101" s="2">
        <f>Model_Renter!C101</f>
        <v>5158.2401372480754</v>
      </c>
      <c r="F101" s="24">
        <f t="shared" si="3"/>
        <v>1</v>
      </c>
    </row>
    <row r="102" spans="1:6" x14ac:dyDescent="0.25">
      <c r="A102" s="31">
        <f t="shared" si="4"/>
        <v>100</v>
      </c>
      <c r="B102" s="33">
        <f t="shared" si="5"/>
        <v>9</v>
      </c>
      <c r="C102" s="5">
        <f>Model_30y!V102</f>
        <v>5165.7224987286845</v>
      </c>
      <c r="D102" s="5">
        <f>Model_15y!V102</f>
        <v>5165.7224987286845</v>
      </c>
      <c r="E102" s="2">
        <f>Model_Renter!C102</f>
        <v>5165.7224987286845</v>
      </c>
      <c r="F102" s="24">
        <f t="shared" si="3"/>
        <v>1</v>
      </c>
    </row>
    <row r="103" spans="1:6" x14ac:dyDescent="0.25">
      <c r="A103" s="31">
        <f t="shared" si="4"/>
        <v>101</v>
      </c>
      <c r="B103" s="33">
        <f t="shared" si="5"/>
        <v>9</v>
      </c>
      <c r="C103" s="5">
        <f>Model_30y!V103</f>
        <v>5173.2353442761596</v>
      </c>
      <c r="D103" s="5">
        <f>Model_15y!V103</f>
        <v>5173.2353442761596</v>
      </c>
      <c r="E103" s="2">
        <f>Model_Renter!C103</f>
        <v>5173.2353442761596</v>
      </c>
      <c r="F103" s="24">
        <f t="shared" si="3"/>
        <v>1</v>
      </c>
    </row>
    <row r="104" spans="1:6" x14ac:dyDescent="0.25">
      <c r="A104" s="31">
        <f t="shared" si="4"/>
        <v>102</v>
      </c>
      <c r="B104" s="33">
        <f t="shared" si="5"/>
        <v>9</v>
      </c>
      <c r="C104" s="5">
        <f>Model_30y!V104</f>
        <v>5180.7787980863623</v>
      </c>
      <c r="D104" s="5">
        <f>Model_15y!V104</f>
        <v>5180.7787980863623</v>
      </c>
      <c r="E104" s="2">
        <f>Model_Renter!C104</f>
        <v>5180.7787980863623</v>
      </c>
      <c r="F104" s="24">
        <f t="shared" si="3"/>
        <v>1</v>
      </c>
    </row>
    <row r="105" spans="1:6" x14ac:dyDescent="0.25">
      <c r="A105" s="31">
        <f t="shared" si="4"/>
        <v>103</v>
      </c>
      <c r="B105" s="33">
        <f t="shared" si="5"/>
        <v>9</v>
      </c>
      <c r="C105" s="5">
        <f>Model_30y!V105</f>
        <v>5188.3529848611433</v>
      </c>
      <c r="D105" s="5">
        <f>Model_15y!V105</f>
        <v>5188.3529848611433</v>
      </c>
      <c r="E105" s="2">
        <f>Model_Renter!C105</f>
        <v>5188.3529848611433</v>
      </c>
      <c r="F105" s="24">
        <f t="shared" si="3"/>
        <v>1</v>
      </c>
    </row>
    <row r="106" spans="1:6" x14ac:dyDescent="0.25">
      <c r="A106" s="31">
        <f t="shared" si="4"/>
        <v>104</v>
      </c>
      <c r="B106" s="33">
        <f t="shared" si="5"/>
        <v>9</v>
      </c>
      <c r="C106" s="5">
        <f>Model_30y!V106</f>
        <v>5195.9580298104065</v>
      </c>
      <c r="D106" s="5">
        <f>Model_15y!V106</f>
        <v>5195.9580298104065</v>
      </c>
      <c r="E106" s="2">
        <f>Model_Renter!C106</f>
        <v>5195.9580298104065</v>
      </c>
      <c r="F106" s="24">
        <f t="shared" si="3"/>
        <v>1</v>
      </c>
    </row>
    <row r="107" spans="1:6" x14ac:dyDescent="0.25">
      <c r="A107" s="31">
        <f t="shared" si="4"/>
        <v>105</v>
      </c>
      <c r="B107" s="33">
        <f t="shared" si="5"/>
        <v>9</v>
      </c>
      <c r="C107" s="5">
        <f>Model_30y!V107</f>
        <v>5203.5940586541728</v>
      </c>
      <c r="D107" s="5">
        <f>Model_15y!V107</f>
        <v>5203.5940586541728</v>
      </c>
      <c r="E107" s="2">
        <f>Model_Renter!C107</f>
        <v>5203.5940586541728</v>
      </c>
      <c r="F107" s="24">
        <f t="shared" si="3"/>
        <v>1</v>
      </c>
    </row>
    <row r="108" spans="1:6" x14ac:dyDescent="0.25">
      <c r="A108" s="31">
        <f t="shared" si="4"/>
        <v>106</v>
      </c>
      <c r="B108" s="33">
        <f t="shared" si="5"/>
        <v>9</v>
      </c>
      <c r="C108" s="5">
        <f>Model_30y!V108</f>
        <v>5211.2611976246644</v>
      </c>
      <c r="D108" s="5">
        <f>Model_15y!V108</f>
        <v>5211.2611976246644</v>
      </c>
      <c r="E108" s="2">
        <f>Model_Renter!C108</f>
        <v>5211.2611976246644</v>
      </c>
      <c r="F108" s="24">
        <f t="shared" si="3"/>
        <v>1</v>
      </c>
    </row>
    <row r="109" spans="1:6" x14ac:dyDescent="0.25">
      <c r="A109" s="31">
        <f t="shared" si="4"/>
        <v>107</v>
      </c>
      <c r="B109" s="33">
        <f t="shared" si="5"/>
        <v>9</v>
      </c>
      <c r="C109" s="5">
        <f>Model_30y!V109</f>
        <v>5218.959573468388</v>
      </c>
      <c r="D109" s="5">
        <f>Model_15y!V109</f>
        <v>5218.959573468388</v>
      </c>
      <c r="E109" s="2">
        <f>Model_Renter!C109</f>
        <v>5218.959573468388</v>
      </c>
      <c r="F109" s="24">
        <f t="shared" si="3"/>
        <v>1</v>
      </c>
    </row>
    <row r="110" spans="1:6" x14ac:dyDescent="0.25">
      <c r="A110" s="31">
        <f t="shared" si="4"/>
        <v>108</v>
      </c>
      <c r="B110" s="33">
        <f t="shared" si="5"/>
        <v>9</v>
      </c>
      <c r="C110" s="5">
        <f>Model_30y!V110</f>
        <v>5226.6893134482325</v>
      </c>
      <c r="D110" s="5">
        <f>Model_15y!V110</f>
        <v>5226.6893134482325</v>
      </c>
      <c r="E110" s="2">
        <f>Model_Renter!C110</f>
        <v>5226.6893134482325</v>
      </c>
      <c r="F110" s="24">
        <f t="shared" si="3"/>
        <v>1</v>
      </c>
    </row>
    <row r="111" spans="1:6" x14ac:dyDescent="0.25">
      <c r="A111" s="31">
        <f t="shared" si="4"/>
        <v>109</v>
      </c>
      <c r="B111" s="33">
        <f t="shared" si="5"/>
        <v>10</v>
      </c>
      <c r="C111" s="5">
        <f>Model_30y!V111</f>
        <v>5258.4530402427918</v>
      </c>
      <c r="D111" s="5">
        <f>Model_15y!V111</f>
        <v>5258.4530402427918</v>
      </c>
      <c r="E111" s="2">
        <f>Model_Renter!C111</f>
        <v>5258.4530402427918</v>
      </c>
      <c r="F111" s="24">
        <f t="shared" si="3"/>
        <v>1</v>
      </c>
    </row>
    <row r="112" spans="1:6" x14ac:dyDescent="0.25">
      <c r="A112" s="31">
        <f t="shared" si="4"/>
        <v>110</v>
      </c>
      <c r="B112" s="33">
        <f t="shared" si="5"/>
        <v>10</v>
      </c>
      <c r="C112" s="5">
        <f>Model_30y!V112</f>
        <v>5266.2458923595932</v>
      </c>
      <c r="D112" s="5">
        <f>Model_15y!V112</f>
        <v>5266.2458923595932</v>
      </c>
      <c r="E112" s="2">
        <f>Model_Renter!C112</f>
        <v>5266.2458923595932</v>
      </c>
      <c r="F112" s="24">
        <f t="shared" si="3"/>
        <v>1</v>
      </c>
    </row>
    <row r="113" spans="1:6" x14ac:dyDescent="0.25">
      <c r="A113" s="31">
        <f t="shared" si="4"/>
        <v>111</v>
      </c>
      <c r="B113" s="33">
        <f t="shared" si="5"/>
        <v>10</v>
      </c>
      <c r="C113" s="5">
        <f>Model_30y!V113</f>
        <v>5274.0704935205449</v>
      </c>
      <c r="D113" s="5">
        <f>Model_15y!V113</f>
        <v>5274.0704935205449</v>
      </c>
      <c r="E113" s="2">
        <f>Model_Renter!C113</f>
        <v>5274.0704935205449</v>
      </c>
      <c r="F113" s="24">
        <f t="shared" si="3"/>
        <v>1</v>
      </c>
    </row>
    <row r="114" spans="1:6" x14ac:dyDescent="0.25">
      <c r="A114" s="31">
        <f t="shared" si="4"/>
        <v>112</v>
      </c>
      <c r="B114" s="33">
        <f t="shared" si="5"/>
        <v>10</v>
      </c>
      <c r="C114" s="5">
        <f>Model_30y!V114</f>
        <v>5281.9269730751839</v>
      </c>
      <c r="D114" s="5">
        <f>Model_15y!V114</f>
        <v>5281.9269730751839</v>
      </c>
      <c r="E114" s="2">
        <f>Model_Renter!C114</f>
        <v>5281.9269730751839</v>
      </c>
      <c r="F114" s="24">
        <f t="shared" si="3"/>
        <v>1</v>
      </c>
    </row>
    <row r="115" spans="1:6" x14ac:dyDescent="0.25">
      <c r="A115" s="31">
        <f t="shared" si="4"/>
        <v>113</v>
      </c>
      <c r="B115" s="33">
        <f t="shared" si="5"/>
        <v>10</v>
      </c>
      <c r="C115" s="5">
        <f>Model_30y!V115</f>
        <v>5289.815460900033</v>
      </c>
      <c r="D115" s="5">
        <f>Model_15y!V115</f>
        <v>5289.815460900033</v>
      </c>
      <c r="E115" s="2">
        <f>Model_Renter!C115</f>
        <v>5289.815460900033</v>
      </c>
      <c r="F115" s="24">
        <f t="shared" si="3"/>
        <v>1</v>
      </c>
    </row>
    <row r="116" spans="1:6" x14ac:dyDescent="0.25">
      <c r="A116" s="31">
        <f t="shared" si="4"/>
        <v>114</v>
      </c>
      <c r="B116" s="33">
        <f t="shared" si="5"/>
        <v>10</v>
      </c>
      <c r="C116" s="5">
        <f>Model_30y!V116</f>
        <v>5297.7360874007463</v>
      </c>
      <c r="D116" s="5">
        <f>Model_15y!V116</f>
        <v>5297.7360874007463</v>
      </c>
      <c r="E116" s="2">
        <f>Model_Renter!C116</f>
        <v>5297.7360874007463</v>
      </c>
      <c r="F116" s="24">
        <f t="shared" si="3"/>
        <v>1</v>
      </c>
    </row>
    <row r="117" spans="1:6" x14ac:dyDescent="0.25">
      <c r="A117" s="31">
        <f t="shared" si="4"/>
        <v>115</v>
      </c>
      <c r="B117" s="33">
        <f t="shared" si="5"/>
        <v>10</v>
      </c>
      <c r="C117" s="5">
        <f>Model_30y!V117</f>
        <v>5305.6889835142674</v>
      </c>
      <c r="D117" s="5">
        <f>Model_15y!V117</f>
        <v>5305.6889835142674</v>
      </c>
      <c r="E117" s="2">
        <f>Model_Renter!C117</f>
        <v>5305.6889835142674</v>
      </c>
      <c r="F117" s="24">
        <f t="shared" si="3"/>
        <v>1</v>
      </c>
    </row>
    <row r="118" spans="1:6" x14ac:dyDescent="0.25">
      <c r="A118" s="31">
        <f t="shared" si="4"/>
        <v>116</v>
      </c>
      <c r="B118" s="33">
        <f t="shared" si="5"/>
        <v>10</v>
      </c>
      <c r="C118" s="5">
        <f>Model_30y!V118</f>
        <v>5313.6742807109931</v>
      </c>
      <c r="D118" s="5">
        <f>Model_15y!V118</f>
        <v>5313.6742807109931</v>
      </c>
      <c r="E118" s="2">
        <f>Model_Renter!C118</f>
        <v>5313.6742807109931</v>
      </c>
      <c r="F118" s="24">
        <f t="shared" si="3"/>
        <v>1</v>
      </c>
    </row>
    <row r="119" spans="1:6" x14ac:dyDescent="0.25">
      <c r="A119" s="31">
        <f t="shared" si="4"/>
        <v>117</v>
      </c>
      <c r="B119" s="33">
        <f t="shared" si="5"/>
        <v>10</v>
      </c>
      <c r="C119" s="5">
        <f>Model_30y!V119</f>
        <v>5321.692110996948</v>
      </c>
      <c r="D119" s="5">
        <f>Model_15y!V119</f>
        <v>5321.692110996948</v>
      </c>
      <c r="E119" s="2">
        <f>Model_Renter!C119</f>
        <v>5321.692110996948</v>
      </c>
      <c r="F119" s="24">
        <f t="shared" si="3"/>
        <v>1</v>
      </c>
    </row>
    <row r="120" spans="1:6" x14ac:dyDescent="0.25">
      <c r="A120" s="31">
        <f t="shared" si="4"/>
        <v>118</v>
      </c>
      <c r="B120" s="33">
        <f t="shared" si="5"/>
        <v>10</v>
      </c>
      <c r="C120" s="5">
        <f>Model_30y!V120</f>
        <v>5329.7426069159646</v>
      </c>
      <c r="D120" s="5">
        <f>Model_15y!V120</f>
        <v>5329.7426069159646</v>
      </c>
      <c r="E120" s="2">
        <f>Model_Renter!C120</f>
        <v>5329.7426069159646</v>
      </c>
      <c r="F120" s="24">
        <f t="shared" si="3"/>
        <v>1</v>
      </c>
    </row>
    <row r="121" spans="1:6" x14ac:dyDescent="0.25">
      <c r="A121" s="31">
        <f t="shared" si="4"/>
        <v>119</v>
      </c>
      <c r="B121" s="33">
        <f t="shared" si="5"/>
        <v>10</v>
      </c>
      <c r="C121" s="5">
        <f>Model_30y!V121</f>
        <v>5337.8259015518743</v>
      </c>
      <c r="D121" s="5">
        <f>Model_15y!V121</f>
        <v>5337.8259015518743</v>
      </c>
      <c r="E121" s="2">
        <f>Model_Renter!C121</f>
        <v>5337.8259015518743</v>
      </c>
      <c r="F121" s="24">
        <f t="shared" si="3"/>
        <v>1</v>
      </c>
    </row>
    <row r="122" spans="1:6" x14ac:dyDescent="0.25">
      <c r="A122" s="31">
        <f t="shared" si="4"/>
        <v>120</v>
      </c>
      <c r="B122" s="33">
        <f t="shared" si="5"/>
        <v>10</v>
      </c>
      <c r="C122" s="5">
        <f>Model_30y!V122</f>
        <v>5345.9421285307108</v>
      </c>
      <c r="D122" s="5">
        <f>Model_15y!V122</f>
        <v>5345.9421285307108</v>
      </c>
      <c r="E122" s="2">
        <f>Model_Renter!C122</f>
        <v>5345.9421285307108</v>
      </c>
      <c r="F122" s="24">
        <f t="shared" si="3"/>
        <v>1</v>
      </c>
    </row>
    <row r="123" spans="1:6" x14ac:dyDescent="0.25">
      <c r="A123" s="31">
        <f t="shared" si="4"/>
        <v>121</v>
      </c>
      <c r="B123" s="33">
        <f t="shared" si="5"/>
        <v>11</v>
      </c>
      <c r="C123" s="5">
        <f>Model_30y!V123</f>
        <v>5379.2940416649981</v>
      </c>
      <c r="D123" s="5">
        <f>Model_15y!V123</f>
        <v>5379.2940416649981</v>
      </c>
      <c r="E123" s="2">
        <f>Model_Renter!C123</f>
        <v>5379.2940416649981</v>
      </c>
      <c r="F123" s="24">
        <f t="shared" si="3"/>
        <v>1</v>
      </c>
    </row>
    <row r="124" spans="1:6" x14ac:dyDescent="0.25">
      <c r="A124" s="31">
        <f t="shared" si="4"/>
        <v>122</v>
      </c>
      <c r="B124" s="33">
        <f t="shared" si="5"/>
        <v>11</v>
      </c>
      <c r="C124" s="5">
        <f>Model_30y!V124</f>
        <v>5387.4765363876395</v>
      </c>
      <c r="D124" s="5">
        <f>Model_15y!V124</f>
        <v>5387.4765363876395</v>
      </c>
      <c r="E124" s="2">
        <f>Model_Renter!C124</f>
        <v>5387.4765363876395</v>
      </c>
      <c r="F124" s="24">
        <f t="shared" si="3"/>
        <v>1</v>
      </c>
    </row>
    <row r="125" spans="1:6" x14ac:dyDescent="0.25">
      <c r="A125" s="31">
        <f t="shared" si="4"/>
        <v>123</v>
      </c>
      <c r="B125" s="33">
        <f t="shared" si="5"/>
        <v>11</v>
      </c>
      <c r="C125" s="5">
        <f>Model_30y!V125</f>
        <v>5395.692367606639</v>
      </c>
      <c r="D125" s="5">
        <f>Model_15y!V125</f>
        <v>5395.692367606639</v>
      </c>
      <c r="E125" s="2">
        <f>Model_Renter!C125</f>
        <v>5395.692367606639</v>
      </c>
      <c r="F125" s="24">
        <f t="shared" si="3"/>
        <v>1</v>
      </c>
    </row>
    <row r="126" spans="1:6" x14ac:dyDescent="0.25">
      <c r="A126" s="31">
        <f t="shared" si="4"/>
        <v>124</v>
      </c>
      <c r="B126" s="33">
        <f t="shared" si="5"/>
        <v>11</v>
      </c>
      <c r="C126" s="5">
        <f>Model_30y!V126</f>
        <v>5403.9416711390104</v>
      </c>
      <c r="D126" s="5">
        <f>Model_15y!V126</f>
        <v>5403.9416711390104</v>
      </c>
      <c r="E126" s="2">
        <f>Model_Renter!C126</f>
        <v>5403.9416711390104</v>
      </c>
      <c r="F126" s="24">
        <f t="shared" si="3"/>
        <v>1</v>
      </c>
    </row>
    <row r="127" spans="1:6" x14ac:dyDescent="0.25">
      <c r="A127" s="31">
        <f t="shared" si="4"/>
        <v>125</v>
      </c>
      <c r="B127" s="33">
        <f t="shared" si="5"/>
        <v>11</v>
      </c>
      <c r="C127" s="5">
        <f>Model_30y!V127</f>
        <v>5412.2245833551015</v>
      </c>
      <c r="D127" s="5">
        <f>Model_15y!V127</f>
        <v>5412.2245833551015</v>
      </c>
      <c r="E127" s="2">
        <f>Model_Renter!C127</f>
        <v>5412.2245833551015</v>
      </c>
      <c r="F127" s="24">
        <f t="shared" si="3"/>
        <v>1</v>
      </c>
    </row>
    <row r="128" spans="1:6" x14ac:dyDescent="0.25">
      <c r="A128" s="31">
        <f t="shared" si="4"/>
        <v>126</v>
      </c>
      <c r="B128" s="33">
        <f t="shared" si="5"/>
        <v>11</v>
      </c>
      <c r="C128" s="5">
        <f>Model_30y!V128</f>
        <v>5420.5412411808502</v>
      </c>
      <c r="D128" s="5">
        <f>Model_15y!V128</f>
        <v>5420.5412411808502</v>
      </c>
      <c r="E128" s="2">
        <f>Model_Renter!C128</f>
        <v>5420.5412411808502</v>
      </c>
      <c r="F128" s="24">
        <f t="shared" si="3"/>
        <v>1</v>
      </c>
    </row>
    <row r="129" spans="1:6" x14ac:dyDescent="0.25">
      <c r="A129" s="31">
        <f t="shared" si="4"/>
        <v>127</v>
      </c>
      <c r="B129" s="33">
        <f t="shared" si="5"/>
        <v>11</v>
      </c>
      <c r="C129" s="5">
        <f>Model_30y!V129</f>
        <v>5428.8917821000468</v>
      </c>
      <c r="D129" s="5">
        <f>Model_15y!V129</f>
        <v>5428.8917821000468</v>
      </c>
      <c r="E129" s="2">
        <f>Model_Renter!C129</f>
        <v>5428.8917821000468</v>
      </c>
      <c r="F129" s="24">
        <f t="shared" si="3"/>
        <v>1</v>
      </c>
    </row>
    <row r="130" spans="1:6" x14ac:dyDescent="0.25">
      <c r="A130" s="31">
        <f t="shared" si="4"/>
        <v>128</v>
      </c>
      <c r="B130" s="33">
        <f t="shared" si="5"/>
        <v>11</v>
      </c>
      <c r="C130" s="5">
        <f>Model_30y!V130</f>
        <v>5437.2763441566094</v>
      </c>
      <c r="D130" s="5">
        <f>Model_15y!V130</f>
        <v>5437.2763441566094</v>
      </c>
      <c r="E130" s="2">
        <f>Model_Renter!C130</f>
        <v>5437.2763441566094</v>
      </c>
      <c r="F130" s="24">
        <f t="shared" si="3"/>
        <v>1</v>
      </c>
    </row>
    <row r="131" spans="1:6" x14ac:dyDescent="0.25">
      <c r="A131" s="31">
        <f t="shared" si="4"/>
        <v>129</v>
      </c>
      <c r="B131" s="33">
        <f t="shared" si="5"/>
        <v>11</v>
      </c>
      <c r="C131" s="5">
        <f>Model_30y!V131</f>
        <v>5445.6950659568611</v>
      </c>
      <c r="D131" s="5">
        <f>Model_15y!V131</f>
        <v>5445.6950659568611</v>
      </c>
      <c r="E131" s="2">
        <f>Model_Renter!C131</f>
        <v>5445.6950659568611</v>
      </c>
      <c r="F131" s="24">
        <f t="shared" ref="F131:F194" si="6">IF(AND(C131-D131&lt;1, C131-E131&lt;1), 1, 0)</f>
        <v>1</v>
      </c>
    </row>
    <row r="132" spans="1:6" x14ac:dyDescent="0.25">
      <c r="A132" s="31">
        <f t="shared" ref="A132:A195" si="7">A131+1</f>
        <v>130</v>
      </c>
      <c r="B132" s="33">
        <f t="shared" ref="B132:B195" si="8">ROUNDUP(A132/12, 0)</f>
        <v>11</v>
      </c>
      <c r="C132" s="5">
        <f>Model_30y!V132</f>
        <v>5454.1480866718284</v>
      </c>
      <c r="D132" s="5">
        <f>Model_15y!V132</f>
        <v>5454.1480866718284</v>
      </c>
      <c r="E132" s="2">
        <f>Model_Renter!C132</f>
        <v>5454.1480866718284</v>
      </c>
      <c r="F132" s="24">
        <f t="shared" si="6"/>
        <v>1</v>
      </c>
    </row>
    <row r="133" spans="1:6" x14ac:dyDescent="0.25">
      <c r="A133" s="31">
        <f t="shared" si="7"/>
        <v>131</v>
      </c>
      <c r="B133" s="33">
        <f t="shared" si="8"/>
        <v>11</v>
      </c>
      <c r="C133" s="5">
        <f>Model_30y!V133</f>
        <v>5462.6355460395334</v>
      </c>
      <c r="D133" s="5">
        <f>Model_15y!V133</f>
        <v>5462.6355460395334</v>
      </c>
      <c r="E133" s="2">
        <f>Model_Renter!C133</f>
        <v>5462.6355460395334</v>
      </c>
      <c r="F133" s="24">
        <f t="shared" si="6"/>
        <v>1</v>
      </c>
    </row>
    <row r="134" spans="1:6" x14ac:dyDescent="0.25">
      <c r="A134" s="31">
        <f t="shared" si="7"/>
        <v>132</v>
      </c>
      <c r="B134" s="33">
        <f t="shared" si="8"/>
        <v>11</v>
      </c>
      <c r="C134" s="5">
        <f>Model_30y!V134</f>
        <v>5471.1575843673108</v>
      </c>
      <c r="D134" s="5">
        <f>Model_15y!V134</f>
        <v>5471.1575843673108</v>
      </c>
      <c r="E134" s="2">
        <f>Model_Renter!C134</f>
        <v>5471.1575843673108</v>
      </c>
      <c r="F134" s="24">
        <f t="shared" si="6"/>
        <v>1</v>
      </c>
    </row>
    <row r="135" spans="1:6" x14ac:dyDescent="0.25">
      <c r="A135" s="31">
        <f t="shared" si="7"/>
        <v>133</v>
      </c>
      <c r="B135" s="33">
        <f t="shared" si="8"/>
        <v>12</v>
      </c>
      <c r="C135" s="5">
        <f>Model_30y!V135</f>
        <v>5506.1770931583142</v>
      </c>
      <c r="D135" s="5">
        <f>Model_15y!V135</f>
        <v>5506.1770931583142</v>
      </c>
      <c r="E135" s="2">
        <f>Model_Renter!C135</f>
        <v>5506.1770931583142</v>
      </c>
      <c r="F135" s="24">
        <f t="shared" si="6"/>
        <v>1</v>
      </c>
    </row>
    <row r="136" spans="1:6" x14ac:dyDescent="0.25">
      <c r="A136" s="31">
        <f t="shared" si="7"/>
        <v>134</v>
      </c>
      <c r="B136" s="33">
        <f t="shared" si="8"/>
        <v>12</v>
      </c>
      <c r="C136" s="5">
        <f>Model_30y!V136</f>
        <v>5514.7687126170877</v>
      </c>
      <c r="D136" s="5">
        <f>Model_15y!V136</f>
        <v>5514.7687126170877</v>
      </c>
      <c r="E136" s="2">
        <f>Model_Renter!C136</f>
        <v>5514.7687126170877</v>
      </c>
      <c r="F136" s="24">
        <f t="shared" si="6"/>
        <v>1</v>
      </c>
    </row>
    <row r="137" spans="1:6" x14ac:dyDescent="0.25">
      <c r="A137" s="31">
        <f t="shared" si="7"/>
        <v>135</v>
      </c>
      <c r="B137" s="33">
        <f t="shared" si="8"/>
        <v>12</v>
      </c>
      <c r="C137" s="5">
        <f>Model_30y!V137</f>
        <v>5523.3953353970373</v>
      </c>
      <c r="D137" s="5">
        <f>Model_15y!V137</f>
        <v>5523.3953353970373</v>
      </c>
      <c r="E137" s="2">
        <f>Model_Renter!C137</f>
        <v>5523.3953353970373</v>
      </c>
      <c r="F137" s="24">
        <f t="shared" si="6"/>
        <v>1</v>
      </c>
    </row>
    <row r="138" spans="1:6" x14ac:dyDescent="0.25">
      <c r="A138" s="31">
        <f t="shared" si="7"/>
        <v>136</v>
      </c>
      <c r="B138" s="33">
        <f t="shared" si="8"/>
        <v>12</v>
      </c>
      <c r="C138" s="5">
        <f>Model_30y!V138</f>
        <v>5532.0571041060266</v>
      </c>
      <c r="D138" s="5">
        <f>Model_15y!V138</f>
        <v>5532.0571041060266</v>
      </c>
      <c r="E138" s="2">
        <f>Model_Renter!C138</f>
        <v>5532.0571041060266</v>
      </c>
      <c r="F138" s="24">
        <f t="shared" si="6"/>
        <v>1</v>
      </c>
    </row>
    <row r="139" spans="1:6" x14ac:dyDescent="0.25">
      <c r="A139" s="31">
        <f t="shared" si="7"/>
        <v>137</v>
      </c>
      <c r="B139" s="33">
        <f t="shared" si="8"/>
        <v>12</v>
      </c>
      <c r="C139" s="5">
        <f>Model_30y!V139</f>
        <v>5540.7541619329222</v>
      </c>
      <c r="D139" s="5">
        <f>Model_15y!V139</f>
        <v>5540.7541619329222</v>
      </c>
      <c r="E139" s="2">
        <f>Model_Renter!C139</f>
        <v>5540.7541619329222</v>
      </c>
      <c r="F139" s="24">
        <f t="shared" si="6"/>
        <v>1</v>
      </c>
    </row>
    <row r="140" spans="1:6" x14ac:dyDescent="0.25">
      <c r="A140" s="31">
        <f t="shared" si="7"/>
        <v>138</v>
      </c>
      <c r="B140" s="33">
        <f t="shared" si="8"/>
        <v>12</v>
      </c>
      <c r="C140" s="5">
        <f>Model_30y!V140</f>
        <v>5549.4866526499591</v>
      </c>
      <c r="D140" s="5">
        <f>Model_15y!V140</f>
        <v>5549.4866526499591</v>
      </c>
      <c r="E140" s="2">
        <f>Model_Renter!C140</f>
        <v>5549.4866526499591</v>
      </c>
      <c r="F140" s="24">
        <f t="shared" si="6"/>
        <v>1</v>
      </c>
    </row>
    <row r="141" spans="1:6" x14ac:dyDescent="0.25">
      <c r="A141" s="31">
        <f t="shared" si="7"/>
        <v>139</v>
      </c>
      <c r="B141" s="33">
        <f t="shared" si="8"/>
        <v>12</v>
      </c>
      <c r="C141" s="5">
        <f>Model_30y!V141</f>
        <v>5558.2547206151157</v>
      </c>
      <c r="D141" s="5">
        <f>Model_15y!V141</f>
        <v>5558.2547206151157</v>
      </c>
      <c r="E141" s="2">
        <f>Model_Renter!C141</f>
        <v>5558.2547206151157</v>
      </c>
      <c r="F141" s="24">
        <f t="shared" si="6"/>
        <v>1</v>
      </c>
    </row>
    <row r="142" spans="1:6" x14ac:dyDescent="0.25">
      <c r="A142" s="31">
        <f t="shared" si="7"/>
        <v>140</v>
      </c>
      <c r="B142" s="33">
        <f t="shared" si="8"/>
        <v>12</v>
      </c>
      <c r="C142" s="5">
        <f>Model_30y!V142</f>
        <v>5567.0585107745064</v>
      </c>
      <c r="D142" s="5">
        <f>Model_15y!V142</f>
        <v>5567.0585107745064</v>
      </c>
      <c r="E142" s="2">
        <f>Model_Renter!C142</f>
        <v>5567.0585107745064</v>
      </c>
      <c r="F142" s="24">
        <f t="shared" si="6"/>
        <v>1</v>
      </c>
    </row>
    <row r="143" spans="1:6" x14ac:dyDescent="0.25">
      <c r="A143" s="31">
        <f t="shared" si="7"/>
        <v>141</v>
      </c>
      <c r="B143" s="33">
        <f t="shared" si="8"/>
        <v>12</v>
      </c>
      <c r="C143" s="5">
        <f>Model_30y!V143</f>
        <v>5575.8981686647712</v>
      </c>
      <c r="D143" s="5">
        <f>Model_15y!V143</f>
        <v>5575.8981686647712</v>
      </c>
      <c r="E143" s="2">
        <f>Model_Renter!C143</f>
        <v>5575.8981686647712</v>
      </c>
      <c r="F143" s="24">
        <f t="shared" si="6"/>
        <v>1</v>
      </c>
    </row>
    <row r="144" spans="1:6" x14ac:dyDescent="0.25">
      <c r="A144" s="31">
        <f t="shared" si="7"/>
        <v>142</v>
      </c>
      <c r="B144" s="33">
        <f t="shared" si="8"/>
        <v>12</v>
      </c>
      <c r="C144" s="5">
        <f>Model_30y!V144</f>
        <v>5584.7738404154861</v>
      </c>
      <c r="D144" s="5">
        <f>Model_15y!V144</f>
        <v>5584.7738404154861</v>
      </c>
      <c r="E144" s="2">
        <f>Model_Renter!C144</f>
        <v>5584.7738404154861</v>
      </c>
      <c r="F144" s="24">
        <f t="shared" si="6"/>
        <v>1</v>
      </c>
    </row>
    <row r="145" spans="1:6" x14ac:dyDescent="0.25">
      <c r="A145" s="31">
        <f t="shared" si="7"/>
        <v>143</v>
      </c>
      <c r="B145" s="33">
        <f t="shared" si="8"/>
        <v>12</v>
      </c>
      <c r="C145" s="5">
        <f>Model_30y!V145</f>
        <v>5593.6856727515769</v>
      </c>
      <c r="D145" s="5">
        <f>Model_15y!V145</f>
        <v>5593.6856727515769</v>
      </c>
      <c r="E145" s="2">
        <f>Model_Renter!C145</f>
        <v>5593.6856727515769</v>
      </c>
      <c r="F145" s="24">
        <f t="shared" si="6"/>
        <v>1</v>
      </c>
    </row>
    <row r="146" spans="1:6" x14ac:dyDescent="0.25">
      <c r="A146" s="31">
        <f t="shared" si="7"/>
        <v>144</v>
      </c>
      <c r="B146" s="33">
        <f t="shared" si="8"/>
        <v>12</v>
      </c>
      <c r="C146" s="5">
        <f>Model_30y!V146</f>
        <v>5602.6338129957439</v>
      </c>
      <c r="D146" s="5">
        <f>Model_15y!V146</f>
        <v>5602.6338129957439</v>
      </c>
      <c r="E146" s="2">
        <f>Model_Renter!C146</f>
        <v>5602.6338129957439</v>
      </c>
      <c r="F146" s="24">
        <f t="shared" si="6"/>
        <v>1</v>
      </c>
    </row>
    <row r="147" spans="1:6" x14ac:dyDescent="0.25">
      <c r="A147" s="31">
        <f t="shared" si="7"/>
        <v>145</v>
      </c>
      <c r="B147" s="33">
        <f t="shared" si="8"/>
        <v>13</v>
      </c>
      <c r="C147" s="5">
        <f>Model_30y!V147</f>
        <v>5639.404297226296</v>
      </c>
      <c r="D147" s="5">
        <f>Model_15y!V147</f>
        <v>5639.404297226296</v>
      </c>
      <c r="E147" s="2">
        <f>Model_Renter!C147</f>
        <v>5639.404297226296</v>
      </c>
      <c r="F147" s="24">
        <f t="shared" si="6"/>
        <v>1</v>
      </c>
    </row>
    <row r="148" spans="1:6" x14ac:dyDescent="0.25">
      <c r="A148" s="31">
        <f t="shared" si="7"/>
        <v>146</v>
      </c>
      <c r="B148" s="33">
        <f t="shared" si="8"/>
        <v>13</v>
      </c>
      <c r="C148" s="5">
        <f>Model_30y!V148</f>
        <v>5648.4254976580078</v>
      </c>
      <c r="D148" s="5">
        <f>Model_15y!V148</f>
        <v>5648.4254976580078</v>
      </c>
      <c r="E148" s="2">
        <f>Model_Renter!C148</f>
        <v>5648.4254976580078</v>
      </c>
      <c r="F148" s="24">
        <f t="shared" si="6"/>
        <v>1</v>
      </c>
    </row>
    <row r="149" spans="1:6" x14ac:dyDescent="0.25">
      <c r="A149" s="31">
        <f t="shared" si="7"/>
        <v>147</v>
      </c>
      <c r="B149" s="33">
        <f t="shared" si="8"/>
        <v>13</v>
      </c>
      <c r="C149" s="5">
        <f>Model_30y!V149</f>
        <v>5657.4834515769544</v>
      </c>
      <c r="D149" s="5">
        <f>Model_15y!V149</f>
        <v>5657.4834515769544</v>
      </c>
      <c r="E149" s="2">
        <f>Model_Renter!C149</f>
        <v>5657.4834515769544</v>
      </c>
      <c r="F149" s="24">
        <f t="shared" si="6"/>
        <v>1</v>
      </c>
    </row>
    <row r="150" spans="1:6" x14ac:dyDescent="0.25">
      <c r="A150" s="31">
        <f t="shared" si="7"/>
        <v>148</v>
      </c>
      <c r="B150" s="33">
        <f t="shared" si="8"/>
        <v>13</v>
      </c>
      <c r="C150" s="5">
        <f>Model_30y!V150</f>
        <v>5666.5783087213949</v>
      </c>
      <c r="D150" s="5">
        <f>Model_15y!V150</f>
        <v>5666.5783087213949</v>
      </c>
      <c r="E150" s="2">
        <f>Model_Renter!C150</f>
        <v>5666.5783087213949</v>
      </c>
      <c r="F150" s="24">
        <f t="shared" si="6"/>
        <v>1</v>
      </c>
    </row>
    <row r="151" spans="1:6" x14ac:dyDescent="0.25">
      <c r="A151" s="31">
        <f t="shared" si="7"/>
        <v>149</v>
      </c>
      <c r="B151" s="33">
        <f t="shared" si="8"/>
        <v>13</v>
      </c>
      <c r="C151" s="5">
        <f>Model_30y!V151</f>
        <v>5675.7102194396357</v>
      </c>
      <c r="D151" s="5">
        <f>Model_15y!V151</f>
        <v>5675.7102194396357</v>
      </c>
      <c r="E151" s="2">
        <f>Model_Renter!C151</f>
        <v>5675.7102194396357</v>
      </c>
      <c r="F151" s="24">
        <f t="shared" si="6"/>
        <v>1</v>
      </c>
    </row>
    <row r="152" spans="1:6" x14ac:dyDescent="0.25">
      <c r="A152" s="31">
        <f t="shared" si="7"/>
        <v>150</v>
      </c>
      <c r="B152" s="33">
        <f t="shared" si="8"/>
        <v>13</v>
      </c>
      <c r="C152" s="5">
        <f>Model_30y!V152</f>
        <v>5684.8793346925231</v>
      </c>
      <c r="D152" s="5">
        <f>Model_15y!V152</f>
        <v>5684.8793346925231</v>
      </c>
      <c r="E152" s="2">
        <f>Model_Renter!C152</f>
        <v>5684.8793346925231</v>
      </c>
      <c r="F152" s="24">
        <f t="shared" si="6"/>
        <v>1</v>
      </c>
    </row>
    <row r="153" spans="1:6" x14ac:dyDescent="0.25">
      <c r="A153" s="31">
        <f t="shared" si="7"/>
        <v>151</v>
      </c>
      <c r="B153" s="33">
        <f t="shared" si="8"/>
        <v>13</v>
      </c>
      <c r="C153" s="5">
        <f>Model_30y!V153</f>
        <v>5694.0858060559385</v>
      </c>
      <c r="D153" s="5">
        <f>Model_15y!V153</f>
        <v>5694.0858060559385</v>
      </c>
      <c r="E153" s="2">
        <f>Model_Renter!C153</f>
        <v>5694.0858060559385</v>
      </c>
      <c r="F153" s="24">
        <f t="shared" si="6"/>
        <v>1</v>
      </c>
    </row>
    <row r="154" spans="1:6" x14ac:dyDescent="0.25">
      <c r="A154" s="31">
        <f t="shared" si="7"/>
        <v>152</v>
      </c>
      <c r="B154" s="33">
        <f t="shared" si="8"/>
        <v>13</v>
      </c>
      <c r="C154" s="5">
        <f>Model_30y!V154</f>
        <v>5703.3297857232974</v>
      </c>
      <c r="D154" s="5">
        <f>Model_15y!V154</f>
        <v>5703.3297857232974</v>
      </c>
      <c r="E154" s="2">
        <f>Model_Renter!C154</f>
        <v>5703.3297857232974</v>
      </c>
      <c r="F154" s="24">
        <f t="shared" si="6"/>
        <v>1</v>
      </c>
    </row>
    <row r="155" spans="1:6" x14ac:dyDescent="0.25">
      <c r="A155" s="31">
        <f t="shared" si="7"/>
        <v>153</v>
      </c>
      <c r="B155" s="33">
        <f t="shared" si="8"/>
        <v>13</v>
      </c>
      <c r="C155" s="5">
        <f>Model_30y!V155</f>
        <v>5712.611426508076</v>
      </c>
      <c r="D155" s="5">
        <f>Model_15y!V155</f>
        <v>5712.611426508076</v>
      </c>
      <c r="E155" s="2">
        <f>Model_Renter!C155</f>
        <v>5712.611426508076</v>
      </c>
      <c r="F155" s="24">
        <f t="shared" si="6"/>
        <v>1</v>
      </c>
    </row>
    <row r="156" spans="1:6" x14ac:dyDescent="0.25">
      <c r="A156" s="31">
        <f t="shared" si="7"/>
        <v>154</v>
      </c>
      <c r="B156" s="33">
        <f t="shared" si="8"/>
        <v>13</v>
      </c>
      <c r="C156" s="5">
        <f>Model_30y!V156</f>
        <v>5721.9308818463269</v>
      </c>
      <c r="D156" s="5">
        <f>Model_15y!V156</f>
        <v>5721.9308818463269</v>
      </c>
      <c r="E156" s="2">
        <f>Model_Renter!C156</f>
        <v>5721.9308818463269</v>
      </c>
      <c r="F156" s="24">
        <f t="shared" si="6"/>
        <v>1</v>
      </c>
    </row>
    <row r="157" spans="1:6" x14ac:dyDescent="0.25">
      <c r="A157" s="31">
        <f t="shared" si="7"/>
        <v>155</v>
      </c>
      <c r="B157" s="33">
        <f t="shared" si="8"/>
        <v>13</v>
      </c>
      <c r="C157" s="5">
        <f>Model_30y!V157</f>
        <v>5731.2883057992221</v>
      </c>
      <c r="D157" s="5">
        <f>Model_15y!V157</f>
        <v>5731.2883057992221</v>
      </c>
      <c r="E157" s="2">
        <f>Model_Renter!C157</f>
        <v>5731.2883057992221</v>
      </c>
      <c r="F157" s="24">
        <f t="shared" si="6"/>
        <v>1</v>
      </c>
    </row>
    <row r="158" spans="1:6" x14ac:dyDescent="0.25">
      <c r="A158" s="31">
        <f t="shared" si="7"/>
        <v>156</v>
      </c>
      <c r="B158" s="33">
        <f t="shared" si="8"/>
        <v>13</v>
      </c>
      <c r="C158" s="5">
        <f>Model_30y!V158</f>
        <v>5740.6838530555979</v>
      </c>
      <c r="D158" s="5">
        <f>Model_15y!V158</f>
        <v>5740.6838530555979</v>
      </c>
      <c r="E158" s="2">
        <f>Model_Renter!C158</f>
        <v>5740.6838530555979</v>
      </c>
      <c r="F158" s="24">
        <f t="shared" si="6"/>
        <v>1</v>
      </c>
    </row>
    <row r="159" spans="1:6" x14ac:dyDescent="0.25">
      <c r="A159" s="31">
        <f t="shared" si="7"/>
        <v>157</v>
      </c>
      <c r="B159" s="33">
        <f t="shared" si="8"/>
        <v>14</v>
      </c>
      <c r="C159" s="5">
        <f>Model_30y!V159</f>
        <v>5779.2928614976772</v>
      </c>
      <c r="D159" s="5">
        <f>Model_15y!V159</f>
        <v>5779.2928614976772</v>
      </c>
      <c r="E159" s="2">
        <f>Model_Renter!C159</f>
        <v>5779.2928614976772</v>
      </c>
      <c r="F159" s="24">
        <f t="shared" si="6"/>
        <v>1</v>
      </c>
    </row>
    <row r="160" spans="1:6" x14ac:dyDescent="0.25">
      <c r="A160" s="31">
        <f t="shared" si="7"/>
        <v>158</v>
      </c>
      <c r="B160" s="33">
        <f t="shared" si="8"/>
        <v>14</v>
      </c>
      <c r="C160" s="5">
        <f>Model_30y!V160</f>
        <v>5788.7651219509744</v>
      </c>
      <c r="D160" s="5">
        <f>Model_15y!V160</f>
        <v>5788.7651219509744</v>
      </c>
      <c r="E160" s="2">
        <f>Model_Renter!C160</f>
        <v>5788.7651219509744</v>
      </c>
      <c r="F160" s="24">
        <f t="shared" si="6"/>
        <v>1</v>
      </c>
    </row>
    <row r="161" spans="1:6" x14ac:dyDescent="0.25">
      <c r="A161" s="31">
        <f t="shared" si="7"/>
        <v>159</v>
      </c>
      <c r="B161" s="33">
        <f t="shared" si="8"/>
        <v>14</v>
      </c>
      <c r="C161" s="5">
        <f>Model_30y!V161</f>
        <v>5798.2759735658692</v>
      </c>
      <c r="D161" s="5">
        <f>Model_15y!V161</f>
        <v>5798.2759735658692</v>
      </c>
      <c r="E161" s="2">
        <f>Model_Renter!C161</f>
        <v>5798.2759735658692</v>
      </c>
      <c r="F161" s="24">
        <f t="shared" si="6"/>
        <v>1</v>
      </c>
    </row>
    <row r="162" spans="1:6" x14ac:dyDescent="0.25">
      <c r="A162" s="31">
        <f t="shared" si="7"/>
        <v>160</v>
      </c>
      <c r="B162" s="33">
        <f t="shared" si="8"/>
        <v>14</v>
      </c>
      <c r="C162" s="5">
        <f>Model_30y!V162</f>
        <v>5807.8255735675302</v>
      </c>
      <c r="D162" s="5">
        <f>Model_15y!V162</f>
        <v>5807.8255735675302</v>
      </c>
      <c r="E162" s="2">
        <f>Model_Renter!C162</f>
        <v>5807.8255735675302</v>
      </c>
      <c r="F162" s="24">
        <f t="shared" si="6"/>
        <v>1</v>
      </c>
    </row>
    <row r="163" spans="1:6" x14ac:dyDescent="0.25">
      <c r="A163" s="31">
        <f t="shared" si="7"/>
        <v>161</v>
      </c>
      <c r="B163" s="33">
        <f t="shared" si="8"/>
        <v>14</v>
      </c>
      <c r="C163" s="5">
        <f>Model_30y!V163</f>
        <v>5817.4140798216831</v>
      </c>
      <c r="D163" s="5">
        <f>Model_15y!V163</f>
        <v>5817.4140798216831</v>
      </c>
      <c r="E163" s="2">
        <f>Model_Renter!C163</f>
        <v>5817.4140798216831</v>
      </c>
      <c r="F163" s="24">
        <f t="shared" si="6"/>
        <v>1</v>
      </c>
    </row>
    <row r="164" spans="1:6" x14ac:dyDescent="0.25">
      <c r="A164" s="31">
        <f t="shared" si="7"/>
        <v>162</v>
      </c>
      <c r="B164" s="33">
        <f t="shared" si="8"/>
        <v>14</v>
      </c>
      <c r="C164" s="5">
        <f>Model_30y!V164</f>
        <v>5827.0416508372164</v>
      </c>
      <c r="D164" s="5">
        <f>Model_15y!V164</f>
        <v>5827.0416508372164</v>
      </c>
      <c r="E164" s="2">
        <f>Model_Renter!C164</f>
        <v>5827.0416508372164</v>
      </c>
      <c r="F164" s="24">
        <f t="shared" si="6"/>
        <v>1</v>
      </c>
    </row>
    <row r="165" spans="1:6" x14ac:dyDescent="0.25">
      <c r="A165" s="31">
        <f t="shared" si="7"/>
        <v>163</v>
      </c>
      <c r="B165" s="33">
        <f t="shared" si="8"/>
        <v>14</v>
      </c>
      <c r="C165" s="5">
        <f>Model_30y!V165</f>
        <v>5836.7084457688015</v>
      </c>
      <c r="D165" s="5">
        <f>Model_15y!V165</f>
        <v>5836.7084457688015</v>
      </c>
      <c r="E165" s="2">
        <f>Model_Renter!C165</f>
        <v>5836.7084457688015</v>
      </c>
      <c r="F165" s="24">
        <f t="shared" si="6"/>
        <v>1</v>
      </c>
    </row>
    <row r="166" spans="1:6" x14ac:dyDescent="0.25">
      <c r="A166" s="31">
        <f t="shared" si="7"/>
        <v>164</v>
      </c>
      <c r="B166" s="33">
        <f t="shared" si="8"/>
        <v>14</v>
      </c>
      <c r="C166" s="5">
        <f>Model_30y!V166</f>
        <v>5846.414624419529</v>
      </c>
      <c r="D166" s="5">
        <f>Model_15y!V166</f>
        <v>5846.414624419529</v>
      </c>
      <c r="E166" s="2">
        <f>Model_Renter!C166</f>
        <v>5846.414624419529</v>
      </c>
      <c r="F166" s="24">
        <f t="shared" si="6"/>
        <v>1</v>
      </c>
    </row>
    <row r="167" spans="1:6" x14ac:dyDescent="0.25">
      <c r="A167" s="31">
        <f t="shared" si="7"/>
        <v>165</v>
      </c>
      <c r="B167" s="33">
        <f t="shared" si="8"/>
        <v>14</v>
      </c>
      <c r="C167" s="5">
        <f>Model_30y!V167</f>
        <v>5856.1603472435463</v>
      </c>
      <c r="D167" s="5">
        <f>Model_15y!V167</f>
        <v>5856.1603472435463</v>
      </c>
      <c r="E167" s="2">
        <f>Model_Renter!C167</f>
        <v>5856.1603472435463</v>
      </c>
      <c r="F167" s="24">
        <f t="shared" si="6"/>
        <v>1</v>
      </c>
    </row>
    <row r="168" spans="1:6" x14ac:dyDescent="0.25">
      <c r="A168" s="31">
        <f t="shared" si="7"/>
        <v>166</v>
      </c>
      <c r="B168" s="33">
        <f t="shared" si="8"/>
        <v>14</v>
      </c>
      <c r="C168" s="5">
        <f>Model_30y!V168</f>
        <v>5865.9457753487095</v>
      </c>
      <c r="D168" s="5">
        <f>Model_15y!V168</f>
        <v>5865.9457753487095</v>
      </c>
      <c r="E168" s="2">
        <f>Model_Renter!C168</f>
        <v>5865.9457753487095</v>
      </c>
      <c r="F168" s="24">
        <f t="shared" si="6"/>
        <v>1</v>
      </c>
    </row>
    <row r="169" spans="1:6" x14ac:dyDescent="0.25">
      <c r="A169" s="31">
        <f t="shared" si="7"/>
        <v>167</v>
      </c>
      <c r="B169" s="33">
        <f t="shared" si="8"/>
        <v>14</v>
      </c>
      <c r="C169" s="5">
        <f>Model_30y!V169</f>
        <v>5875.7710704992496</v>
      </c>
      <c r="D169" s="5">
        <f>Model_15y!V169</f>
        <v>5875.7710704992496</v>
      </c>
      <c r="E169" s="2">
        <f>Model_Renter!C169</f>
        <v>5875.7710704992496</v>
      </c>
      <c r="F169" s="24">
        <f t="shared" si="6"/>
        <v>1</v>
      </c>
    </row>
    <row r="170" spans="1:6" x14ac:dyDescent="0.25">
      <c r="A170" s="31">
        <f t="shared" si="7"/>
        <v>168</v>
      </c>
      <c r="B170" s="33">
        <f t="shared" si="8"/>
        <v>14</v>
      </c>
      <c r="C170" s="5">
        <f>Model_30y!V170</f>
        <v>5885.6363951184439</v>
      </c>
      <c r="D170" s="5">
        <f>Model_15y!V170</f>
        <v>5885.6363951184439</v>
      </c>
      <c r="E170" s="2">
        <f>Model_Renter!C170</f>
        <v>5885.6363951184439</v>
      </c>
      <c r="F170" s="24">
        <f t="shared" si="6"/>
        <v>1</v>
      </c>
    </row>
    <row r="171" spans="1:6" x14ac:dyDescent="0.25">
      <c r="A171" s="31">
        <f t="shared" si="7"/>
        <v>169</v>
      </c>
      <c r="B171" s="33">
        <f t="shared" si="8"/>
        <v>15</v>
      </c>
      <c r="C171" s="5">
        <f>Model_30y!V171</f>
        <v>5926.1758539826278</v>
      </c>
      <c r="D171" s="5">
        <f>Model_15y!V171</f>
        <v>5926.1758539826278</v>
      </c>
      <c r="E171" s="2">
        <f>Model_Renter!C171</f>
        <v>5926.1758539826278</v>
      </c>
      <c r="F171" s="24">
        <f t="shared" si="6"/>
        <v>1</v>
      </c>
    </row>
    <row r="172" spans="1:6" x14ac:dyDescent="0.25">
      <c r="A172" s="31">
        <f t="shared" si="7"/>
        <v>170</v>
      </c>
      <c r="B172" s="33">
        <f t="shared" si="8"/>
        <v>15</v>
      </c>
      <c r="C172" s="5">
        <f>Model_30y!V172</f>
        <v>5936.1217274585906</v>
      </c>
      <c r="D172" s="5">
        <f>Model_15y!V172</f>
        <v>5936.1217274585906</v>
      </c>
      <c r="E172" s="2">
        <f>Model_Renter!C172</f>
        <v>5936.1217274585906</v>
      </c>
      <c r="F172" s="24">
        <f t="shared" si="6"/>
        <v>1</v>
      </c>
    </row>
    <row r="173" spans="1:6" x14ac:dyDescent="0.25">
      <c r="A173" s="31">
        <f t="shared" si="7"/>
        <v>171</v>
      </c>
      <c r="B173" s="33">
        <f t="shared" si="8"/>
        <v>15</v>
      </c>
      <c r="C173" s="5">
        <f>Model_30y!V173</f>
        <v>5946.1081216542298</v>
      </c>
      <c r="D173" s="5">
        <f>Model_15y!V173</f>
        <v>5946.1081216542298</v>
      </c>
      <c r="E173" s="2">
        <f>Model_Renter!C173</f>
        <v>5946.1081216542298</v>
      </c>
      <c r="F173" s="24">
        <f t="shared" si="6"/>
        <v>1</v>
      </c>
    </row>
    <row r="174" spans="1:6" x14ac:dyDescent="0.25">
      <c r="A174" s="31">
        <f t="shared" si="7"/>
        <v>172</v>
      </c>
      <c r="B174" s="33">
        <f t="shared" si="8"/>
        <v>15</v>
      </c>
      <c r="C174" s="5">
        <f>Model_30y!V174</f>
        <v>5956.135201655974</v>
      </c>
      <c r="D174" s="5">
        <f>Model_15y!V174</f>
        <v>5956.135201655974</v>
      </c>
      <c r="E174" s="2">
        <f>Model_Renter!C174</f>
        <v>5956.135201655974</v>
      </c>
      <c r="F174" s="24">
        <f t="shared" si="6"/>
        <v>1</v>
      </c>
    </row>
    <row r="175" spans="1:6" x14ac:dyDescent="0.25">
      <c r="A175" s="31">
        <f t="shared" si="7"/>
        <v>173</v>
      </c>
      <c r="B175" s="33">
        <f t="shared" si="8"/>
        <v>15</v>
      </c>
      <c r="C175" s="5">
        <f>Model_30y!V175</f>
        <v>5966.2031332228344</v>
      </c>
      <c r="D175" s="5">
        <f>Model_15y!V175</f>
        <v>5966.2031332228344</v>
      </c>
      <c r="E175" s="2">
        <f>Model_Renter!C175</f>
        <v>5966.2031332228344</v>
      </c>
      <c r="F175" s="24">
        <f t="shared" si="6"/>
        <v>1</v>
      </c>
    </row>
    <row r="176" spans="1:6" x14ac:dyDescent="0.25">
      <c r="A176" s="31">
        <f t="shared" si="7"/>
        <v>174</v>
      </c>
      <c r="B176" s="33">
        <f t="shared" si="8"/>
        <v>15</v>
      </c>
      <c r="C176" s="5">
        <f>Model_30y!V176</f>
        <v>5976.3120827891435</v>
      </c>
      <c r="D176" s="5">
        <f>Model_15y!V176</f>
        <v>5976.3120827891435</v>
      </c>
      <c r="E176" s="2">
        <f>Model_Renter!C176</f>
        <v>5976.3120827891435</v>
      </c>
      <c r="F176" s="24">
        <f t="shared" si="6"/>
        <v>1</v>
      </c>
    </row>
    <row r="177" spans="1:6" x14ac:dyDescent="0.25">
      <c r="A177" s="31">
        <f t="shared" si="7"/>
        <v>175</v>
      </c>
      <c r="B177" s="33">
        <f t="shared" si="8"/>
        <v>15</v>
      </c>
      <c r="C177" s="5">
        <f>Model_30y!V177</f>
        <v>5986.4622174673077</v>
      </c>
      <c r="D177" s="5">
        <f>Model_15y!V177</f>
        <v>5986.4622174673077</v>
      </c>
      <c r="E177" s="2">
        <f>Model_Renter!C177</f>
        <v>5986.4622174673077</v>
      </c>
      <c r="F177" s="24">
        <f t="shared" si="6"/>
        <v>1</v>
      </c>
    </row>
    <row r="178" spans="1:6" x14ac:dyDescent="0.25">
      <c r="A178" s="31">
        <f t="shared" si="7"/>
        <v>176</v>
      </c>
      <c r="B178" s="33">
        <f t="shared" si="8"/>
        <v>15</v>
      </c>
      <c r="C178" s="5">
        <f>Model_30y!V178</f>
        <v>5996.6537050505722</v>
      </c>
      <c r="D178" s="5">
        <f>Model_15y!V178</f>
        <v>5996.6537050505722</v>
      </c>
      <c r="E178" s="2">
        <f>Model_Renter!C178</f>
        <v>5996.6537050505722</v>
      </c>
      <c r="F178" s="24">
        <f t="shared" si="6"/>
        <v>1</v>
      </c>
    </row>
    <row r="179" spans="1:6" x14ac:dyDescent="0.25">
      <c r="A179" s="31">
        <f t="shared" si="7"/>
        <v>177</v>
      </c>
      <c r="B179" s="33">
        <f t="shared" si="8"/>
        <v>15</v>
      </c>
      <c r="C179" s="5">
        <f>Model_30y!V179</f>
        <v>6006.8867140157909</v>
      </c>
      <c r="D179" s="5">
        <f>Model_15y!V179</f>
        <v>6006.8867140157909</v>
      </c>
      <c r="E179" s="2">
        <f>Model_Renter!C179</f>
        <v>6006.8867140157909</v>
      </c>
      <c r="F179" s="24">
        <f t="shared" si="6"/>
        <v>1</v>
      </c>
    </row>
    <row r="180" spans="1:6" x14ac:dyDescent="0.25">
      <c r="A180" s="31">
        <f t="shared" si="7"/>
        <v>178</v>
      </c>
      <c r="B180" s="33">
        <f t="shared" si="8"/>
        <v>15</v>
      </c>
      <c r="C180" s="5">
        <f>Model_30y!V180</f>
        <v>6017.1614135262116</v>
      </c>
      <c r="D180" s="5">
        <f>Model_15y!V180</f>
        <v>6017.1614135262116</v>
      </c>
      <c r="E180" s="2">
        <f>Model_Renter!C180</f>
        <v>6017.1614135262116</v>
      </c>
      <c r="F180" s="24">
        <f t="shared" si="6"/>
        <v>1</v>
      </c>
    </row>
    <row r="181" spans="1:6" x14ac:dyDescent="0.25">
      <c r="A181" s="31">
        <f t="shared" si="7"/>
        <v>179</v>
      </c>
      <c r="B181" s="33">
        <f t="shared" si="8"/>
        <v>15</v>
      </c>
      <c r="C181" s="5">
        <f>Model_30y!V181</f>
        <v>6027.4779734342792</v>
      </c>
      <c r="D181" s="5">
        <f>Model_15y!V181</f>
        <v>6027.4779734342792</v>
      </c>
      <c r="E181" s="2">
        <f>Model_Renter!C181</f>
        <v>6027.4779734342792</v>
      </c>
      <c r="F181" s="24">
        <f t="shared" si="6"/>
        <v>1</v>
      </c>
    </row>
    <row r="182" spans="1:6" x14ac:dyDescent="0.25">
      <c r="A182" s="31">
        <f t="shared" si="7"/>
        <v>180</v>
      </c>
      <c r="B182" s="33">
        <f t="shared" si="8"/>
        <v>15</v>
      </c>
      <c r="C182" s="5">
        <f>Model_30y!V182</f>
        <v>6037.8365642844328</v>
      </c>
      <c r="D182" s="5">
        <f>Model_15y!V182</f>
        <v>6037.8365642844328</v>
      </c>
      <c r="E182" s="2">
        <f>Model_Renter!C182</f>
        <v>6037.8365642844328</v>
      </c>
      <c r="F182" s="24">
        <f t="shared" si="6"/>
        <v>1</v>
      </c>
    </row>
    <row r="183" spans="1:6" x14ac:dyDescent="0.25">
      <c r="A183" s="31">
        <f t="shared" si="7"/>
        <v>181</v>
      </c>
      <c r="B183" s="33">
        <f t="shared" si="8"/>
        <v>16</v>
      </c>
      <c r="C183" s="5">
        <f>Model_30y!V183</f>
        <v>6080.4029960918269</v>
      </c>
      <c r="D183" s="5">
        <f>Model_15y!V183</f>
        <v>6080.4029960918269</v>
      </c>
      <c r="E183" s="2">
        <f>Model_Renter!C183</f>
        <v>6080.4029960918269</v>
      </c>
      <c r="F183" s="24">
        <f t="shared" si="6"/>
        <v>1</v>
      </c>
    </row>
    <row r="184" spans="1:6" x14ac:dyDescent="0.25">
      <c r="A184" s="31">
        <f t="shared" si="7"/>
        <v>182</v>
      </c>
      <c r="B184" s="33">
        <f t="shared" si="8"/>
        <v>16</v>
      </c>
      <c r="C184" s="5">
        <f>Model_30y!V184</f>
        <v>6090.8461632415856</v>
      </c>
      <c r="D184" s="5">
        <f>Model_15y!V184</f>
        <v>6090.8461632415856</v>
      </c>
      <c r="E184" s="2">
        <f>Model_Renter!C184</f>
        <v>6090.8461632415856</v>
      </c>
      <c r="F184" s="24">
        <f t="shared" si="6"/>
        <v>1</v>
      </c>
    </row>
    <row r="185" spans="1:6" x14ac:dyDescent="0.25">
      <c r="A185" s="31">
        <f t="shared" si="7"/>
        <v>183</v>
      </c>
      <c r="B185" s="33">
        <f t="shared" si="8"/>
        <v>16</v>
      </c>
      <c r="C185" s="5">
        <f>Model_30y!V185</f>
        <v>6101.3318771470076</v>
      </c>
      <c r="D185" s="5">
        <f>Model_15y!V185</f>
        <v>6101.3318771470076</v>
      </c>
      <c r="E185" s="2">
        <f>Model_Renter!C185</f>
        <v>6101.3318771470076</v>
      </c>
      <c r="F185" s="24">
        <f t="shared" si="6"/>
        <v>1</v>
      </c>
    </row>
    <row r="186" spans="1:6" x14ac:dyDescent="0.25">
      <c r="A186" s="31">
        <f t="shared" si="7"/>
        <v>184</v>
      </c>
      <c r="B186" s="33">
        <f t="shared" si="8"/>
        <v>16</v>
      </c>
      <c r="C186" s="5">
        <f>Model_30y!V186</f>
        <v>6111.8603111488392</v>
      </c>
      <c r="D186" s="5">
        <f>Model_15y!V186</f>
        <v>6111.8603111488392</v>
      </c>
      <c r="E186" s="2">
        <f>Model_Renter!C186</f>
        <v>6111.8603111488392</v>
      </c>
      <c r="F186" s="24">
        <f t="shared" si="6"/>
        <v>1</v>
      </c>
    </row>
    <row r="187" spans="1:6" x14ac:dyDescent="0.25">
      <c r="A187" s="31">
        <f t="shared" si="7"/>
        <v>185</v>
      </c>
      <c r="B187" s="33">
        <f t="shared" si="8"/>
        <v>16</v>
      </c>
      <c r="C187" s="5">
        <f>Model_30y!V187</f>
        <v>6122.4316392940436</v>
      </c>
      <c r="D187" s="5">
        <f>Model_15y!V187</f>
        <v>6122.4316392940436</v>
      </c>
      <c r="E187" s="2">
        <f>Model_Renter!C187</f>
        <v>6122.4316392940436</v>
      </c>
      <c r="F187" s="24">
        <f t="shared" si="6"/>
        <v>1</v>
      </c>
    </row>
    <row r="188" spans="1:6" x14ac:dyDescent="0.25">
      <c r="A188" s="31">
        <f t="shared" si="7"/>
        <v>186</v>
      </c>
      <c r="B188" s="33">
        <f t="shared" si="8"/>
        <v>16</v>
      </c>
      <c r="C188" s="5">
        <f>Model_30y!V188</f>
        <v>6133.0460363386683</v>
      </c>
      <c r="D188" s="5">
        <f>Model_15y!V188</f>
        <v>6133.0460363386683</v>
      </c>
      <c r="E188" s="2">
        <f>Model_Renter!C188</f>
        <v>6133.0460363386683</v>
      </c>
      <c r="F188" s="24">
        <f t="shared" si="6"/>
        <v>1</v>
      </c>
    </row>
    <row r="189" spans="1:6" x14ac:dyDescent="0.25">
      <c r="A189" s="31">
        <f t="shared" si="7"/>
        <v>187</v>
      </c>
      <c r="B189" s="33">
        <f t="shared" si="8"/>
        <v>16</v>
      </c>
      <c r="C189" s="5">
        <f>Model_30y!V189</f>
        <v>6143.7036777507401</v>
      </c>
      <c r="D189" s="5">
        <f>Model_15y!V189</f>
        <v>6143.7036777507401</v>
      </c>
      <c r="E189" s="2">
        <f>Model_Renter!C189</f>
        <v>6143.7036777507401</v>
      </c>
      <c r="F189" s="24">
        <f t="shared" si="6"/>
        <v>1</v>
      </c>
    </row>
    <row r="190" spans="1:6" x14ac:dyDescent="0.25">
      <c r="A190" s="31">
        <f t="shared" si="7"/>
        <v>188</v>
      </c>
      <c r="B190" s="33">
        <f t="shared" si="8"/>
        <v>16</v>
      </c>
      <c r="C190" s="5">
        <f>Model_30y!V190</f>
        <v>6154.4047397131671</v>
      </c>
      <c r="D190" s="5">
        <f>Model_15y!V190</f>
        <v>6154.4047397131671</v>
      </c>
      <c r="E190" s="2">
        <f>Model_Renter!C190</f>
        <v>6154.4047397131671</v>
      </c>
      <c r="F190" s="24">
        <f t="shared" si="6"/>
        <v>1</v>
      </c>
    </row>
    <row r="191" spans="1:6" x14ac:dyDescent="0.25">
      <c r="A191" s="31">
        <f t="shared" si="7"/>
        <v>189</v>
      </c>
      <c r="B191" s="33">
        <f t="shared" si="8"/>
        <v>16</v>
      </c>
      <c r="C191" s="5">
        <f>Model_30y!V191</f>
        <v>6165.149399126647</v>
      </c>
      <c r="D191" s="5">
        <f>Model_15y!V191</f>
        <v>6165.149399126647</v>
      </c>
      <c r="E191" s="2">
        <f>Model_Renter!C191</f>
        <v>6165.149399126647</v>
      </c>
      <c r="F191" s="24">
        <f t="shared" si="6"/>
        <v>1</v>
      </c>
    </row>
    <row r="192" spans="1:6" x14ac:dyDescent="0.25">
      <c r="A192" s="31">
        <f t="shared" si="7"/>
        <v>190</v>
      </c>
      <c r="B192" s="33">
        <f t="shared" si="8"/>
        <v>16</v>
      </c>
      <c r="C192" s="5">
        <f>Model_30y!V192</f>
        <v>6175.9378336125883</v>
      </c>
      <c r="D192" s="5">
        <f>Model_15y!V192</f>
        <v>6175.9378336125883</v>
      </c>
      <c r="E192" s="2">
        <f>Model_Renter!C192</f>
        <v>6175.9378336125883</v>
      </c>
      <c r="F192" s="24">
        <f t="shared" si="6"/>
        <v>1</v>
      </c>
    </row>
    <row r="193" spans="1:6" x14ac:dyDescent="0.25">
      <c r="A193" s="31">
        <f t="shared" si="7"/>
        <v>191</v>
      </c>
      <c r="B193" s="33">
        <f t="shared" si="8"/>
        <v>16</v>
      </c>
      <c r="C193" s="5">
        <f>Model_30y!V193</f>
        <v>6186.7702215160589</v>
      </c>
      <c r="D193" s="5">
        <f>Model_15y!V193</f>
        <v>6186.7702215160589</v>
      </c>
      <c r="E193" s="2">
        <f>Model_Renter!C193</f>
        <v>6186.7702215160589</v>
      </c>
      <c r="F193" s="24">
        <f t="shared" si="6"/>
        <v>1</v>
      </c>
    </row>
    <row r="194" spans="1:6" x14ac:dyDescent="0.25">
      <c r="A194" s="31">
        <f t="shared" si="7"/>
        <v>192</v>
      </c>
      <c r="B194" s="33">
        <f t="shared" si="8"/>
        <v>16</v>
      </c>
      <c r="C194" s="5">
        <f>Model_30y!V194</f>
        <v>6197.6467419087203</v>
      </c>
      <c r="D194" s="5">
        <f>Model_15y!V194</f>
        <v>6197.6467419087203</v>
      </c>
      <c r="E194" s="2">
        <f>Model_Renter!C194</f>
        <v>6197.6467419087203</v>
      </c>
      <c r="F194" s="24">
        <f t="shared" si="6"/>
        <v>1</v>
      </c>
    </row>
    <row r="195" spans="1:6" x14ac:dyDescent="0.25">
      <c r="A195" s="31">
        <f t="shared" si="7"/>
        <v>193</v>
      </c>
      <c r="B195" s="33">
        <f t="shared" si="8"/>
        <v>17</v>
      </c>
      <c r="C195" s="5">
        <f>Model_30y!V195</f>
        <v>6242.3414953064839</v>
      </c>
      <c r="D195" s="5">
        <f>Model_15y!V195</f>
        <v>6242.3414953064839</v>
      </c>
      <c r="E195" s="2">
        <f>Model_Renter!C195</f>
        <v>6242.3414953064839</v>
      </c>
      <c r="F195" s="24">
        <f t="shared" ref="F195:F258" si="9">IF(AND(C195-D195&lt;1, C195-E195&lt;1), 1, 0)</f>
        <v>1</v>
      </c>
    </row>
    <row r="196" spans="1:6" x14ac:dyDescent="0.25">
      <c r="A196" s="31">
        <f t="shared" ref="A196:A259" si="10">A195+1</f>
        <v>194</v>
      </c>
      <c r="B196" s="33">
        <f t="shared" ref="B196:B259" si="11">ROUNDUP(A196/12, 0)</f>
        <v>17</v>
      </c>
      <c r="C196" s="5">
        <f>Model_30y!V196</f>
        <v>6253.306820813732</v>
      </c>
      <c r="D196" s="5">
        <f>Model_15y!V196</f>
        <v>6253.306820813732</v>
      </c>
      <c r="E196" s="2">
        <f>Model_Renter!C196</f>
        <v>6253.306820813732</v>
      </c>
      <c r="F196" s="24">
        <f t="shared" si="9"/>
        <v>1</v>
      </c>
    </row>
    <row r="197" spans="1:6" x14ac:dyDescent="0.25">
      <c r="A197" s="31">
        <f t="shared" si="10"/>
        <v>195</v>
      </c>
      <c r="B197" s="33">
        <f t="shared" si="11"/>
        <v>17</v>
      </c>
      <c r="C197" s="5">
        <f>Model_30y!V197</f>
        <v>6264.316820414424</v>
      </c>
      <c r="D197" s="5">
        <f>Model_15y!V197</f>
        <v>6264.316820414424</v>
      </c>
      <c r="E197" s="2">
        <f>Model_Renter!C197</f>
        <v>6264.316820414424</v>
      </c>
      <c r="F197" s="24">
        <f t="shared" si="9"/>
        <v>1</v>
      </c>
    </row>
    <row r="198" spans="1:6" x14ac:dyDescent="0.25">
      <c r="A198" s="31">
        <f t="shared" si="10"/>
        <v>196</v>
      </c>
      <c r="B198" s="33">
        <f t="shared" si="11"/>
        <v>17</v>
      </c>
      <c r="C198" s="5">
        <f>Model_30y!V198</f>
        <v>6275.3716761163478</v>
      </c>
      <c r="D198" s="5">
        <f>Model_15y!V198</f>
        <v>6275.3716761163478</v>
      </c>
      <c r="E198" s="2">
        <f>Model_Renter!C198</f>
        <v>6275.3716761163478</v>
      </c>
      <c r="F198" s="24">
        <f t="shared" si="9"/>
        <v>1</v>
      </c>
    </row>
    <row r="199" spans="1:6" x14ac:dyDescent="0.25">
      <c r="A199" s="31">
        <f t="shared" si="10"/>
        <v>197</v>
      </c>
      <c r="B199" s="33">
        <f t="shared" si="11"/>
        <v>17</v>
      </c>
      <c r="C199" s="5">
        <f>Model_30y!V199</f>
        <v>6286.4715706688112</v>
      </c>
      <c r="D199" s="5">
        <f>Model_15y!V199</f>
        <v>6286.4715706688112</v>
      </c>
      <c r="E199" s="2">
        <f>Model_Renter!C199</f>
        <v>6286.4715706688112</v>
      </c>
      <c r="F199" s="24">
        <f t="shared" si="9"/>
        <v>1</v>
      </c>
    </row>
    <row r="200" spans="1:6" x14ac:dyDescent="0.25">
      <c r="A200" s="31">
        <f t="shared" si="10"/>
        <v>198</v>
      </c>
      <c r="B200" s="33">
        <f t="shared" si="11"/>
        <v>17</v>
      </c>
      <c r="C200" s="5">
        <f>Model_30y!V200</f>
        <v>6297.6166875656672</v>
      </c>
      <c r="D200" s="5">
        <f>Model_15y!V200</f>
        <v>6297.6166875656672</v>
      </c>
      <c r="E200" s="2">
        <f>Model_Renter!C200</f>
        <v>6297.6166875656672</v>
      </c>
      <c r="F200" s="24">
        <f t="shared" si="9"/>
        <v>1</v>
      </c>
    </row>
    <row r="201" spans="1:6" x14ac:dyDescent="0.25">
      <c r="A201" s="31">
        <f t="shared" si="10"/>
        <v>199</v>
      </c>
      <c r="B201" s="33">
        <f t="shared" si="11"/>
        <v>17</v>
      </c>
      <c r="C201" s="5">
        <f>Model_30y!V201</f>
        <v>6308.8072110483436</v>
      </c>
      <c r="D201" s="5">
        <f>Model_15y!V201</f>
        <v>6308.8072110483436</v>
      </c>
      <c r="E201" s="2">
        <f>Model_Renter!C201</f>
        <v>6308.8072110483436</v>
      </c>
      <c r="F201" s="24">
        <f t="shared" si="9"/>
        <v>1</v>
      </c>
    </row>
    <row r="202" spans="1:6" x14ac:dyDescent="0.25">
      <c r="A202" s="31">
        <f t="shared" si="10"/>
        <v>200</v>
      </c>
      <c r="B202" s="33">
        <f t="shared" si="11"/>
        <v>17</v>
      </c>
      <c r="C202" s="5">
        <f>Model_30y!V202</f>
        <v>6320.0433261088929</v>
      </c>
      <c r="D202" s="5">
        <f>Model_15y!V202</f>
        <v>6320.0433261088929</v>
      </c>
      <c r="E202" s="2">
        <f>Model_Renter!C202</f>
        <v>6320.0433261088929</v>
      </c>
      <c r="F202" s="24">
        <f t="shared" si="9"/>
        <v>1</v>
      </c>
    </row>
    <row r="203" spans="1:6" x14ac:dyDescent="0.25">
      <c r="A203" s="31">
        <f t="shared" si="10"/>
        <v>201</v>
      </c>
      <c r="B203" s="33">
        <f t="shared" si="11"/>
        <v>17</v>
      </c>
      <c r="C203" s="5">
        <f>Model_30y!V203</f>
        <v>6331.3252184930461</v>
      </c>
      <c r="D203" s="5">
        <f>Model_15y!V203</f>
        <v>6331.3252184930461</v>
      </c>
      <c r="E203" s="2">
        <f>Model_Renter!C203</f>
        <v>6331.3252184930461</v>
      </c>
      <c r="F203" s="24">
        <f t="shared" si="9"/>
        <v>1</v>
      </c>
    </row>
    <row r="204" spans="1:6" x14ac:dyDescent="0.25">
      <c r="A204" s="31">
        <f t="shared" si="10"/>
        <v>202</v>
      </c>
      <c r="B204" s="33">
        <f t="shared" si="11"/>
        <v>17</v>
      </c>
      <c r="C204" s="5">
        <f>Model_30y!V204</f>
        <v>6342.6530747032848</v>
      </c>
      <c r="D204" s="5">
        <f>Model_15y!V204</f>
        <v>6342.6530747032848</v>
      </c>
      <c r="E204" s="2">
        <f>Model_Renter!C204</f>
        <v>6342.6530747032848</v>
      </c>
      <c r="F204" s="24">
        <f t="shared" si="9"/>
        <v>1</v>
      </c>
    </row>
    <row r="205" spans="1:6" x14ac:dyDescent="0.25">
      <c r="A205" s="31">
        <f t="shared" si="10"/>
        <v>203</v>
      </c>
      <c r="B205" s="33">
        <f t="shared" si="11"/>
        <v>17</v>
      </c>
      <c r="C205" s="5">
        <f>Model_30y!V205</f>
        <v>6354.0270820019286</v>
      </c>
      <c r="D205" s="5">
        <f>Model_15y!V205</f>
        <v>6354.0270820019286</v>
      </c>
      <c r="E205" s="2">
        <f>Model_Renter!C205</f>
        <v>6354.0270820019286</v>
      </c>
      <c r="F205" s="24">
        <f t="shared" si="9"/>
        <v>1</v>
      </c>
    </row>
    <row r="206" spans="1:6" x14ac:dyDescent="0.25">
      <c r="A206" s="31">
        <f t="shared" si="10"/>
        <v>204</v>
      </c>
      <c r="B206" s="33">
        <f t="shared" si="11"/>
        <v>17</v>
      </c>
      <c r="C206" s="5">
        <f>Model_30y!V206</f>
        <v>6365.4474284142234</v>
      </c>
      <c r="D206" s="5">
        <f>Model_15y!V206</f>
        <v>6365.4474284142234</v>
      </c>
      <c r="E206" s="2">
        <f>Model_Renter!C206</f>
        <v>6365.4474284142234</v>
      </c>
      <c r="F206" s="24">
        <f t="shared" si="9"/>
        <v>1</v>
      </c>
    </row>
    <row r="207" spans="1:6" x14ac:dyDescent="0.25">
      <c r="A207" s="31">
        <f t="shared" si="10"/>
        <v>205</v>
      </c>
      <c r="B207" s="33">
        <f t="shared" si="11"/>
        <v>18</v>
      </c>
      <c r="C207" s="5">
        <f>Model_30y!V207</f>
        <v>6412.3769194818751</v>
      </c>
      <c r="D207" s="5">
        <f>Model_15y!V207</f>
        <v>6412.3769194818751</v>
      </c>
      <c r="E207" s="2">
        <f>Model_Renter!C207</f>
        <v>6412.3769194818751</v>
      </c>
      <c r="F207" s="24">
        <f t="shared" si="9"/>
        <v>1</v>
      </c>
    </row>
    <row r="208" spans="1:6" x14ac:dyDescent="0.25">
      <c r="A208" s="31">
        <f t="shared" si="10"/>
        <v>206</v>
      </c>
      <c r="B208" s="33">
        <f t="shared" si="11"/>
        <v>18</v>
      </c>
      <c r="C208" s="5">
        <f>Model_30y!V208</f>
        <v>6423.8905112644861</v>
      </c>
      <c r="D208" s="5">
        <f>Model_15y!V208</f>
        <v>6423.8905112644861</v>
      </c>
      <c r="E208" s="2">
        <f>Model_Renter!C208</f>
        <v>6423.8905112644861</v>
      </c>
      <c r="F208" s="24">
        <f t="shared" si="9"/>
        <v>1</v>
      </c>
    </row>
    <row r="209" spans="1:6" x14ac:dyDescent="0.25">
      <c r="A209" s="31">
        <f t="shared" si="10"/>
        <v>207</v>
      </c>
      <c r="B209" s="33">
        <f t="shared" si="11"/>
        <v>18</v>
      </c>
      <c r="C209" s="5">
        <f>Model_30y!V209</f>
        <v>6435.4510108452123</v>
      </c>
      <c r="D209" s="5">
        <f>Model_15y!V209</f>
        <v>6435.4510108452123</v>
      </c>
      <c r="E209" s="2">
        <f>Model_Renter!C209</f>
        <v>6435.4510108452123</v>
      </c>
      <c r="F209" s="24">
        <f t="shared" si="9"/>
        <v>1</v>
      </c>
    </row>
    <row r="210" spans="1:6" x14ac:dyDescent="0.25">
      <c r="A210" s="31">
        <f t="shared" si="10"/>
        <v>208</v>
      </c>
      <c r="B210" s="33">
        <f t="shared" si="11"/>
        <v>18</v>
      </c>
      <c r="C210" s="5">
        <f>Model_30y!V210</f>
        <v>6447.0586093322327</v>
      </c>
      <c r="D210" s="5">
        <f>Model_15y!V210</f>
        <v>6447.0586093322327</v>
      </c>
      <c r="E210" s="2">
        <f>Model_Renter!C210</f>
        <v>6447.0586093322327</v>
      </c>
      <c r="F210" s="24">
        <f t="shared" si="9"/>
        <v>1</v>
      </c>
    </row>
    <row r="211" spans="1:6" x14ac:dyDescent="0.25">
      <c r="A211" s="31">
        <f t="shared" si="10"/>
        <v>209</v>
      </c>
      <c r="B211" s="33">
        <f t="shared" si="11"/>
        <v>18</v>
      </c>
      <c r="C211" s="5">
        <f>Model_30y!V211</f>
        <v>6458.7134986123183</v>
      </c>
      <c r="D211" s="5">
        <f>Model_15y!V211</f>
        <v>6458.7134986123183</v>
      </c>
      <c r="E211" s="2">
        <f>Model_Renter!C211</f>
        <v>6458.7134986123183</v>
      </c>
      <c r="F211" s="24">
        <f t="shared" si="9"/>
        <v>1</v>
      </c>
    </row>
    <row r="212" spans="1:6" x14ac:dyDescent="0.25">
      <c r="A212" s="31">
        <f t="shared" si="10"/>
        <v>210</v>
      </c>
      <c r="B212" s="33">
        <f t="shared" si="11"/>
        <v>18</v>
      </c>
      <c r="C212" s="5">
        <f>Model_30y!V212</f>
        <v>6470.4158713540173</v>
      </c>
      <c r="D212" s="5">
        <f>Model_15y!V212</f>
        <v>6470.4158713540173</v>
      </c>
      <c r="E212" s="2">
        <f>Model_Renter!C212</f>
        <v>6470.4158713540173</v>
      </c>
      <c r="F212" s="24">
        <f t="shared" si="9"/>
        <v>1</v>
      </c>
    </row>
    <row r="213" spans="1:6" x14ac:dyDescent="0.25">
      <c r="A213" s="31">
        <f t="shared" si="10"/>
        <v>211</v>
      </c>
      <c r="B213" s="33">
        <f t="shared" si="11"/>
        <v>18</v>
      </c>
      <c r="C213" s="5">
        <f>Model_30y!V213</f>
        <v>6482.1659210108282</v>
      </c>
      <c r="D213" s="5">
        <f>Model_15y!V213</f>
        <v>6482.1659210108282</v>
      </c>
      <c r="E213" s="2">
        <f>Model_Renter!C213</f>
        <v>6482.1659210108282</v>
      </c>
      <c r="F213" s="24">
        <f t="shared" si="9"/>
        <v>1</v>
      </c>
    </row>
    <row r="214" spans="1:6" x14ac:dyDescent="0.25">
      <c r="A214" s="31">
        <f t="shared" si="10"/>
        <v>212</v>
      </c>
      <c r="B214" s="33">
        <f t="shared" si="11"/>
        <v>18</v>
      </c>
      <c r="C214" s="5">
        <f>Model_30y!V214</f>
        <v>6493.963841824404</v>
      </c>
      <c r="D214" s="5">
        <f>Model_15y!V214</f>
        <v>6493.963841824404</v>
      </c>
      <c r="E214" s="2">
        <f>Model_Renter!C214</f>
        <v>6493.963841824404</v>
      </c>
      <c r="F214" s="24">
        <f t="shared" si="9"/>
        <v>1</v>
      </c>
    </row>
    <row r="215" spans="1:6" x14ac:dyDescent="0.25">
      <c r="A215" s="31">
        <f t="shared" si="10"/>
        <v>213</v>
      </c>
      <c r="B215" s="33">
        <f t="shared" si="11"/>
        <v>18</v>
      </c>
      <c r="C215" s="5">
        <f>Model_30y!V215</f>
        <v>6505.8098288277652</v>
      </c>
      <c r="D215" s="5">
        <f>Model_15y!V215</f>
        <v>6505.8098288277652</v>
      </c>
      <c r="E215" s="2">
        <f>Model_Renter!C215</f>
        <v>6505.8098288277652</v>
      </c>
      <c r="F215" s="24">
        <f t="shared" si="9"/>
        <v>1</v>
      </c>
    </row>
    <row r="216" spans="1:6" x14ac:dyDescent="0.25">
      <c r="A216" s="31">
        <f t="shared" si="10"/>
        <v>214</v>
      </c>
      <c r="B216" s="33">
        <f t="shared" si="11"/>
        <v>18</v>
      </c>
      <c r="C216" s="5">
        <f>Model_30y!V216</f>
        <v>6517.704077848517</v>
      </c>
      <c r="D216" s="5">
        <f>Model_15y!V216</f>
        <v>6517.704077848517</v>
      </c>
      <c r="E216" s="2">
        <f>Model_Renter!C216</f>
        <v>6517.704077848517</v>
      </c>
      <c r="F216" s="24">
        <f t="shared" si="9"/>
        <v>1</v>
      </c>
    </row>
    <row r="217" spans="1:6" x14ac:dyDescent="0.25">
      <c r="A217" s="31">
        <f t="shared" si="10"/>
        <v>215</v>
      </c>
      <c r="B217" s="33">
        <f t="shared" si="11"/>
        <v>18</v>
      </c>
      <c r="C217" s="5">
        <f>Model_30y!V217</f>
        <v>6529.6467855120918</v>
      </c>
      <c r="D217" s="5">
        <f>Model_15y!V217</f>
        <v>6529.6467855120918</v>
      </c>
      <c r="E217" s="2">
        <f>Model_Renter!C217</f>
        <v>6529.6467855120918</v>
      </c>
      <c r="F217" s="24">
        <f t="shared" si="9"/>
        <v>1</v>
      </c>
    </row>
    <row r="218" spans="1:6" x14ac:dyDescent="0.25">
      <c r="A218" s="31">
        <f t="shared" si="10"/>
        <v>216</v>
      </c>
      <c r="B218" s="33">
        <f t="shared" si="11"/>
        <v>18</v>
      </c>
      <c r="C218" s="5">
        <f>Model_30y!V218</f>
        <v>6541.6381492450018</v>
      </c>
      <c r="D218" s="5">
        <f>Model_15y!V218</f>
        <v>6541.6381492450018</v>
      </c>
      <c r="E218" s="2">
        <f>Model_Renter!C218</f>
        <v>6541.6381492450018</v>
      </c>
      <c r="F218" s="24">
        <f t="shared" si="9"/>
        <v>1</v>
      </c>
    </row>
    <row r="219" spans="1:6" x14ac:dyDescent="0.25">
      <c r="A219" s="31">
        <f t="shared" si="10"/>
        <v>217</v>
      </c>
      <c r="B219" s="33">
        <f t="shared" si="11"/>
        <v>19</v>
      </c>
      <c r="C219" s="5">
        <f>Model_30y!V219</f>
        <v>6590.9141148660356</v>
      </c>
      <c r="D219" s="5">
        <f>Model_15y!V219</f>
        <v>6590.9141148660356</v>
      </c>
      <c r="E219" s="2">
        <f>Model_Renter!C219</f>
        <v>6590.9141148660356</v>
      </c>
      <c r="F219" s="24">
        <f t="shared" si="9"/>
        <v>1</v>
      </c>
    </row>
    <row r="220" spans="1:6" x14ac:dyDescent="0.25">
      <c r="A220" s="31">
        <f t="shared" si="10"/>
        <v>218</v>
      </c>
      <c r="B220" s="33">
        <f t="shared" si="11"/>
        <v>19</v>
      </c>
      <c r="C220" s="5">
        <f>Model_30y!V220</f>
        <v>6603.0033862377768</v>
      </c>
      <c r="D220" s="5">
        <f>Model_15y!V220</f>
        <v>6603.0033862377768</v>
      </c>
      <c r="E220" s="2">
        <f>Model_Renter!C220</f>
        <v>6603.0033862377768</v>
      </c>
      <c r="F220" s="24">
        <f t="shared" si="9"/>
        <v>1</v>
      </c>
    </row>
    <row r="221" spans="1:6" x14ac:dyDescent="0.25">
      <c r="A221" s="31">
        <f t="shared" si="10"/>
        <v>219</v>
      </c>
      <c r="B221" s="33">
        <f t="shared" si="11"/>
        <v>19</v>
      </c>
      <c r="C221" s="5">
        <f>Model_30y!V221</f>
        <v>6615.1419107975398</v>
      </c>
      <c r="D221" s="5">
        <f>Model_15y!V221</f>
        <v>6615.1419107975398</v>
      </c>
      <c r="E221" s="2">
        <f>Model_Renter!C221</f>
        <v>6615.1419107975398</v>
      </c>
      <c r="F221" s="24">
        <f t="shared" si="9"/>
        <v>1</v>
      </c>
    </row>
    <row r="222" spans="1:6" x14ac:dyDescent="0.25">
      <c r="A222" s="31">
        <f t="shared" si="10"/>
        <v>220</v>
      </c>
      <c r="B222" s="33">
        <f t="shared" si="11"/>
        <v>19</v>
      </c>
      <c r="C222" s="5">
        <f>Model_30y!V222</f>
        <v>6627.3298892089106</v>
      </c>
      <c r="D222" s="5">
        <f>Model_15y!V222</f>
        <v>6627.3298892089106</v>
      </c>
      <c r="E222" s="2">
        <f>Model_Renter!C222</f>
        <v>6627.3298892089106</v>
      </c>
      <c r="F222" s="24">
        <f t="shared" si="9"/>
        <v>1</v>
      </c>
    </row>
    <row r="223" spans="1:6" x14ac:dyDescent="0.25">
      <c r="A223" s="31">
        <f t="shared" si="10"/>
        <v>221</v>
      </c>
      <c r="B223" s="33">
        <f t="shared" si="11"/>
        <v>19</v>
      </c>
      <c r="C223" s="5">
        <f>Model_30y!V223</f>
        <v>6639.5675229530007</v>
      </c>
      <c r="D223" s="5">
        <f>Model_15y!V223</f>
        <v>6639.5675229530007</v>
      </c>
      <c r="E223" s="2">
        <f>Model_Renter!C223</f>
        <v>6639.5675229530007</v>
      </c>
      <c r="F223" s="24">
        <f t="shared" si="9"/>
        <v>1</v>
      </c>
    </row>
    <row r="224" spans="1:6" x14ac:dyDescent="0.25">
      <c r="A224" s="31">
        <f t="shared" si="10"/>
        <v>222</v>
      </c>
      <c r="B224" s="33">
        <f t="shared" si="11"/>
        <v>19</v>
      </c>
      <c r="C224" s="5">
        <f>Model_30y!V224</f>
        <v>6651.8550143317843</v>
      </c>
      <c r="D224" s="5">
        <f>Model_15y!V224</f>
        <v>6651.8550143317843</v>
      </c>
      <c r="E224" s="2">
        <f>Model_Renter!C224</f>
        <v>6651.8550143317843</v>
      </c>
      <c r="F224" s="24">
        <f t="shared" si="9"/>
        <v>1</v>
      </c>
    </row>
    <row r="225" spans="1:6" x14ac:dyDescent="0.25">
      <c r="A225" s="31">
        <f t="shared" si="10"/>
        <v>223</v>
      </c>
      <c r="B225" s="33">
        <f t="shared" si="11"/>
        <v>19</v>
      </c>
      <c r="C225" s="5">
        <f>Model_30y!V225</f>
        <v>6664.1925664714363</v>
      </c>
      <c r="D225" s="5">
        <f>Model_15y!V225</f>
        <v>6664.1925664714363</v>
      </c>
      <c r="E225" s="2">
        <f>Model_Renter!C225</f>
        <v>6664.1925664714363</v>
      </c>
      <c r="F225" s="24">
        <f t="shared" si="9"/>
        <v>1</v>
      </c>
    </row>
    <row r="226" spans="1:6" x14ac:dyDescent="0.25">
      <c r="A226" s="31">
        <f t="shared" si="10"/>
        <v>224</v>
      </c>
      <c r="B226" s="33">
        <f t="shared" si="11"/>
        <v>19</v>
      </c>
      <c r="C226" s="5">
        <f>Model_30y!V226</f>
        <v>6676.5803833256914</v>
      </c>
      <c r="D226" s="5">
        <f>Model_15y!V226</f>
        <v>6676.5803833256914</v>
      </c>
      <c r="E226" s="2">
        <f>Model_Renter!C226</f>
        <v>6676.5803833256914</v>
      </c>
      <c r="F226" s="24">
        <f t="shared" si="9"/>
        <v>1</v>
      </c>
    </row>
    <row r="227" spans="1:6" x14ac:dyDescent="0.25">
      <c r="A227" s="31">
        <f t="shared" si="10"/>
        <v>225</v>
      </c>
      <c r="B227" s="33">
        <f t="shared" si="11"/>
        <v>19</v>
      </c>
      <c r="C227" s="5">
        <f>Model_30y!V227</f>
        <v>6689.0186696792207</v>
      </c>
      <c r="D227" s="5">
        <f>Model_15y!V227</f>
        <v>6689.0186696792207</v>
      </c>
      <c r="E227" s="2">
        <f>Model_Renter!C227</f>
        <v>6689.0186696792207</v>
      </c>
      <c r="F227" s="24">
        <f t="shared" si="9"/>
        <v>1</v>
      </c>
    </row>
    <row r="228" spans="1:6" x14ac:dyDescent="0.25">
      <c r="A228" s="31">
        <f t="shared" si="10"/>
        <v>226</v>
      </c>
      <c r="B228" s="33">
        <f t="shared" si="11"/>
        <v>19</v>
      </c>
      <c r="C228" s="5">
        <f>Model_30y!V228</f>
        <v>6701.5076311510093</v>
      </c>
      <c r="D228" s="5">
        <f>Model_15y!V228</f>
        <v>6701.5076311510093</v>
      </c>
      <c r="E228" s="2">
        <f>Model_Renter!C228</f>
        <v>6701.5076311510093</v>
      </c>
      <c r="F228" s="24">
        <f t="shared" si="9"/>
        <v>1</v>
      </c>
    </row>
    <row r="229" spans="1:6" x14ac:dyDescent="0.25">
      <c r="A229" s="31">
        <f t="shared" si="10"/>
        <v>227</v>
      </c>
      <c r="B229" s="33">
        <f t="shared" si="11"/>
        <v>19</v>
      </c>
      <c r="C229" s="5">
        <f>Model_30y!V229</f>
        <v>6714.047474197765</v>
      </c>
      <c r="D229" s="5">
        <f>Model_15y!V229</f>
        <v>6714.047474197765</v>
      </c>
      <c r="E229" s="2">
        <f>Model_Renter!C229</f>
        <v>6714.047474197765</v>
      </c>
      <c r="F229" s="24">
        <f t="shared" si="9"/>
        <v>1</v>
      </c>
    </row>
    <row r="230" spans="1:6" x14ac:dyDescent="0.25">
      <c r="A230" s="31">
        <f t="shared" si="10"/>
        <v>228</v>
      </c>
      <c r="B230" s="33">
        <f t="shared" si="11"/>
        <v>19</v>
      </c>
      <c r="C230" s="5">
        <f>Model_30y!V230</f>
        <v>6726.6384061173194</v>
      </c>
      <c r="D230" s="5">
        <f>Model_15y!V230</f>
        <v>6726.6384061173194</v>
      </c>
      <c r="E230" s="2">
        <f>Model_Renter!C230</f>
        <v>6726.6384061173194</v>
      </c>
      <c r="F230" s="24">
        <f t="shared" si="9"/>
        <v>1</v>
      </c>
    </row>
    <row r="231" spans="1:6" x14ac:dyDescent="0.25">
      <c r="A231" s="31">
        <f t="shared" si="10"/>
        <v>229</v>
      </c>
      <c r="B231" s="33">
        <f t="shared" si="11"/>
        <v>20</v>
      </c>
      <c r="C231" s="5">
        <f>Model_30y!V231</f>
        <v>6778.3781700194049</v>
      </c>
      <c r="D231" s="5">
        <f>Model_15y!V231</f>
        <v>6778.3781700194049</v>
      </c>
      <c r="E231" s="2">
        <f>Model_Renter!C231</f>
        <v>6778.3781700194049</v>
      </c>
      <c r="F231" s="24">
        <f t="shared" si="9"/>
        <v>1</v>
      </c>
    </row>
    <row r="232" spans="1:6" x14ac:dyDescent="0.25">
      <c r="A232" s="31">
        <f t="shared" si="10"/>
        <v>230</v>
      </c>
      <c r="B232" s="33">
        <f t="shared" si="11"/>
        <v>20</v>
      </c>
      <c r="C232" s="5">
        <f>Model_30y!V232</f>
        <v>6791.0719049597319</v>
      </c>
      <c r="D232" s="5">
        <f>Model_15y!V232</f>
        <v>6791.0719049597319</v>
      </c>
      <c r="E232" s="2">
        <f>Model_Renter!C232</f>
        <v>6791.0719049597319</v>
      </c>
      <c r="F232" s="24">
        <f t="shared" si="9"/>
        <v>1</v>
      </c>
    </row>
    <row r="233" spans="1:6" x14ac:dyDescent="0.25">
      <c r="A233" s="31">
        <f t="shared" si="10"/>
        <v>231</v>
      </c>
      <c r="B233" s="33">
        <f t="shared" si="11"/>
        <v>20</v>
      </c>
      <c r="C233" s="5">
        <f>Model_30y!V233</f>
        <v>6803.8173557474838</v>
      </c>
      <c r="D233" s="5">
        <f>Model_15y!V233</f>
        <v>6803.8173557474838</v>
      </c>
      <c r="E233" s="2">
        <f>Model_Renter!C233</f>
        <v>6803.8173557474838</v>
      </c>
      <c r="F233" s="24">
        <f t="shared" si="9"/>
        <v>1</v>
      </c>
    </row>
    <row r="234" spans="1:6" x14ac:dyDescent="0.25">
      <c r="A234" s="31">
        <f t="shared" si="10"/>
        <v>232</v>
      </c>
      <c r="B234" s="33">
        <f t="shared" si="11"/>
        <v>20</v>
      </c>
      <c r="C234" s="5">
        <f>Model_30y!V234</f>
        <v>6816.6147330794229</v>
      </c>
      <c r="D234" s="5">
        <f>Model_15y!V234</f>
        <v>6816.6147330794229</v>
      </c>
      <c r="E234" s="2">
        <f>Model_Renter!C234</f>
        <v>6816.6147330794229</v>
      </c>
      <c r="F234" s="24">
        <f t="shared" si="9"/>
        <v>1</v>
      </c>
    </row>
    <row r="235" spans="1:6" x14ac:dyDescent="0.25">
      <c r="A235" s="31">
        <f t="shared" si="10"/>
        <v>233</v>
      </c>
      <c r="B235" s="33">
        <f t="shared" si="11"/>
        <v>20</v>
      </c>
      <c r="C235" s="5">
        <f>Model_30y!V235</f>
        <v>6829.4642485107188</v>
      </c>
      <c r="D235" s="5">
        <f>Model_15y!V235</f>
        <v>6829.4642485107188</v>
      </c>
      <c r="E235" s="2">
        <f>Model_Renter!C235</f>
        <v>6829.4642485107188</v>
      </c>
      <c r="F235" s="24">
        <f t="shared" si="9"/>
        <v>1</v>
      </c>
    </row>
    <row r="236" spans="1:6" x14ac:dyDescent="0.25">
      <c r="A236" s="31">
        <f t="shared" si="10"/>
        <v>234</v>
      </c>
      <c r="B236" s="33">
        <f t="shared" si="11"/>
        <v>20</v>
      </c>
      <c r="C236" s="5">
        <f>Model_30y!V236</f>
        <v>6842.3661144584412</v>
      </c>
      <c r="D236" s="5">
        <f>Model_15y!V236</f>
        <v>6842.3661144584412</v>
      </c>
      <c r="E236" s="2">
        <f>Model_Renter!C236</f>
        <v>6842.3661144584412</v>
      </c>
      <c r="F236" s="24">
        <f t="shared" si="9"/>
        <v>1</v>
      </c>
    </row>
    <row r="237" spans="1:6" x14ac:dyDescent="0.25">
      <c r="A237" s="31">
        <f t="shared" si="10"/>
        <v>235</v>
      </c>
      <c r="B237" s="33">
        <f t="shared" si="11"/>
        <v>20</v>
      </c>
      <c r="C237" s="5">
        <f>Model_30y!V237</f>
        <v>6855.3205442050748</v>
      </c>
      <c r="D237" s="5">
        <f>Model_15y!V237</f>
        <v>6855.3205442050748</v>
      </c>
      <c r="E237" s="2">
        <f>Model_Renter!C237</f>
        <v>6855.3205442050748</v>
      </c>
      <c r="F237" s="24">
        <f t="shared" si="9"/>
        <v>1</v>
      </c>
    </row>
    <row r="238" spans="1:6" x14ac:dyDescent="0.25">
      <c r="A238" s="31">
        <f t="shared" si="10"/>
        <v>236</v>
      </c>
      <c r="B238" s="33">
        <f t="shared" si="11"/>
        <v>20</v>
      </c>
      <c r="C238" s="5">
        <f>Model_30y!V238</f>
        <v>6868.327751902043</v>
      </c>
      <c r="D238" s="5">
        <f>Model_15y!V238</f>
        <v>6868.327751902043</v>
      </c>
      <c r="E238" s="2">
        <f>Model_Renter!C238</f>
        <v>6868.327751902043</v>
      </c>
      <c r="F238" s="24">
        <f t="shared" si="9"/>
        <v>1</v>
      </c>
    </row>
    <row r="239" spans="1:6" x14ac:dyDescent="0.25">
      <c r="A239" s="31">
        <f t="shared" si="10"/>
        <v>237</v>
      </c>
      <c r="B239" s="33">
        <f t="shared" si="11"/>
        <v>20</v>
      </c>
      <c r="C239" s="5">
        <f>Model_30y!V239</f>
        <v>6881.3879525732482</v>
      </c>
      <c r="D239" s="5">
        <f>Model_15y!V239</f>
        <v>6881.3879525732482</v>
      </c>
      <c r="E239" s="2">
        <f>Model_Renter!C239</f>
        <v>6881.3879525732482</v>
      </c>
      <c r="F239" s="24">
        <f t="shared" si="9"/>
        <v>1</v>
      </c>
    </row>
    <row r="240" spans="1:6" x14ac:dyDescent="0.25">
      <c r="A240" s="31">
        <f t="shared" si="10"/>
        <v>238</v>
      </c>
      <c r="B240" s="33">
        <f t="shared" si="11"/>
        <v>20</v>
      </c>
      <c r="C240" s="5">
        <f>Model_30y!V240</f>
        <v>6894.5013621186272</v>
      </c>
      <c r="D240" s="5">
        <f>Model_15y!V240</f>
        <v>6894.5013621186272</v>
      </c>
      <c r="E240" s="2">
        <f>Model_Renter!C240</f>
        <v>6894.5013621186272</v>
      </c>
      <c r="F240" s="24">
        <f t="shared" si="9"/>
        <v>1</v>
      </c>
    </row>
    <row r="241" spans="1:6" x14ac:dyDescent="0.25">
      <c r="A241" s="31">
        <f t="shared" si="10"/>
        <v>239</v>
      </c>
      <c r="B241" s="33">
        <f t="shared" si="11"/>
        <v>20</v>
      </c>
      <c r="C241" s="5">
        <f>Model_30y!V241</f>
        <v>6907.6681973177201</v>
      </c>
      <c r="D241" s="5">
        <f>Model_15y!V241</f>
        <v>6907.6681973177201</v>
      </c>
      <c r="E241" s="2">
        <f>Model_Renter!C241</f>
        <v>6907.6681973177201</v>
      </c>
      <c r="F241" s="24">
        <f t="shared" si="9"/>
        <v>1</v>
      </c>
    </row>
    <row r="242" spans="1:6" x14ac:dyDescent="0.25">
      <c r="A242" s="31">
        <f t="shared" si="10"/>
        <v>240</v>
      </c>
      <c r="B242" s="33">
        <f t="shared" si="11"/>
        <v>20</v>
      </c>
      <c r="C242" s="5">
        <f>Model_30y!V242</f>
        <v>6920.8886758332519</v>
      </c>
      <c r="D242" s="5">
        <f>Model_15y!V242</f>
        <v>6920.8886758332519</v>
      </c>
      <c r="E242" s="2">
        <f>Model_Renter!C242</f>
        <v>6920.8886758332519</v>
      </c>
      <c r="F242" s="24">
        <f t="shared" si="9"/>
        <v>1</v>
      </c>
    </row>
    <row r="243" spans="1:6" x14ac:dyDescent="0.25">
      <c r="A243" s="31">
        <f t="shared" si="10"/>
        <v>241</v>
      </c>
      <c r="B243" s="33">
        <f t="shared" si="11"/>
        <v>21</v>
      </c>
      <c r="C243" s="5">
        <f>Model_30y!V243</f>
        <v>6975.2154279304432</v>
      </c>
      <c r="D243" s="5">
        <f>Model_15y!V243</f>
        <v>6975.2154279304432</v>
      </c>
      <c r="E243" s="2">
        <f>Model_Renter!C243</f>
        <v>6975.2154279304432</v>
      </c>
      <c r="F243" s="24">
        <f t="shared" si="9"/>
        <v>1</v>
      </c>
    </row>
    <row r="244" spans="1:6" x14ac:dyDescent="0.25">
      <c r="A244" s="31">
        <f t="shared" si="10"/>
        <v>242</v>
      </c>
      <c r="B244" s="33">
        <f t="shared" si="11"/>
        <v>21</v>
      </c>
      <c r="C244" s="5">
        <f>Model_30y!V244</f>
        <v>6988.5438496177867</v>
      </c>
      <c r="D244" s="5">
        <f>Model_15y!V244</f>
        <v>6988.5438496177867</v>
      </c>
      <c r="E244" s="2">
        <f>Model_Renter!C244</f>
        <v>6988.5438496177867</v>
      </c>
      <c r="F244" s="24">
        <f t="shared" si="9"/>
        <v>1</v>
      </c>
    </row>
    <row r="245" spans="1:6" x14ac:dyDescent="0.25">
      <c r="A245" s="31">
        <f t="shared" si="10"/>
        <v>243</v>
      </c>
      <c r="B245" s="33">
        <f t="shared" si="11"/>
        <v>21</v>
      </c>
      <c r="C245" s="5">
        <f>Model_30y!V245</f>
        <v>7001.9265729449271</v>
      </c>
      <c r="D245" s="5">
        <f>Model_15y!V245</f>
        <v>7001.9265729449271</v>
      </c>
      <c r="E245" s="2">
        <f>Model_Renter!C245</f>
        <v>7001.9265729449271</v>
      </c>
      <c r="F245" s="24">
        <f t="shared" si="9"/>
        <v>1</v>
      </c>
    </row>
    <row r="246" spans="1:6" x14ac:dyDescent="0.25">
      <c r="A246" s="31">
        <f t="shared" si="10"/>
        <v>244</v>
      </c>
      <c r="B246" s="33">
        <f t="shared" si="11"/>
        <v>21</v>
      </c>
      <c r="C246" s="5">
        <f>Model_30y!V246</f>
        <v>7015.3638191434638</v>
      </c>
      <c r="D246" s="5">
        <f>Model_15y!V246</f>
        <v>7015.3638191434638</v>
      </c>
      <c r="E246" s="2">
        <f>Model_Renter!C246</f>
        <v>7015.3638191434638</v>
      </c>
      <c r="F246" s="24">
        <f t="shared" si="9"/>
        <v>1</v>
      </c>
    </row>
    <row r="247" spans="1:6" x14ac:dyDescent="0.25">
      <c r="A247" s="31">
        <f t="shared" si="10"/>
        <v>245</v>
      </c>
      <c r="B247" s="33">
        <f t="shared" si="11"/>
        <v>21</v>
      </c>
      <c r="C247" s="5">
        <f>Model_30y!V247</f>
        <v>7028.8558103463238</v>
      </c>
      <c r="D247" s="5">
        <f>Model_15y!V247</f>
        <v>7028.8558103463238</v>
      </c>
      <c r="E247" s="2">
        <f>Model_Renter!C247</f>
        <v>7028.8558103463238</v>
      </c>
      <c r="F247" s="24">
        <f t="shared" si="9"/>
        <v>1</v>
      </c>
    </row>
    <row r="248" spans="1:6" x14ac:dyDescent="0.25">
      <c r="A248" s="31">
        <f t="shared" si="10"/>
        <v>246</v>
      </c>
      <c r="B248" s="33">
        <f t="shared" si="11"/>
        <v>21</v>
      </c>
      <c r="C248" s="5">
        <f>Model_30y!V248</f>
        <v>7042.4027695914319</v>
      </c>
      <c r="D248" s="5">
        <f>Model_15y!V248</f>
        <v>7042.4027695914319</v>
      </c>
      <c r="E248" s="2">
        <f>Model_Renter!C248</f>
        <v>7042.4027695914319</v>
      </c>
      <c r="F248" s="24">
        <f t="shared" si="9"/>
        <v>1</v>
      </c>
    </row>
    <row r="249" spans="1:6" x14ac:dyDescent="0.25">
      <c r="A249" s="31">
        <f t="shared" si="10"/>
        <v>247</v>
      </c>
      <c r="B249" s="33">
        <f t="shared" si="11"/>
        <v>21</v>
      </c>
      <c r="C249" s="5">
        <f>Model_30y!V249</f>
        <v>7056.0049208253968</v>
      </c>
      <c r="D249" s="5">
        <f>Model_15y!V249</f>
        <v>7056.0049208253968</v>
      </c>
      <c r="E249" s="2">
        <f>Model_Renter!C249</f>
        <v>7056.0049208253968</v>
      </c>
      <c r="F249" s="24">
        <f t="shared" si="9"/>
        <v>1</v>
      </c>
    </row>
    <row r="250" spans="1:6" x14ac:dyDescent="0.25">
      <c r="A250" s="31">
        <f t="shared" si="10"/>
        <v>248</v>
      </c>
      <c r="B250" s="33">
        <f t="shared" si="11"/>
        <v>21</v>
      </c>
      <c r="C250" s="5">
        <f>Model_30y!V250</f>
        <v>7069.6624889072136</v>
      </c>
      <c r="D250" s="5">
        <f>Model_15y!V250</f>
        <v>7069.6624889072136</v>
      </c>
      <c r="E250" s="2">
        <f>Model_Renter!C250</f>
        <v>7069.6624889072136</v>
      </c>
      <c r="F250" s="24">
        <f t="shared" si="9"/>
        <v>1</v>
      </c>
    </row>
    <row r="251" spans="1:6" x14ac:dyDescent="0.25">
      <c r="A251" s="31">
        <f t="shared" si="10"/>
        <v>249</v>
      </c>
      <c r="B251" s="33">
        <f t="shared" si="11"/>
        <v>21</v>
      </c>
      <c r="C251" s="5">
        <f>Model_30y!V251</f>
        <v>7083.3756996119791</v>
      </c>
      <c r="D251" s="5">
        <f>Model_15y!V251</f>
        <v>7083.3756996119791</v>
      </c>
      <c r="E251" s="2">
        <f>Model_Renter!C251</f>
        <v>7083.3756996119791</v>
      </c>
      <c r="F251" s="24">
        <f t="shared" si="9"/>
        <v>1</v>
      </c>
    </row>
    <row r="252" spans="1:6" x14ac:dyDescent="0.25">
      <c r="A252" s="31">
        <f t="shared" si="10"/>
        <v>250</v>
      </c>
      <c r="B252" s="33">
        <f t="shared" si="11"/>
        <v>21</v>
      </c>
      <c r="C252" s="5">
        <f>Model_30y!V252</f>
        <v>7097.1447796346274</v>
      </c>
      <c r="D252" s="5">
        <f>Model_15y!V252</f>
        <v>7097.1447796346274</v>
      </c>
      <c r="E252" s="2">
        <f>Model_Renter!C252</f>
        <v>7097.1447796346274</v>
      </c>
      <c r="F252" s="24">
        <f t="shared" si="9"/>
        <v>1</v>
      </c>
    </row>
    <row r="253" spans="1:6" x14ac:dyDescent="0.25">
      <c r="A253" s="31">
        <f t="shared" si="10"/>
        <v>251</v>
      </c>
      <c r="B253" s="33">
        <f t="shared" si="11"/>
        <v>21</v>
      </c>
      <c r="C253" s="5">
        <f>Model_30y!V253</f>
        <v>7110.9699565936753</v>
      </c>
      <c r="D253" s="5">
        <f>Model_15y!V253</f>
        <v>7110.9699565936753</v>
      </c>
      <c r="E253" s="2">
        <f>Model_Renter!C253</f>
        <v>7110.9699565936753</v>
      </c>
      <c r="F253" s="24">
        <f t="shared" si="9"/>
        <v>1</v>
      </c>
    </row>
    <row r="254" spans="1:6" x14ac:dyDescent="0.25">
      <c r="A254" s="31">
        <f t="shared" si="10"/>
        <v>252</v>
      </c>
      <c r="B254" s="33">
        <f t="shared" si="11"/>
        <v>21</v>
      </c>
      <c r="C254" s="5">
        <f>Model_30y!V254</f>
        <v>7124.8514590349823</v>
      </c>
      <c r="D254" s="5">
        <f>Model_15y!V254</f>
        <v>7124.8514590349823</v>
      </c>
      <c r="E254" s="2">
        <f>Model_Renter!C254</f>
        <v>7124.8514590349823</v>
      </c>
      <c r="F254" s="24">
        <f t="shared" si="9"/>
        <v>1</v>
      </c>
    </row>
    <row r="255" spans="1:6" x14ac:dyDescent="0.25">
      <c r="A255" s="31">
        <f t="shared" si="10"/>
        <v>253</v>
      </c>
      <c r="B255" s="33">
        <f t="shared" si="11"/>
        <v>22</v>
      </c>
      <c r="C255" s="5">
        <f>Model_30y!V255</f>
        <v>7181.8945487370329</v>
      </c>
      <c r="D255" s="5">
        <f>Model_15y!V255</f>
        <v>7181.8945487370329</v>
      </c>
      <c r="E255" s="2">
        <f>Model_Renter!C255</f>
        <v>7181.8945487370329</v>
      </c>
      <c r="F255" s="24">
        <f t="shared" si="9"/>
        <v>1</v>
      </c>
    </row>
    <row r="256" spans="1:6" x14ac:dyDescent="0.25">
      <c r="A256" s="31">
        <f t="shared" si="10"/>
        <v>254</v>
      </c>
      <c r="B256" s="33">
        <f t="shared" si="11"/>
        <v>22</v>
      </c>
      <c r="C256" s="5">
        <f>Model_30y!V256</f>
        <v>7195.8893915087447</v>
      </c>
      <c r="D256" s="5">
        <f>Model_15y!V256</f>
        <v>7195.8893915087447</v>
      </c>
      <c r="E256" s="2">
        <f>Model_Renter!C256</f>
        <v>7195.8893915087447</v>
      </c>
      <c r="F256" s="24">
        <f t="shared" si="9"/>
        <v>1</v>
      </c>
    </row>
    <row r="257" spans="1:6" x14ac:dyDescent="0.25">
      <c r="A257" s="31">
        <f t="shared" si="10"/>
        <v>255</v>
      </c>
      <c r="B257" s="33">
        <f t="shared" si="11"/>
        <v>22</v>
      </c>
      <c r="C257" s="5">
        <f>Model_30y!V257</f>
        <v>7209.9412510022412</v>
      </c>
      <c r="D257" s="5">
        <f>Model_15y!V257</f>
        <v>7209.9412510022412</v>
      </c>
      <c r="E257" s="2">
        <f>Model_Renter!C257</f>
        <v>7209.9412510022412</v>
      </c>
      <c r="F257" s="24">
        <f t="shared" si="9"/>
        <v>1</v>
      </c>
    </row>
    <row r="258" spans="1:6" x14ac:dyDescent="0.25">
      <c r="A258" s="31">
        <f t="shared" si="10"/>
        <v>256</v>
      </c>
      <c r="B258" s="33">
        <f t="shared" si="11"/>
        <v>22</v>
      </c>
      <c r="C258" s="5">
        <f>Model_30y!V258</f>
        <v>7224.0503595107039</v>
      </c>
      <c r="D258" s="5">
        <f>Model_15y!V258</f>
        <v>7224.0503595107039</v>
      </c>
      <c r="E258" s="2">
        <f>Model_Renter!C258</f>
        <v>7224.0503595107039</v>
      </c>
      <c r="F258" s="24">
        <f t="shared" si="9"/>
        <v>1</v>
      </c>
    </row>
    <row r="259" spans="1:6" x14ac:dyDescent="0.25">
      <c r="A259" s="31">
        <f t="shared" si="10"/>
        <v>257</v>
      </c>
      <c r="B259" s="33">
        <f t="shared" si="11"/>
        <v>22</v>
      </c>
      <c r="C259" s="5">
        <f>Model_30y!V259</f>
        <v>7238.216950273707</v>
      </c>
      <c r="D259" s="5">
        <f>Model_15y!V259</f>
        <v>7238.216950273707</v>
      </c>
      <c r="E259" s="2">
        <f>Model_Renter!C259</f>
        <v>7238.216950273707</v>
      </c>
      <c r="F259" s="24">
        <f t="shared" ref="F259:F322" si="12">IF(AND(C259-D259&lt;1, C259-E259&lt;1), 1, 0)</f>
        <v>1</v>
      </c>
    </row>
    <row r="260" spans="1:6" x14ac:dyDescent="0.25">
      <c r="A260" s="31">
        <f t="shared" ref="A260:A323" si="13">A259+1</f>
        <v>258</v>
      </c>
      <c r="B260" s="33">
        <f t="shared" ref="B260:B323" si="14">ROUNDUP(A260/12, 0)</f>
        <v>22</v>
      </c>
      <c r="C260" s="5">
        <f>Model_30y!V260</f>
        <v>7252.4412574810704</v>
      </c>
      <c r="D260" s="5">
        <f>Model_15y!V260</f>
        <v>7252.4412574810704</v>
      </c>
      <c r="E260" s="2">
        <f>Model_Renter!C260</f>
        <v>7252.4412574810704</v>
      </c>
      <c r="F260" s="24">
        <f t="shared" si="12"/>
        <v>1</v>
      </c>
    </row>
    <row r="261" spans="1:6" x14ac:dyDescent="0.25">
      <c r="A261" s="31">
        <f t="shared" si="13"/>
        <v>259</v>
      </c>
      <c r="B261" s="33">
        <f t="shared" si="14"/>
        <v>22</v>
      </c>
      <c r="C261" s="5">
        <f>Model_30y!V261</f>
        <v>7266.7235162767338</v>
      </c>
      <c r="D261" s="5">
        <f>Model_15y!V261</f>
        <v>7266.7235162767338</v>
      </c>
      <c r="E261" s="2">
        <f>Model_Renter!C261</f>
        <v>7266.7235162767338</v>
      </c>
      <c r="F261" s="24">
        <f t="shared" si="12"/>
        <v>1</v>
      </c>
    </row>
    <row r="262" spans="1:6" x14ac:dyDescent="0.25">
      <c r="A262" s="31">
        <f t="shared" si="13"/>
        <v>260</v>
      </c>
      <c r="B262" s="33">
        <f t="shared" si="14"/>
        <v>22</v>
      </c>
      <c r="C262" s="5">
        <f>Model_30y!V262</f>
        <v>7281.0639627626424</v>
      </c>
      <c r="D262" s="5">
        <f>Model_15y!V262</f>
        <v>7281.0639627626424</v>
      </c>
      <c r="E262" s="2">
        <f>Model_Renter!C262</f>
        <v>7281.0639627626424</v>
      </c>
      <c r="F262" s="24">
        <f t="shared" si="12"/>
        <v>1</v>
      </c>
    </row>
    <row r="263" spans="1:6" x14ac:dyDescent="0.25">
      <c r="A263" s="31">
        <f t="shared" si="13"/>
        <v>261</v>
      </c>
      <c r="B263" s="33">
        <f t="shared" si="14"/>
        <v>22</v>
      </c>
      <c r="C263" s="5">
        <f>Model_30y!V263</f>
        <v>7295.4628340026447</v>
      </c>
      <c r="D263" s="5">
        <f>Model_15y!V263</f>
        <v>7295.4628340026447</v>
      </c>
      <c r="E263" s="2">
        <f>Model_Renter!C263</f>
        <v>7295.4628340026447</v>
      </c>
      <c r="F263" s="24">
        <f t="shared" si="12"/>
        <v>1</v>
      </c>
    </row>
    <row r="264" spans="1:6" x14ac:dyDescent="0.25">
      <c r="A264" s="31">
        <f t="shared" si="13"/>
        <v>262</v>
      </c>
      <c r="B264" s="33">
        <f t="shared" si="14"/>
        <v>22</v>
      </c>
      <c r="C264" s="5">
        <f>Model_30y!V264</f>
        <v>7309.9203680264254</v>
      </c>
      <c r="D264" s="5">
        <f>Model_15y!V264</f>
        <v>7309.9203680264254</v>
      </c>
      <c r="E264" s="2">
        <f>Model_Renter!C264</f>
        <v>7309.9203680264254</v>
      </c>
      <c r="F264" s="24">
        <f t="shared" si="12"/>
        <v>1</v>
      </c>
    </row>
    <row r="265" spans="1:6" x14ac:dyDescent="0.25">
      <c r="A265" s="31">
        <f t="shared" si="13"/>
        <v>263</v>
      </c>
      <c r="B265" s="33">
        <f t="shared" si="14"/>
        <v>22</v>
      </c>
      <c r="C265" s="5">
        <f>Model_30y!V265</f>
        <v>7324.4368038334251</v>
      </c>
      <c r="D265" s="5">
        <f>Model_15y!V265</f>
        <v>7324.4368038334251</v>
      </c>
      <c r="E265" s="2">
        <f>Model_Renter!C265</f>
        <v>7324.4368038334251</v>
      </c>
      <c r="F265" s="24">
        <f t="shared" si="12"/>
        <v>1</v>
      </c>
    </row>
    <row r="266" spans="1:6" x14ac:dyDescent="0.25">
      <c r="A266" s="31">
        <f t="shared" si="13"/>
        <v>264</v>
      </c>
      <c r="B266" s="33">
        <f t="shared" si="14"/>
        <v>22</v>
      </c>
      <c r="C266" s="5">
        <f>Model_30y!V266</f>
        <v>7339.0123813967984</v>
      </c>
      <c r="D266" s="5">
        <f>Model_15y!V266</f>
        <v>7339.0123813967984</v>
      </c>
      <c r="E266" s="2">
        <f>Model_Renter!C266</f>
        <v>7339.0123813967984</v>
      </c>
      <c r="F266" s="24">
        <f t="shared" si="12"/>
        <v>1</v>
      </c>
    </row>
    <row r="267" spans="1:6" x14ac:dyDescent="0.25">
      <c r="A267" s="31">
        <f t="shared" si="13"/>
        <v>265</v>
      </c>
      <c r="B267" s="33">
        <f t="shared" si="14"/>
        <v>23</v>
      </c>
      <c r="C267" s="5">
        <f>Model_30y!V267</f>
        <v>7398.9076255839518</v>
      </c>
      <c r="D267" s="5">
        <f>Model_15y!V267</f>
        <v>7398.9076255839518</v>
      </c>
      <c r="E267" s="2">
        <f>Model_Renter!C267</f>
        <v>7398.9076255839518</v>
      </c>
      <c r="F267" s="24">
        <f t="shared" si="12"/>
        <v>1</v>
      </c>
    </row>
    <row r="268" spans="1:6" x14ac:dyDescent="0.25">
      <c r="A268" s="31">
        <f t="shared" si="13"/>
        <v>266</v>
      </c>
      <c r="B268" s="33">
        <f t="shared" si="14"/>
        <v>23</v>
      </c>
      <c r="C268" s="5">
        <f>Model_30y!V268</f>
        <v>7413.6022104942494</v>
      </c>
      <c r="D268" s="5">
        <f>Model_15y!V268</f>
        <v>7413.6022104942494</v>
      </c>
      <c r="E268" s="2">
        <f>Model_Renter!C268</f>
        <v>7413.6022104942494</v>
      </c>
      <c r="F268" s="24">
        <f t="shared" si="12"/>
        <v>1</v>
      </c>
    </row>
    <row r="269" spans="1:6" x14ac:dyDescent="0.25">
      <c r="A269" s="31">
        <f t="shared" si="13"/>
        <v>267</v>
      </c>
      <c r="B269" s="33">
        <f t="shared" si="14"/>
        <v>23</v>
      </c>
      <c r="C269" s="5">
        <f>Model_30y!V269</f>
        <v>7428.3566629624202</v>
      </c>
      <c r="D269" s="5">
        <f>Model_15y!V269</f>
        <v>7428.3566629624202</v>
      </c>
      <c r="E269" s="2">
        <f>Model_Renter!C269</f>
        <v>7428.3566629624202</v>
      </c>
      <c r="F269" s="24">
        <f t="shared" si="12"/>
        <v>1</v>
      </c>
    </row>
    <row r="270" spans="1:6" x14ac:dyDescent="0.25">
      <c r="A270" s="31">
        <f t="shared" si="13"/>
        <v>268</v>
      </c>
      <c r="B270" s="33">
        <f t="shared" si="14"/>
        <v>23</v>
      </c>
      <c r="C270" s="5">
        <f>Model_30y!V270</f>
        <v>7443.1712268963056</v>
      </c>
      <c r="D270" s="5">
        <f>Model_15y!V270</f>
        <v>7443.1712268963056</v>
      </c>
      <c r="E270" s="2">
        <f>Model_Renter!C270</f>
        <v>7443.1712268963056</v>
      </c>
      <c r="F270" s="24">
        <f t="shared" si="12"/>
        <v>1</v>
      </c>
    </row>
    <row r="271" spans="1:6" x14ac:dyDescent="0.25">
      <c r="A271" s="31">
        <f t="shared" si="13"/>
        <v>269</v>
      </c>
      <c r="B271" s="33">
        <f t="shared" si="14"/>
        <v>23</v>
      </c>
      <c r="C271" s="5">
        <f>Model_30y!V271</f>
        <v>7458.0461471974595</v>
      </c>
      <c r="D271" s="5">
        <f>Model_15y!V271</f>
        <v>7458.0461471974595</v>
      </c>
      <c r="E271" s="2">
        <f>Model_Renter!C271</f>
        <v>7458.0461471974595</v>
      </c>
      <c r="F271" s="24">
        <f t="shared" si="12"/>
        <v>1</v>
      </c>
    </row>
    <row r="272" spans="1:6" x14ac:dyDescent="0.25">
      <c r="A272" s="31">
        <f t="shared" si="13"/>
        <v>270</v>
      </c>
      <c r="B272" s="33">
        <f t="shared" si="14"/>
        <v>23</v>
      </c>
      <c r="C272" s="5">
        <f>Model_30y!V272</f>
        <v>7472.9816697651913</v>
      </c>
      <c r="D272" s="5">
        <f>Model_15y!V272</f>
        <v>7472.9816697651913</v>
      </c>
      <c r="E272" s="2">
        <f>Model_Renter!C272</f>
        <v>7472.9816697651913</v>
      </c>
      <c r="F272" s="24">
        <f t="shared" si="12"/>
        <v>1</v>
      </c>
    </row>
    <row r="273" spans="1:6" x14ac:dyDescent="0.25">
      <c r="A273" s="31">
        <f t="shared" si="13"/>
        <v>271</v>
      </c>
      <c r="B273" s="33">
        <f t="shared" si="14"/>
        <v>23</v>
      </c>
      <c r="C273" s="5">
        <f>Model_30y!V273</f>
        <v>7487.9780415006371</v>
      </c>
      <c r="D273" s="5">
        <f>Model_15y!V273</f>
        <v>7487.9780415006371</v>
      </c>
      <c r="E273" s="2">
        <f>Model_Renter!C273</f>
        <v>7487.9780415006371</v>
      </c>
      <c r="F273" s="24">
        <f t="shared" si="12"/>
        <v>1</v>
      </c>
    </row>
    <row r="274" spans="1:6" x14ac:dyDescent="0.25">
      <c r="A274" s="31">
        <f t="shared" si="13"/>
        <v>272</v>
      </c>
      <c r="B274" s="33">
        <f t="shared" si="14"/>
        <v>23</v>
      </c>
      <c r="C274" s="5">
        <f>Model_30y!V274</f>
        <v>7503.0355103108395</v>
      </c>
      <c r="D274" s="5">
        <f>Model_15y!V274</f>
        <v>7503.0355103108395</v>
      </c>
      <c r="E274" s="2">
        <f>Model_Renter!C274</f>
        <v>7503.0355103108395</v>
      </c>
      <c r="F274" s="24">
        <f t="shared" si="12"/>
        <v>1</v>
      </c>
    </row>
    <row r="275" spans="1:6" x14ac:dyDescent="0.25">
      <c r="A275" s="31">
        <f t="shared" si="13"/>
        <v>273</v>
      </c>
      <c r="B275" s="33">
        <f t="shared" si="14"/>
        <v>23</v>
      </c>
      <c r="C275" s="5">
        <f>Model_30y!V275</f>
        <v>7518.1543251128442</v>
      </c>
      <c r="D275" s="5">
        <f>Model_15y!V275</f>
        <v>7518.1543251128442</v>
      </c>
      <c r="E275" s="2">
        <f>Model_Renter!C275</f>
        <v>7518.1543251128442</v>
      </c>
      <c r="F275" s="24">
        <f t="shared" si="12"/>
        <v>1</v>
      </c>
    </row>
    <row r="276" spans="1:6" x14ac:dyDescent="0.25">
      <c r="A276" s="31">
        <f t="shared" si="13"/>
        <v>274</v>
      </c>
      <c r="B276" s="33">
        <f t="shared" si="14"/>
        <v>23</v>
      </c>
      <c r="C276" s="5">
        <f>Model_30y!V276</f>
        <v>7533.3347358378142</v>
      </c>
      <c r="D276" s="5">
        <f>Model_15y!V276</f>
        <v>7533.3347358378142</v>
      </c>
      <c r="E276" s="2">
        <f>Model_Renter!C276</f>
        <v>7533.3347358378142</v>
      </c>
      <c r="F276" s="24">
        <f t="shared" si="12"/>
        <v>1</v>
      </c>
    </row>
    <row r="277" spans="1:6" x14ac:dyDescent="0.25">
      <c r="A277" s="31">
        <f t="shared" si="13"/>
        <v>275</v>
      </c>
      <c r="B277" s="33">
        <f t="shared" si="14"/>
        <v>23</v>
      </c>
      <c r="C277" s="5">
        <f>Model_30y!V277</f>
        <v>7548.5769934351629</v>
      </c>
      <c r="D277" s="5">
        <f>Model_15y!V277</f>
        <v>7548.5769934351629</v>
      </c>
      <c r="E277" s="2">
        <f>Model_Renter!C277</f>
        <v>7548.5769934351629</v>
      </c>
      <c r="F277" s="24">
        <f t="shared" si="12"/>
        <v>1</v>
      </c>
    </row>
    <row r="278" spans="1:6" x14ac:dyDescent="0.25">
      <c r="A278" s="31">
        <f t="shared" si="13"/>
        <v>276</v>
      </c>
      <c r="B278" s="33">
        <f t="shared" si="14"/>
        <v>23</v>
      </c>
      <c r="C278" s="5">
        <f>Model_30y!V278</f>
        <v>7563.8813498767067</v>
      </c>
      <c r="D278" s="5">
        <f>Model_15y!V278</f>
        <v>7563.8813498767067</v>
      </c>
      <c r="E278" s="2">
        <f>Model_Renter!C278</f>
        <v>7563.8813498767067</v>
      </c>
      <c r="F278" s="24">
        <f t="shared" si="12"/>
        <v>1</v>
      </c>
    </row>
    <row r="279" spans="1:6" x14ac:dyDescent="0.25">
      <c r="A279" s="31">
        <f t="shared" si="13"/>
        <v>277</v>
      </c>
      <c r="B279" s="33">
        <f t="shared" si="14"/>
        <v>24</v>
      </c>
      <c r="C279" s="5">
        <f>Model_30y!V279</f>
        <v>7626.7713562732151</v>
      </c>
      <c r="D279" s="5">
        <f>Model_15y!V279</f>
        <v>7626.7713562732151</v>
      </c>
      <c r="E279" s="2">
        <f>Model_Renter!C279</f>
        <v>7626.7713562732151</v>
      </c>
      <c r="F279" s="24">
        <f t="shared" si="12"/>
        <v>1</v>
      </c>
    </row>
    <row r="280" spans="1:6" x14ac:dyDescent="0.25">
      <c r="A280" s="31">
        <f t="shared" si="13"/>
        <v>278</v>
      </c>
      <c r="B280" s="33">
        <f t="shared" si="14"/>
        <v>24</v>
      </c>
      <c r="C280" s="5">
        <f>Model_30y!V280</f>
        <v>7642.200670429027</v>
      </c>
      <c r="D280" s="5">
        <f>Model_15y!V280</f>
        <v>7642.200670429027</v>
      </c>
      <c r="E280" s="2">
        <f>Model_Renter!C280</f>
        <v>7642.200670429027</v>
      </c>
      <c r="F280" s="24">
        <f t="shared" si="12"/>
        <v>1</v>
      </c>
    </row>
    <row r="281" spans="1:6" x14ac:dyDescent="0.25">
      <c r="A281" s="31">
        <f t="shared" si="13"/>
        <v>279</v>
      </c>
      <c r="B281" s="33">
        <f t="shared" si="14"/>
        <v>24</v>
      </c>
      <c r="C281" s="5">
        <f>Model_30y!V281</f>
        <v>7657.6928455206071</v>
      </c>
      <c r="D281" s="5">
        <f>Model_15y!V281</f>
        <v>7657.6928455206071</v>
      </c>
      <c r="E281" s="2">
        <f>Model_Renter!C281</f>
        <v>7657.6928455206071</v>
      </c>
      <c r="F281" s="24">
        <f t="shared" si="12"/>
        <v>1</v>
      </c>
    </row>
    <row r="282" spans="1:6" x14ac:dyDescent="0.25">
      <c r="A282" s="31">
        <f t="shared" si="13"/>
        <v>280</v>
      </c>
      <c r="B282" s="33">
        <f t="shared" si="14"/>
        <v>24</v>
      </c>
      <c r="C282" s="5">
        <f>Model_30y!V282</f>
        <v>7673.2481376511878</v>
      </c>
      <c r="D282" s="5">
        <f>Model_15y!V282</f>
        <v>7673.2481376511878</v>
      </c>
      <c r="E282" s="2">
        <f>Model_Renter!C282</f>
        <v>7673.2481376511878</v>
      </c>
      <c r="F282" s="24">
        <f t="shared" si="12"/>
        <v>1</v>
      </c>
    </row>
    <row r="283" spans="1:6" x14ac:dyDescent="0.25">
      <c r="A283" s="31">
        <f t="shared" si="13"/>
        <v>281</v>
      </c>
      <c r="B283" s="33">
        <f t="shared" si="14"/>
        <v>24</v>
      </c>
      <c r="C283" s="5">
        <f>Model_30y!V283</f>
        <v>7688.8668039673994</v>
      </c>
      <c r="D283" s="5">
        <f>Model_15y!V283</f>
        <v>7688.8668039673994</v>
      </c>
      <c r="E283" s="2">
        <f>Model_Renter!C283</f>
        <v>7688.8668039673994</v>
      </c>
      <c r="F283" s="24">
        <f t="shared" si="12"/>
        <v>1</v>
      </c>
    </row>
    <row r="284" spans="1:6" x14ac:dyDescent="0.25">
      <c r="A284" s="31">
        <f t="shared" si="13"/>
        <v>282</v>
      </c>
      <c r="B284" s="33">
        <f t="shared" si="14"/>
        <v>24</v>
      </c>
      <c r="C284" s="5">
        <f>Model_30y!V284</f>
        <v>7704.5491026635173</v>
      </c>
      <c r="D284" s="5">
        <f>Model_15y!V284</f>
        <v>7704.5491026635173</v>
      </c>
      <c r="E284" s="2">
        <f>Model_Renter!C284</f>
        <v>7704.5491026635173</v>
      </c>
      <c r="F284" s="24">
        <f t="shared" si="12"/>
        <v>1</v>
      </c>
    </row>
    <row r="285" spans="1:6" x14ac:dyDescent="0.25">
      <c r="A285" s="31">
        <f t="shared" si="13"/>
        <v>283</v>
      </c>
      <c r="B285" s="33">
        <f t="shared" si="14"/>
        <v>24</v>
      </c>
      <c r="C285" s="5">
        <f>Model_30y!V285</f>
        <v>7720.2952929857365</v>
      </c>
      <c r="D285" s="5">
        <f>Model_15y!V285</f>
        <v>7720.2952929857365</v>
      </c>
      <c r="E285" s="2">
        <f>Model_Renter!C285</f>
        <v>7720.2952929857365</v>
      </c>
      <c r="F285" s="24">
        <f t="shared" si="12"/>
        <v>1</v>
      </c>
    </row>
    <row r="286" spans="1:6" x14ac:dyDescent="0.25">
      <c r="A286" s="31">
        <f t="shared" si="13"/>
        <v>284</v>
      </c>
      <c r="B286" s="33">
        <f t="shared" si="14"/>
        <v>24</v>
      </c>
      <c r="C286" s="5">
        <f>Model_30y!V286</f>
        <v>7736.1056352364503</v>
      </c>
      <c r="D286" s="5">
        <f>Model_15y!V286</f>
        <v>7736.1056352364503</v>
      </c>
      <c r="E286" s="2">
        <f>Model_Renter!C286</f>
        <v>7736.1056352364503</v>
      </c>
      <c r="F286" s="24">
        <f t="shared" si="12"/>
        <v>1</v>
      </c>
    </row>
    <row r="287" spans="1:6" x14ac:dyDescent="0.25">
      <c r="A287" s="31">
        <f t="shared" si="13"/>
        <v>285</v>
      </c>
      <c r="B287" s="33">
        <f t="shared" si="14"/>
        <v>24</v>
      </c>
      <c r="C287" s="5">
        <f>Model_30y!V287</f>
        <v>7751.9803907785536</v>
      </c>
      <c r="D287" s="5">
        <f>Model_15y!V287</f>
        <v>7751.9803907785536</v>
      </c>
      <c r="E287" s="2">
        <f>Model_Renter!C287</f>
        <v>7751.9803907785536</v>
      </c>
      <c r="F287" s="24">
        <f t="shared" si="12"/>
        <v>1</v>
      </c>
    </row>
    <row r="288" spans="1:6" x14ac:dyDescent="0.25">
      <c r="A288" s="31">
        <f t="shared" si="13"/>
        <v>286</v>
      </c>
      <c r="B288" s="33">
        <f t="shared" si="14"/>
        <v>24</v>
      </c>
      <c r="C288" s="5">
        <f>Model_30y!V288</f>
        <v>7767.919822039772</v>
      </c>
      <c r="D288" s="5">
        <f>Model_15y!V288</f>
        <v>7767.919822039772</v>
      </c>
      <c r="E288" s="2">
        <f>Model_Renter!C288</f>
        <v>7767.919822039772</v>
      </c>
      <c r="F288" s="24">
        <f t="shared" si="12"/>
        <v>1</v>
      </c>
    </row>
    <row r="289" spans="1:6" x14ac:dyDescent="0.25">
      <c r="A289" s="31">
        <f t="shared" si="13"/>
        <v>287</v>
      </c>
      <c r="B289" s="33">
        <f t="shared" si="14"/>
        <v>24</v>
      </c>
      <c r="C289" s="5">
        <f>Model_30y!V289</f>
        <v>7783.9241925169881</v>
      </c>
      <c r="D289" s="5">
        <f>Model_15y!V289</f>
        <v>7783.9241925169881</v>
      </c>
      <c r="E289" s="2">
        <f>Model_Renter!C289</f>
        <v>7783.9241925169881</v>
      </c>
      <c r="F289" s="24">
        <f t="shared" si="12"/>
        <v>1</v>
      </c>
    </row>
    <row r="290" spans="1:6" x14ac:dyDescent="0.25">
      <c r="A290" s="31">
        <f t="shared" si="13"/>
        <v>288</v>
      </c>
      <c r="B290" s="33">
        <f t="shared" si="14"/>
        <v>24</v>
      </c>
      <c r="C290" s="5">
        <f>Model_30y!V290</f>
        <v>7799.9937667806098</v>
      </c>
      <c r="D290" s="5">
        <f>Model_15y!V290</f>
        <v>7799.9937667806098</v>
      </c>
      <c r="E290" s="2">
        <f>Model_Renter!C290</f>
        <v>7799.9937667806098</v>
      </c>
      <c r="F290" s="24">
        <f t="shared" si="12"/>
        <v>1</v>
      </c>
    </row>
    <row r="291" spans="1:6" x14ac:dyDescent="0.25">
      <c r="A291" s="31">
        <f t="shared" si="13"/>
        <v>289</v>
      </c>
      <c r="B291" s="33">
        <f t="shared" si="14"/>
        <v>25</v>
      </c>
      <c r="C291" s="5">
        <f>Model_30y!V291</f>
        <v>7866.0282734969442</v>
      </c>
      <c r="D291" s="5">
        <f>Model_15y!V291</f>
        <v>7866.0282734969442</v>
      </c>
      <c r="E291" s="2">
        <f>Model_Renter!C291</f>
        <v>7866.0282734969442</v>
      </c>
      <c r="F291" s="24">
        <f t="shared" si="12"/>
        <v>1</v>
      </c>
    </row>
    <row r="292" spans="1:6" x14ac:dyDescent="0.25">
      <c r="A292" s="31">
        <f t="shared" si="13"/>
        <v>290</v>
      </c>
      <c r="B292" s="33">
        <f t="shared" si="14"/>
        <v>25</v>
      </c>
      <c r="C292" s="5">
        <f>Model_30y!V292</f>
        <v>7882.2290533605465</v>
      </c>
      <c r="D292" s="5">
        <f>Model_15y!V292</f>
        <v>7882.2290533605465</v>
      </c>
      <c r="E292" s="2">
        <f>Model_Renter!C292</f>
        <v>7882.2290533605465</v>
      </c>
      <c r="F292" s="24">
        <f t="shared" si="12"/>
        <v>1</v>
      </c>
    </row>
    <row r="293" spans="1:6" x14ac:dyDescent="0.25">
      <c r="A293" s="31">
        <f t="shared" si="13"/>
        <v>291</v>
      </c>
      <c r="B293" s="33">
        <f t="shared" si="14"/>
        <v>25</v>
      </c>
      <c r="C293" s="5">
        <f>Model_30y!V293</f>
        <v>7898.4958372067049</v>
      </c>
      <c r="D293" s="5">
        <f>Model_15y!V293</f>
        <v>7898.4958372067049</v>
      </c>
      <c r="E293" s="2">
        <f>Model_Renter!C293</f>
        <v>7898.4958372067049</v>
      </c>
      <c r="F293" s="24">
        <f t="shared" si="12"/>
        <v>1</v>
      </c>
    </row>
    <row r="294" spans="1:6" x14ac:dyDescent="0.25">
      <c r="A294" s="31">
        <f t="shared" si="13"/>
        <v>292</v>
      </c>
      <c r="B294" s="33">
        <f t="shared" si="14"/>
        <v>25</v>
      </c>
      <c r="C294" s="5">
        <f>Model_30y!V294</f>
        <v>7914.8288939438153</v>
      </c>
      <c r="D294" s="5">
        <f>Model_15y!V294</f>
        <v>7914.8288939438153</v>
      </c>
      <c r="E294" s="2">
        <f>Model_Renter!C294</f>
        <v>7914.8288939438153</v>
      </c>
      <c r="F294" s="24">
        <f t="shared" si="12"/>
        <v>1</v>
      </c>
    </row>
    <row r="295" spans="1:6" x14ac:dyDescent="0.25">
      <c r="A295" s="31">
        <f t="shared" si="13"/>
        <v>293</v>
      </c>
      <c r="B295" s="33">
        <f t="shared" si="14"/>
        <v>25</v>
      </c>
      <c r="C295" s="5">
        <f>Model_30y!V295</f>
        <v>7931.2284935758362</v>
      </c>
      <c r="D295" s="5">
        <f>Model_15y!V295</f>
        <v>7931.2284935758362</v>
      </c>
      <c r="E295" s="2">
        <f>Model_Renter!C295</f>
        <v>7931.2284935758362</v>
      </c>
      <c r="F295" s="24">
        <f t="shared" si="12"/>
        <v>1</v>
      </c>
    </row>
    <row r="296" spans="1:6" x14ac:dyDescent="0.25">
      <c r="A296" s="31">
        <f t="shared" si="13"/>
        <v>294</v>
      </c>
      <c r="B296" s="33">
        <f t="shared" si="14"/>
        <v>25</v>
      </c>
      <c r="C296" s="5">
        <f>Model_30y!V296</f>
        <v>7947.6949072067619</v>
      </c>
      <c r="D296" s="5">
        <f>Model_15y!V296</f>
        <v>7947.6949072067619</v>
      </c>
      <c r="E296" s="2">
        <f>Model_Renter!C296</f>
        <v>7947.6949072067619</v>
      </c>
      <c r="F296" s="24">
        <f t="shared" si="12"/>
        <v>1</v>
      </c>
    </row>
    <row r="297" spans="1:6" x14ac:dyDescent="0.25">
      <c r="A297" s="31">
        <f t="shared" si="13"/>
        <v>295</v>
      </c>
      <c r="B297" s="33">
        <f t="shared" si="14"/>
        <v>25</v>
      </c>
      <c r="C297" s="5">
        <f>Model_30y!V297</f>
        <v>7964.2284070450914</v>
      </c>
      <c r="D297" s="5">
        <f>Model_15y!V297</f>
        <v>7964.2284070450914</v>
      </c>
      <c r="E297" s="2">
        <f>Model_Renter!C297</f>
        <v>7964.2284070450914</v>
      </c>
      <c r="F297" s="24">
        <f t="shared" si="12"/>
        <v>1</v>
      </c>
    </row>
    <row r="298" spans="1:6" x14ac:dyDescent="0.25">
      <c r="A298" s="31">
        <f t="shared" si="13"/>
        <v>296</v>
      </c>
      <c r="B298" s="33">
        <f t="shared" si="14"/>
        <v>25</v>
      </c>
      <c r="C298" s="5">
        <f>Model_30y!V298</f>
        <v>7980.8292664083401</v>
      </c>
      <c r="D298" s="5">
        <f>Model_15y!V298</f>
        <v>7980.8292664083401</v>
      </c>
      <c r="E298" s="2">
        <f>Model_Renter!C298</f>
        <v>7980.8292664083401</v>
      </c>
      <c r="F298" s="24">
        <f t="shared" si="12"/>
        <v>1</v>
      </c>
    </row>
    <row r="299" spans="1:6" x14ac:dyDescent="0.25">
      <c r="A299" s="31">
        <f t="shared" si="13"/>
        <v>297</v>
      </c>
      <c r="B299" s="33">
        <f t="shared" si="14"/>
        <v>25</v>
      </c>
      <c r="C299" s="5">
        <f>Model_30y!V299</f>
        <v>7997.4977597275483</v>
      </c>
      <c r="D299" s="5">
        <f>Model_15y!V299</f>
        <v>7997.4977597275483</v>
      </c>
      <c r="E299" s="2">
        <f>Model_Renter!C299</f>
        <v>7997.4977597275483</v>
      </c>
      <c r="F299" s="24">
        <f t="shared" si="12"/>
        <v>1</v>
      </c>
    </row>
    <row r="300" spans="1:6" x14ac:dyDescent="0.25">
      <c r="A300" s="31">
        <f t="shared" si="13"/>
        <v>298</v>
      </c>
      <c r="B300" s="33">
        <f t="shared" si="14"/>
        <v>25</v>
      </c>
      <c r="C300" s="5">
        <f>Model_30y!V300</f>
        <v>8014.2341625518275</v>
      </c>
      <c r="D300" s="5">
        <f>Model_15y!V300</f>
        <v>8014.2341625518275</v>
      </c>
      <c r="E300" s="2">
        <f>Model_Renter!C300</f>
        <v>8014.2341625518275</v>
      </c>
      <c r="F300" s="24">
        <f t="shared" si="12"/>
        <v>1</v>
      </c>
    </row>
    <row r="301" spans="1:6" x14ac:dyDescent="0.25">
      <c r="A301" s="31">
        <f t="shared" si="13"/>
        <v>299</v>
      </c>
      <c r="B301" s="33">
        <f t="shared" si="14"/>
        <v>25</v>
      </c>
      <c r="C301" s="5">
        <f>Model_30y!V301</f>
        <v>8031.0387515529055</v>
      </c>
      <c r="D301" s="5">
        <f>Model_15y!V301</f>
        <v>8031.0387515529055</v>
      </c>
      <c r="E301" s="2">
        <f>Model_Renter!C301</f>
        <v>8031.0387515529055</v>
      </c>
      <c r="F301" s="24">
        <f t="shared" si="12"/>
        <v>1</v>
      </c>
    </row>
    <row r="302" spans="1:6" x14ac:dyDescent="0.25">
      <c r="A302" s="31">
        <f t="shared" si="13"/>
        <v>300</v>
      </c>
      <c r="B302" s="33">
        <f t="shared" si="14"/>
        <v>25</v>
      </c>
      <c r="C302" s="5">
        <f>Model_30y!V302</f>
        <v>8047.9118045297073</v>
      </c>
      <c r="D302" s="5">
        <f>Model_15y!V302</f>
        <v>8047.9118045297073</v>
      </c>
      <c r="E302" s="2">
        <f>Model_Renter!C302</f>
        <v>8047.9118045297073</v>
      </c>
      <c r="F302" s="24">
        <f t="shared" si="12"/>
        <v>1</v>
      </c>
    </row>
    <row r="303" spans="1:6" x14ac:dyDescent="0.25">
      <c r="A303" s="31">
        <f t="shared" si="13"/>
        <v>301</v>
      </c>
      <c r="B303" s="33">
        <f t="shared" si="14"/>
        <v>26</v>
      </c>
      <c r="C303" s="5">
        <f>Model_30y!V303</f>
        <v>8117.2480365818592</v>
      </c>
      <c r="D303" s="5">
        <f>Model_15y!V303</f>
        <v>8117.2480365818592</v>
      </c>
      <c r="E303" s="2">
        <f>Model_Renter!C303</f>
        <v>8117.2480365818592</v>
      </c>
      <c r="F303" s="24">
        <f t="shared" si="12"/>
        <v>1</v>
      </c>
    </row>
    <row r="304" spans="1:6" x14ac:dyDescent="0.25">
      <c r="A304" s="31">
        <f t="shared" si="13"/>
        <v>302</v>
      </c>
      <c r="B304" s="33">
        <f t="shared" si="14"/>
        <v>26</v>
      </c>
      <c r="C304" s="5">
        <f>Model_30y!V304</f>
        <v>8134.2588554386421</v>
      </c>
      <c r="D304" s="5">
        <f>Model_15y!V304</f>
        <v>8134.2588554386421</v>
      </c>
      <c r="E304" s="2">
        <f>Model_Renter!C304</f>
        <v>8134.2588554386421</v>
      </c>
      <c r="F304" s="24">
        <f t="shared" si="12"/>
        <v>1</v>
      </c>
    </row>
    <row r="305" spans="1:6" x14ac:dyDescent="0.25">
      <c r="A305" s="31">
        <f t="shared" si="13"/>
        <v>303</v>
      </c>
      <c r="B305" s="33">
        <f t="shared" si="14"/>
        <v>26</v>
      </c>
      <c r="C305" s="5">
        <f>Model_30y!V305</f>
        <v>8151.338978477108</v>
      </c>
      <c r="D305" s="5">
        <f>Model_15y!V305</f>
        <v>8151.338978477108</v>
      </c>
      <c r="E305" s="2">
        <f>Model_Renter!C305</f>
        <v>8151.338978477108</v>
      </c>
      <c r="F305" s="24">
        <f t="shared" si="12"/>
        <v>1</v>
      </c>
    </row>
    <row r="306" spans="1:6" x14ac:dyDescent="0.25">
      <c r="A306" s="31">
        <f t="shared" si="13"/>
        <v>304</v>
      </c>
      <c r="B306" s="33">
        <f t="shared" si="14"/>
        <v>26</v>
      </c>
      <c r="C306" s="5">
        <f>Model_30y!V306</f>
        <v>8168.488688051073</v>
      </c>
      <c r="D306" s="5">
        <f>Model_15y!V306</f>
        <v>8168.488688051073</v>
      </c>
      <c r="E306" s="2">
        <f>Model_Renter!C306</f>
        <v>8168.488688051073</v>
      </c>
      <c r="F306" s="24">
        <f t="shared" si="12"/>
        <v>1</v>
      </c>
    </row>
    <row r="307" spans="1:6" x14ac:dyDescent="0.25">
      <c r="A307" s="31">
        <f t="shared" si="13"/>
        <v>305</v>
      </c>
      <c r="B307" s="33">
        <f t="shared" si="14"/>
        <v>26</v>
      </c>
      <c r="C307" s="5">
        <f>Model_30y!V307</f>
        <v>8185.7082676646969</v>
      </c>
      <c r="D307" s="5">
        <f>Model_15y!V307</f>
        <v>8185.7082676646969</v>
      </c>
      <c r="E307" s="2">
        <f>Model_Renter!C307</f>
        <v>8185.7082676646969</v>
      </c>
      <c r="F307" s="24">
        <f t="shared" si="12"/>
        <v>1</v>
      </c>
    </row>
    <row r="308" spans="1:6" x14ac:dyDescent="0.25">
      <c r="A308" s="31">
        <f t="shared" si="13"/>
        <v>306</v>
      </c>
      <c r="B308" s="33">
        <f t="shared" si="14"/>
        <v>26</v>
      </c>
      <c r="C308" s="5">
        <f>Model_30y!V308</f>
        <v>8202.9980019771665</v>
      </c>
      <c r="D308" s="5">
        <f>Model_15y!V308</f>
        <v>8202.9980019771665</v>
      </c>
      <c r="E308" s="2">
        <f>Model_Renter!C308</f>
        <v>8202.9980019771665</v>
      </c>
      <c r="F308" s="24">
        <f t="shared" si="12"/>
        <v>1</v>
      </c>
    </row>
    <row r="309" spans="1:6" x14ac:dyDescent="0.25">
      <c r="A309" s="31">
        <f t="shared" si="13"/>
        <v>307</v>
      </c>
      <c r="B309" s="33">
        <f t="shared" si="14"/>
        <v>26</v>
      </c>
      <c r="C309" s="5">
        <f>Model_30y!V309</f>
        <v>8220.3581768074146</v>
      </c>
      <c r="D309" s="5">
        <f>Model_15y!V309</f>
        <v>8220.3581768074146</v>
      </c>
      <c r="E309" s="2">
        <f>Model_Renter!C309</f>
        <v>8220.3581768074146</v>
      </c>
      <c r="F309" s="24">
        <f t="shared" si="12"/>
        <v>1</v>
      </c>
    </row>
    <row r="310" spans="1:6" x14ac:dyDescent="0.25">
      <c r="A310" s="31">
        <f t="shared" si="13"/>
        <v>308</v>
      </c>
      <c r="B310" s="33">
        <f t="shared" si="14"/>
        <v>26</v>
      </c>
      <c r="C310" s="5">
        <f>Model_30y!V310</f>
        <v>8237.7890791388254</v>
      </c>
      <c r="D310" s="5">
        <f>Model_15y!V310</f>
        <v>8237.7890791388254</v>
      </c>
      <c r="E310" s="2">
        <f>Model_Renter!C310</f>
        <v>8237.7890791388254</v>
      </c>
      <c r="F310" s="24">
        <f t="shared" si="12"/>
        <v>1</v>
      </c>
    </row>
    <row r="311" spans="1:6" x14ac:dyDescent="0.25">
      <c r="A311" s="31">
        <f t="shared" si="13"/>
        <v>309</v>
      </c>
      <c r="B311" s="33">
        <f t="shared" si="14"/>
        <v>26</v>
      </c>
      <c r="C311" s="5">
        <f>Model_30y!V311</f>
        <v>8255.2909971239951</v>
      </c>
      <c r="D311" s="5">
        <f>Model_15y!V311</f>
        <v>8255.2909971239951</v>
      </c>
      <c r="E311" s="2">
        <f>Model_Renter!C311</f>
        <v>8255.2909971239951</v>
      </c>
      <c r="F311" s="24">
        <f t="shared" si="12"/>
        <v>1</v>
      </c>
    </row>
    <row r="312" spans="1:6" x14ac:dyDescent="0.25">
      <c r="A312" s="31">
        <f t="shared" si="13"/>
        <v>310</v>
      </c>
      <c r="B312" s="33">
        <f t="shared" si="14"/>
        <v>26</v>
      </c>
      <c r="C312" s="5">
        <f>Model_30y!V312</f>
        <v>8272.8642200894883</v>
      </c>
      <c r="D312" s="5">
        <f>Model_15y!V312</f>
        <v>8272.8642200894883</v>
      </c>
      <c r="E312" s="2">
        <f>Model_Renter!C312</f>
        <v>8272.8642200894883</v>
      </c>
      <c r="F312" s="24">
        <f t="shared" si="12"/>
        <v>1</v>
      </c>
    </row>
    <row r="313" spans="1:6" x14ac:dyDescent="0.25">
      <c r="A313" s="31">
        <f t="shared" si="13"/>
        <v>311</v>
      </c>
      <c r="B313" s="33">
        <f t="shared" si="14"/>
        <v>26</v>
      </c>
      <c r="C313" s="5">
        <f>Model_30y!V313</f>
        <v>8290.5090385406183</v>
      </c>
      <c r="D313" s="5">
        <f>Model_15y!V313</f>
        <v>8290.5090385406183</v>
      </c>
      <c r="E313" s="2">
        <f>Model_Renter!C313</f>
        <v>8290.5090385406183</v>
      </c>
      <c r="F313" s="24">
        <f t="shared" si="12"/>
        <v>1</v>
      </c>
    </row>
    <row r="314" spans="1:6" x14ac:dyDescent="0.25">
      <c r="A314" s="31">
        <f t="shared" si="13"/>
        <v>312</v>
      </c>
      <c r="B314" s="33">
        <f t="shared" si="14"/>
        <v>26</v>
      </c>
      <c r="C314" s="5">
        <f>Model_30y!V314</f>
        <v>8308.2257441662605</v>
      </c>
      <c r="D314" s="5">
        <f>Model_15y!V314</f>
        <v>8308.2257441662605</v>
      </c>
      <c r="E314" s="2">
        <f>Model_Renter!C314</f>
        <v>8308.2257441662605</v>
      </c>
      <c r="F314" s="24">
        <f t="shared" si="12"/>
        <v>1</v>
      </c>
    </row>
    <row r="315" spans="1:6" x14ac:dyDescent="0.25">
      <c r="A315" s="31">
        <f t="shared" si="13"/>
        <v>313</v>
      </c>
      <c r="B315" s="33">
        <f t="shared" si="14"/>
        <v>27</v>
      </c>
      <c r="C315" s="5">
        <f>Model_30y!V315</f>
        <v>8381.0287878210202</v>
      </c>
      <c r="D315" s="5">
        <f>Model_15y!V315</f>
        <v>8381.0287878210202</v>
      </c>
      <c r="E315" s="2">
        <f>Model_Renter!C315</f>
        <v>8381.0287878210202</v>
      </c>
      <c r="F315" s="24">
        <f t="shared" si="12"/>
        <v>1</v>
      </c>
    </row>
    <row r="316" spans="1:6" x14ac:dyDescent="0.25">
      <c r="A316" s="31">
        <f t="shared" si="13"/>
        <v>314</v>
      </c>
      <c r="B316" s="33">
        <f t="shared" si="14"/>
        <v>27</v>
      </c>
      <c r="C316" s="5">
        <f>Model_30y!V316</f>
        <v>8398.8901476206411</v>
      </c>
      <c r="D316" s="5">
        <f>Model_15y!V316</f>
        <v>8398.8901476206411</v>
      </c>
      <c r="E316" s="2">
        <f>Model_Renter!C316</f>
        <v>8398.8901476206411</v>
      </c>
      <c r="F316" s="24">
        <f t="shared" si="12"/>
        <v>1</v>
      </c>
    </row>
    <row r="317" spans="1:6" x14ac:dyDescent="0.25">
      <c r="A317" s="31">
        <f t="shared" si="13"/>
        <v>315</v>
      </c>
      <c r="B317" s="33">
        <f t="shared" si="14"/>
        <v>27</v>
      </c>
      <c r="C317" s="5">
        <f>Model_30y!V317</f>
        <v>8416.8242768110322</v>
      </c>
      <c r="D317" s="5">
        <f>Model_15y!V317</f>
        <v>8416.8242768110322</v>
      </c>
      <c r="E317" s="2">
        <f>Model_Renter!C317</f>
        <v>8416.8242768110322</v>
      </c>
      <c r="F317" s="24">
        <f t="shared" si="12"/>
        <v>1</v>
      </c>
    </row>
    <row r="318" spans="1:6" x14ac:dyDescent="0.25">
      <c r="A318" s="31">
        <f t="shared" si="13"/>
        <v>316</v>
      </c>
      <c r="B318" s="33">
        <f t="shared" si="14"/>
        <v>27</v>
      </c>
      <c r="C318" s="5">
        <f>Model_30y!V318</f>
        <v>8434.8314718636939</v>
      </c>
      <c r="D318" s="5">
        <f>Model_15y!V318</f>
        <v>8434.8314718636939</v>
      </c>
      <c r="E318" s="2">
        <f>Model_Renter!C318</f>
        <v>8434.8314718636939</v>
      </c>
      <c r="F318" s="24">
        <f t="shared" si="12"/>
        <v>1</v>
      </c>
    </row>
    <row r="319" spans="1:6" x14ac:dyDescent="0.25">
      <c r="A319" s="31">
        <f t="shared" si="13"/>
        <v>317</v>
      </c>
      <c r="B319" s="33">
        <f t="shared" si="14"/>
        <v>27</v>
      </c>
      <c r="C319" s="5">
        <f>Model_30y!V319</f>
        <v>8452.9120304579992</v>
      </c>
      <c r="D319" s="5">
        <f>Model_15y!V319</f>
        <v>8452.9120304579992</v>
      </c>
      <c r="E319" s="2">
        <f>Model_Renter!C319</f>
        <v>8452.9120304579992</v>
      </c>
      <c r="F319" s="24">
        <f t="shared" si="12"/>
        <v>1</v>
      </c>
    </row>
    <row r="320" spans="1:6" x14ac:dyDescent="0.25">
      <c r="A320" s="31">
        <f t="shared" si="13"/>
        <v>318</v>
      </c>
      <c r="B320" s="33">
        <f t="shared" si="14"/>
        <v>27</v>
      </c>
      <c r="C320" s="5">
        <f>Model_30y!V320</f>
        <v>8471.0662514860942</v>
      </c>
      <c r="D320" s="5">
        <f>Model_15y!V320</f>
        <v>8471.0662514860942</v>
      </c>
      <c r="E320" s="2">
        <f>Model_Renter!C320</f>
        <v>8471.0662514860942</v>
      </c>
      <c r="F320" s="24">
        <f t="shared" si="12"/>
        <v>1</v>
      </c>
    </row>
    <row r="321" spans="1:6" x14ac:dyDescent="0.25">
      <c r="A321" s="31">
        <f t="shared" si="13"/>
        <v>319</v>
      </c>
      <c r="B321" s="33">
        <f t="shared" si="14"/>
        <v>27</v>
      </c>
      <c r="C321" s="5">
        <f>Model_30y!V321</f>
        <v>8489.2944350578528</v>
      </c>
      <c r="D321" s="5">
        <f>Model_15y!V321</f>
        <v>8489.2944350578528</v>
      </c>
      <c r="E321" s="2">
        <f>Model_Renter!C321</f>
        <v>8489.2944350578528</v>
      </c>
      <c r="F321" s="24">
        <f t="shared" si="12"/>
        <v>1</v>
      </c>
    </row>
    <row r="322" spans="1:6" x14ac:dyDescent="0.25">
      <c r="A322" s="31">
        <f t="shared" si="13"/>
        <v>320</v>
      </c>
      <c r="B322" s="33">
        <f t="shared" si="14"/>
        <v>27</v>
      </c>
      <c r="C322" s="5">
        <f>Model_30y!V322</f>
        <v>8507.5968825058335</v>
      </c>
      <c r="D322" s="5">
        <f>Model_15y!V322</f>
        <v>8507.5968825058335</v>
      </c>
      <c r="E322" s="2">
        <f>Model_Renter!C322</f>
        <v>8507.5968825058335</v>
      </c>
      <c r="F322" s="24">
        <f t="shared" si="12"/>
        <v>1</v>
      </c>
    </row>
    <row r="323" spans="1:6" x14ac:dyDescent="0.25">
      <c r="A323" s="31">
        <f t="shared" si="13"/>
        <v>321</v>
      </c>
      <c r="B323" s="33">
        <f t="shared" si="14"/>
        <v>27</v>
      </c>
      <c r="C323" s="5">
        <f>Model_30y!V323</f>
        <v>8525.9738963902619</v>
      </c>
      <c r="D323" s="5">
        <f>Model_15y!V323</f>
        <v>8525.9738963902619</v>
      </c>
      <c r="E323" s="2">
        <f>Model_Renter!C323</f>
        <v>8525.9738963902619</v>
      </c>
      <c r="F323" s="24">
        <f t="shared" ref="F323:F386" si="15">IF(AND(C323-D323&lt;1, C323-E323&lt;1), 1, 0)</f>
        <v>1</v>
      </c>
    </row>
    <row r="324" spans="1:6" x14ac:dyDescent="0.25">
      <c r="A324" s="31">
        <f t="shared" ref="A324:A387" si="16">A323+1</f>
        <v>322</v>
      </c>
      <c r="B324" s="33">
        <f t="shared" ref="B324:B387" si="17">ROUNDUP(A324/12, 0)</f>
        <v>27</v>
      </c>
      <c r="C324" s="5">
        <f>Model_30y!V324</f>
        <v>8544.4257805040288</v>
      </c>
      <c r="D324" s="5">
        <f>Model_15y!V324</f>
        <v>8544.4257805040288</v>
      </c>
      <c r="E324" s="2">
        <f>Model_Renter!C324</f>
        <v>8544.4257805040288</v>
      </c>
      <c r="F324" s="24">
        <f t="shared" si="15"/>
        <v>1</v>
      </c>
    </row>
    <row r="325" spans="1:6" x14ac:dyDescent="0.25">
      <c r="A325" s="31">
        <f t="shared" si="16"/>
        <v>323</v>
      </c>
      <c r="B325" s="33">
        <f t="shared" si="17"/>
        <v>27</v>
      </c>
      <c r="C325" s="5">
        <f>Model_30y!V325</f>
        <v>8562.9528398777184</v>
      </c>
      <c r="D325" s="5">
        <f>Model_15y!V325</f>
        <v>8562.9528398777184</v>
      </c>
      <c r="E325" s="2">
        <f>Model_Renter!C325</f>
        <v>8562.9528398777184</v>
      </c>
      <c r="F325" s="24">
        <f t="shared" si="15"/>
        <v>1</v>
      </c>
    </row>
    <row r="326" spans="1:6" x14ac:dyDescent="0.25">
      <c r="A326" s="31">
        <f t="shared" si="16"/>
        <v>324</v>
      </c>
      <c r="B326" s="33">
        <f t="shared" si="17"/>
        <v>27</v>
      </c>
      <c r="C326" s="5">
        <f>Model_30y!V326</f>
        <v>8581.5553807846409</v>
      </c>
      <c r="D326" s="5">
        <f>Model_15y!V326</f>
        <v>8581.5553807846409</v>
      </c>
      <c r="E326" s="2">
        <f>Model_Renter!C326</f>
        <v>8581.5553807846409</v>
      </c>
      <c r="F326" s="24">
        <f t="shared" si="15"/>
        <v>1</v>
      </c>
    </row>
    <row r="327" spans="1:6" x14ac:dyDescent="0.25">
      <c r="A327" s="31">
        <f t="shared" si="16"/>
        <v>325</v>
      </c>
      <c r="B327" s="33">
        <f t="shared" si="17"/>
        <v>28</v>
      </c>
      <c r="C327" s="5">
        <f>Model_30y!V327</f>
        <v>8657.9985766221398</v>
      </c>
      <c r="D327" s="5">
        <f>Model_15y!V327</f>
        <v>8657.9985766221398</v>
      </c>
      <c r="E327" s="2">
        <f>Model_Renter!C327</f>
        <v>8657.9985766221398</v>
      </c>
      <c r="F327" s="24">
        <f t="shared" si="15"/>
        <v>1</v>
      </c>
    </row>
    <row r="328" spans="1:6" x14ac:dyDescent="0.25">
      <c r="A328" s="31">
        <f t="shared" si="16"/>
        <v>326</v>
      </c>
      <c r="B328" s="33">
        <f t="shared" si="17"/>
        <v>28</v>
      </c>
      <c r="C328" s="5">
        <f>Model_30y!V328</f>
        <v>8676.7530044117429</v>
      </c>
      <c r="D328" s="5">
        <f>Model_15y!V328</f>
        <v>8676.7530044117429</v>
      </c>
      <c r="E328" s="2">
        <f>Model_Renter!C328</f>
        <v>8676.7530044117429</v>
      </c>
      <c r="F328" s="24">
        <f t="shared" si="15"/>
        <v>1</v>
      </c>
    </row>
    <row r="329" spans="1:6" x14ac:dyDescent="0.25">
      <c r="A329" s="31">
        <f t="shared" si="16"/>
        <v>327</v>
      </c>
      <c r="B329" s="33">
        <f t="shared" si="17"/>
        <v>28</v>
      </c>
      <c r="C329" s="5">
        <f>Model_30y!V329</f>
        <v>8695.5838400616503</v>
      </c>
      <c r="D329" s="5">
        <f>Model_15y!V329</f>
        <v>8695.5838400616503</v>
      </c>
      <c r="E329" s="2">
        <f>Model_Renter!C329</f>
        <v>8695.5838400616503</v>
      </c>
      <c r="F329" s="24">
        <f t="shared" si="15"/>
        <v>1</v>
      </c>
    </row>
    <row r="330" spans="1:6" x14ac:dyDescent="0.25">
      <c r="A330" s="31">
        <f t="shared" si="16"/>
        <v>328</v>
      </c>
      <c r="B330" s="33">
        <f t="shared" si="17"/>
        <v>28</v>
      </c>
      <c r="C330" s="5">
        <f>Model_30y!V330</f>
        <v>8714.4913948669473</v>
      </c>
      <c r="D330" s="5">
        <f>Model_15y!V330</f>
        <v>8714.4913948669473</v>
      </c>
      <c r="E330" s="2">
        <f>Model_Renter!C330</f>
        <v>8714.4913948669473</v>
      </c>
      <c r="F330" s="24">
        <f t="shared" si="15"/>
        <v>1</v>
      </c>
    </row>
    <row r="331" spans="1:6" x14ac:dyDescent="0.25">
      <c r="A331" s="31">
        <f t="shared" si="16"/>
        <v>329</v>
      </c>
      <c r="B331" s="33">
        <f t="shared" si="17"/>
        <v>28</v>
      </c>
      <c r="C331" s="5">
        <f>Model_30y!V331</f>
        <v>8733.4759813909677</v>
      </c>
      <c r="D331" s="5">
        <f>Model_15y!V331</f>
        <v>8733.4759813909677</v>
      </c>
      <c r="E331" s="2">
        <f>Model_Renter!C331</f>
        <v>8733.4759813909677</v>
      </c>
      <c r="F331" s="24">
        <f t="shared" si="15"/>
        <v>1</v>
      </c>
    </row>
    <row r="332" spans="1:6" x14ac:dyDescent="0.25">
      <c r="A332" s="31">
        <f t="shared" si="16"/>
        <v>330</v>
      </c>
      <c r="B332" s="33">
        <f t="shared" si="17"/>
        <v>28</v>
      </c>
      <c r="C332" s="5">
        <f>Model_30y!V332</f>
        <v>8752.5379134704672</v>
      </c>
      <c r="D332" s="5">
        <f>Model_15y!V332</f>
        <v>8752.5379134704672</v>
      </c>
      <c r="E332" s="2">
        <f>Model_Renter!C332</f>
        <v>8752.5379134704672</v>
      </c>
      <c r="F332" s="24">
        <f t="shared" si="15"/>
        <v>1</v>
      </c>
    </row>
    <row r="333" spans="1:6" x14ac:dyDescent="0.25">
      <c r="A333" s="31">
        <f t="shared" si="16"/>
        <v>331</v>
      </c>
      <c r="B333" s="33">
        <f t="shared" si="17"/>
        <v>28</v>
      </c>
      <c r="C333" s="5">
        <f>Model_30y!V333</f>
        <v>8771.6775062208126</v>
      </c>
      <c r="D333" s="5">
        <f>Model_15y!V333</f>
        <v>8771.6775062208126</v>
      </c>
      <c r="E333" s="2">
        <f>Model_Renter!C333</f>
        <v>8771.6775062208126</v>
      </c>
      <c r="F333" s="24">
        <f t="shared" si="15"/>
        <v>1</v>
      </c>
    </row>
    <row r="334" spans="1:6" x14ac:dyDescent="0.25">
      <c r="A334" s="31">
        <f t="shared" si="16"/>
        <v>332</v>
      </c>
      <c r="B334" s="33">
        <f t="shared" si="17"/>
        <v>28</v>
      </c>
      <c r="C334" s="5">
        <f>Model_30y!V334</f>
        <v>8790.8950760411935</v>
      </c>
      <c r="D334" s="5">
        <f>Model_15y!V334</f>
        <v>8790.8950760411935</v>
      </c>
      <c r="E334" s="2">
        <f>Model_Renter!C334</f>
        <v>8790.8950760411935</v>
      </c>
      <c r="F334" s="24">
        <f t="shared" si="15"/>
        <v>1</v>
      </c>
    </row>
    <row r="335" spans="1:6" x14ac:dyDescent="0.25">
      <c r="A335" s="31">
        <f t="shared" si="16"/>
        <v>333</v>
      </c>
      <c r="B335" s="33">
        <f t="shared" si="17"/>
        <v>28</v>
      </c>
      <c r="C335" s="5">
        <f>Model_30y!V335</f>
        <v>8810.1909406198429</v>
      </c>
      <c r="D335" s="5">
        <f>Model_15y!V335</f>
        <v>8810.1909406198429</v>
      </c>
      <c r="E335" s="2">
        <f>Model_Renter!C335</f>
        <v>8810.1909406198429</v>
      </c>
      <c r="F335" s="24">
        <f t="shared" si="15"/>
        <v>1</v>
      </c>
    </row>
    <row r="336" spans="1:6" x14ac:dyDescent="0.25">
      <c r="A336" s="31">
        <f t="shared" si="16"/>
        <v>334</v>
      </c>
      <c r="B336" s="33">
        <f t="shared" si="17"/>
        <v>28</v>
      </c>
      <c r="C336" s="5">
        <f>Model_30y!V336</f>
        <v>8829.565418939299</v>
      </c>
      <c r="D336" s="5">
        <f>Model_15y!V336</f>
        <v>8829.565418939299</v>
      </c>
      <c r="E336" s="2">
        <f>Model_Renter!C336</f>
        <v>8829.565418939299</v>
      </c>
      <c r="F336" s="24">
        <f t="shared" si="15"/>
        <v>1</v>
      </c>
    </row>
    <row r="337" spans="1:6" x14ac:dyDescent="0.25">
      <c r="A337" s="31">
        <f t="shared" si="16"/>
        <v>335</v>
      </c>
      <c r="B337" s="33">
        <f t="shared" si="17"/>
        <v>28</v>
      </c>
      <c r="C337" s="5">
        <f>Model_30y!V337</f>
        <v>8849.0188312816717</v>
      </c>
      <c r="D337" s="5">
        <f>Model_15y!V337</f>
        <v>8849.0188312816717</v>
      </c>
      <c r="E337" s="2">
        <f>Model_Renter!C337</f>
        <v>8849.0188312816717</v>
      </c>
      <c r="F337" s="24">
        <f t="shared" si="15"/>
        <v>1</v>
      </c>
    </row>
    <row r="338" spans="1:6" x14ac:dyDescent="0.25">
      <c r="A338" s="31">
        <f t="shared" si="16"/>
        <v>336</v>
      </c>
      <c r="B338" s="33">
        <f t="shared" si="17"/>
        <v>28</v>
      </c>
      <c r="C338" s="5">
        <f>Model_30y!V338</f>
        <v>8868.5514992339413</v>
      </c>
      <c r="D338" s="5">
        <f>Model_15y!V338</f>
        <v>8868.5514992339413</v>
      </c>
      <c r="E338" s="2">
        <f>Model_Renter!C338</f>
        <v>8868.5514992339413</v>
      </c>
      <c r="F338" s="24">
        <f t="shared" si="15"/>
        <v>1</v>
      </c>
    </row>
    <row r="339" spans="1:6" x14ac:dyDescent="0.25">
      <c r="A339" s="31">
        <f t="shared" si="16"/>
        <v>337</v>
      </c>
      <c r="B339" s="33">
        <f t="shared" si="17"/>
        <v>29</v>
      </c>
      <c r="C339" s="5">
        <f>Model_30y!V339</f>
        <v>8948.816854863313</v>
      </c>
      <c r="D339" s="5">
        <f>Model_15y!V339</f>
        <v>8948.816854863313</v>
      </c>
      <c r="E339" s="2">
        <f>Model_Renter!C339</f>
        <v>8948.816854863313</v>
      </c>
      <c r="F339" s="24">
        <f t="shared" si="15"/>
        <v>1</v>
      </c>
    </row>
    <row r="340" spans="1:6" x14ac:dyDescent="0.25">
      <c r="A340" s="31">
        <f t="shared" si="16"/>
        <v>338</v>
      </c>
      <c r="B340" s="33">
        <f t="shared" si="17"/>
        <v>29</v>
      </c>
      <c r="C340" s="5">
        <f>Model_30y!V340</f>
        <v>8968.5090040423966</v>
      </c>
      <c r="D340" s="5">
        <f>Model_15y!V340</f>
        <v>8968.5090040423966</v>
      </c>
      <c r="E340" s="2">
        <f>Model_Renter!C340</f>
        <v>8968.5090040423966</v>
      </c>
      <c r="F340" s="24">
        <f t="shared" si="15"/>
        <v>1</v>
      </c>
    </row>
    <row r="341" spans="1:6" x14ac:dyDescent="0.25">
      <c r="A341" s="31">
        <f t="shared" si="16"/>
        <v>339</v>
      </c>
      <c r="B341" s="33">
        <f t="shared" si="17"/>
        <v>29</v>
      </c>
      <c r="C341" s="5">
        <f>Model_30y!V341</f>
        <v>8988.2813814748006</v>
      </c>
      <c r="D341" s="5">
        <f>Model_15y!V341</f>
        <v>8988.2813814748006</v>
      </c>
      <c r="E341" s="2">
        <f>Model_Renter!C341</f>
        <v>8988.2813814748006</v>
      </c>
      <c r="F341" s="24">
        <f t="shared" si="15"/>
        <v>1</v>
      </c>
    </row>
    <row r="342" spans="1:6" x14ac:dyDescent="0.25">
      <c r="A342" s="31">
        <f t="shared" si="16"/>
        <v>340</v>
      </c>
      <c r="B342" s="33">
        <f t="shared" si="17"/>
        <v>29</v>
      </c>
      <c r="C342" s="5">
        <f>Model_30y!V342</f>
        <v>9008.1343140203626</v>
      </c>
      <c r="D342" s="5">
        <f>Model_15y!V342</f>
        <v>9008.1343140203626</v>
      </c>
      <c r="E342" s="2">
        <f>Model_Renter!C342</f>
        <v>9008.1343140203626</v>
      </c>
      <c r="F342" s="24">
        <f t="shared" si="15"/>
        <v>1</v>
      </c>
    </row>
    <row r="343" spans="1:6" x14ac:dyDescent="0.25">
      <c r="A343" s="31">
        <f t="shared" si="16"/>
        <v>341</v>
      </c>
      <c r="B343" s="33">
        <f t="shared" si="17"/>
        <v>29</v>
      </c>
      <c r="C343" s="5">
        <f>Model_30y!V343</f>
        <v>9028.0681298705822</v>
      </c>
      <c r="D343" s="5">
        <f>Model_15y!V343</f>
        <v>9028.0681298705822</v>
      </c>
      <c r="E343" s="2">
        <f>Model_Renter!C343</f>
        <v>9028.0681298705822</v>
      </c>
      <c r="F343" s="24">
        <f t="shared" si="15"/>
        <v>1</v>
      </c>
    </row>
    <row r="344" spans="1:6" x14ac:dyDescent="0.25">
      <c r="A344" s="31">
        <f t="shared" si="16"/>
        <v>342</v>
      </c>
      <c r="B344" s="33">
        <f t="shared" si="17"/>
        <v>29</v>
      </c>
      <c r="C344" s="5">
        <f>Model_30y!V344</f>
        <v>9048.0831585540564</v>
      </c>
      <c r="D344" s="5">
        <f>Model_15y!V344</f>
        <v>9048.0831585540564</v>
      </c>
      <c r="E344" s="2">
        <f>Model_Renter!C344</f>
        <v>9048.0831585540564</v>
      </c>
      <c r="F344" s="24">
        <f t="shared" si="15"/>
        <v>1</v>
      </c>
    </row>
    <row r="345" spans="1:6" x14ac:dyDescent="0.25">
      <c r="A345" s="31">
        <f t="shared" si="16"/>
        <v>343</v>
      </c>
      <c r="B345" s="33">
        <f t="shared" si="17"/>
        <v>29</v>
      </c>
      <c r="C345" s="5">
        <f>Model_30y!V345</f>
        <v>9068.1797309419217</v>
      </c>
      <c r="D345" s="5">
        <f>Model_15y!V345</f>
        <v>9068.1797309419217</v>
      </c>
      <c r="E345" s="2">
        <f>Model_Renter!C345</f>
        <v>9068.1797309419217</v>
      </c>
      <c r="F345" s="24">
        <f t="shared" si="15"/>
        <v>1</v>
      </c>
    </row>
    <row r="346" spans="1:6" x14ac:dyDescent="0.25">
      <c r="A346" s="31">
        <f t="shared" si="16"/>
        <v>344</v>
      </c>
      <c r="B346" s="33">
        <f t="shared" si="17"/>
        <v>29</v>
      </c>
      <c r="C346" s="5">
        <f>Model_30y!V346</f>
        <v>9088.3581792533205</v>
      </c>
      <c r="D346" s="5">
        <f>Model_15y!V346</f>
        <v>9088.3581792533205</v>
      </c>
      <c r="E346" s="2">
        <f>Model_Renter!C346</f>
        <v>9088.3581792533205</v>
      </c>
      <c r="F346" s="24">
        <f t="shared" si="15"/>
        <v>1</v>
      </c>
    </row>
    <row r="347" spans="1:6" x14ac:dyDescent="0.25">
      <c r="A347" s="31">
        <f t="shared" si="16"/>
        <v>345</v>
      </c>
      <c r="B347" s="33">
        <f t="shared" si="17"/>
        <v>29</v>
      </c>
      <c r="C347" s="5">
        <f>Model_30y!V347</f>
        <v>9108.6188370609034</v>
      </c>
      <c r="D347" s="5">
        <f>Model_15y!V347</f>
        <v>9108.6188370609034</v>
      </c>
      <c r="E347" s="2">
        <f>Model_Renter!C347</f>
        <v>9108.6188370609034</v>
      </c>
      <c r="F347" s="24">
        <f t="shared" si="15"/>
        <v>1</v>
      </c>
    </row>
    <row r="348" spans="1:6" x14ac:dyDescent="0.25">
      <c r="A348" s="31">
        <f t="shared" si="16"/>
        <v>346</v>
      </c>
      <c r="B348" s="33">
        <f t="shared" si="17"/>
        <v>29</v>
      </c>
      <c r="C348" s="5">
        <f>Model_30y!V348</f>
        <v>9128.9620392963316</v>
      </c>
      <c r="D348" s="5">
        <f>Model_15y!V348</f>
        <v>9128.9620392963316</v>
      </c>
      <c r="E348" s="2">
        <f>Model_Renter!C348</f>
        <v>9128.9620392963316</v>
      </c>
      <c r="F348" s="24">
        <f t="shared" si="15"/>
        <v>1</v>
      </c>
    </row>
    <row r="349" spans="1:6" x14ac:dyDescent="0.25">
      <c r="A349" s="31">
        <f t="shared" si="16"/>
        <v>347</v>
      </c>
      <c r="B349" s="33">
        <f t="shared" si="17"/>
        <v>29</v>
      </c>
      <c r="C349" s="5">
        <f>Model_30y!V349</f>
        <v>9149.3881222558211</v>
      </c>
      <c r="D349" s="5">
        <f>Model_15y!V349</f>
        <v>9149.3881222558211</v>
      </c>
      <c r="E349" s="2">
        <f>Model_Renter!C349</f>
        <v>9149.3881222558211</v>
      </c>
      <c r="F349" s="24">
        <f t="shared" si="15"/>
        <v>1</v>
      </c>
    </row>
    <row r="350" spans="1:6" x14ac:dyDescent="0.25">
      <c r="A350" s="31">
        <f t="shared" si="16"/>
        <v>348</v>
      </c>
      <c r="B350" s="33">
        <f t="shared" si="17"/>
        <v>29</v>
      </c>
      <c r="C350" s="5">
        <f>Model_30y!V350</f>
        <v>9169.8974236057056</v>
      </c>
      <c r="D350" s="5">
        <f>Model_15y!V350</f>
        <v>9169.8974236057056</v>
      </c>
      <c r="E350" s="2">
        <f>Model_Renter!C350</f>
        <v>9169.8974236057056</v>
      </c>
      <c r="F350" s="24">
        <f t="shared" si="15"/>
        <v>1</v>
      </c>
    </row>
    <row r="351" spans="1:6" x14ac:dyDescent="0.25">
      <c r="A351" s="31">
        <f t="shared" si="16"/>
        <v>349</v>
      </c>
      <c r="B351" s="33">
        <f t="shared" si="17"/>
        <v>30</v>
      </c>
      <c r="C351" s="5">
        <f>Model_30y!V351</f>
        <v>9254.1760470165482</v>
      </c>
      <c r="D351" s="5">
        <f>Model_15y!V351</f>
        <v>9254.1760470165482</v>
      </c>
      <c r="E351" s="2">
        <f>Model_Renter!C351</f>
        <v>9254.1760470165482</v>
      </c>
      <c r="F351" s="24">
        <f t="shared" si="15"/>
        <v>1</v>
      </c>
    </row>
    <row r="352" spans="1:6" x14ac:dyDescent="0.25">
      <c r="A352" s="31">
        <f t="shared" si="16"/>
        <v>350</v>
      </c>
      <c r="B352" s="33">
        <f t="shared" si="17"/>
        <v>30</v>
      </c>
      <c r="C352" s="5">
        <f>Model_30y!V352</f>
        <v>9274.8528036545849</v>
      </c>
      <c r="D352" s="5">
        <f>Model_15y!V352</f>
        <v>9274.8528036545849</v>
      </c>
      <c r="E352" s="2">
        <f>Model_Renter!C352</f>
        <v>9274.8528036545849</v>
      </c>
      <c r="F352" s="24">
        <f t="shared" si="15"/>
        <v>1</v>
      </c>
    </row>
    <row r="353" spans="1:6" x14ac:dyDescent="0.25">
      <c r="A353" s="31">
        <f t="shared" si="16"/>
        <v>351</v>
      </c>
      <c r="B353" s="33">
        <f t="shared" si="17"/>
        <v>30</v>
      </c>
      <c r="C353" s="5">
        <f>Model_30y!V353</f>
        <v>9295.6137999586099</v>
      </c>
      <c r="D353" s="5">
        <f>Model_15y!V353</f>
        <v>9295.6137999586099</v>
      </c>
      <c r="E353" s="2">
        <f>Model_Renter!C353</f>
        <v>9295.6137999586099</v>
      </c>
      <c r="F353" s="24">
        <f t="shared" si="15"/>
        <v>1</v>
      </c>
    </row>
    <row r="354" spans="1:6" x14ac:dyDescent="0.25">
      <c r="A354" s="31">
        <f t="shared" si="16"/>
        <v>352</v>
      </c>
      <c r="B354" s="33">
        <f t="shared" si="17"/>
        <v>30</v>
      </c>
      <c r="C354" s="5">
        <f>Model_30y!V354</f>
        <v>9316.4593791314492</v>
      </c>
      <c r="D354" s="5">
        <f>Model_15y!V354</f>
        <v>9316.4593791314492</v>
      </c>
      <c r="E354" s="2">
        <f>Model_Renter!C354</f>
        <v>9316.4593791314492</v>
      </c>
      <c r="F354" s="24">
        <f t="shared" si="15"/>
        <v>1</v>
      </c>
    </row>
    <row r="355" spans="1:6" x14ac:dyDescent="0.25">
      <c r="A355" s="31">
        <f t="shared" si="16"/>
        <v>353</v>
      </c>
      <c r="B355" s="33">
        <f t="shared" si="17"/>
        <v>30</v>
      </c>
      <c r="C355" s="5">
        <f>Model_30y!V355</f>
        <v>9337.3898857741806</v>
      </c>
      <c r="D355" s="5">
        <f>Model_15y!V355</f>
        <v>9337.3898857741806</v>
      </c>
      <c r="E355" s="2">
        <f>Model_Renter!C355</f>
        <v>9337.3898857741806</v>
      </c>
      <c r="F355" s="24">
        <f t="shared" si="15"/>
        <v>1</v>
      </c>
    </row>
    <row r="356" spans="1:6" x14ac:dyDescent="0.25">
      <c r="A356" s="31">
        <f t="shared" si="16"/>
        <v>354</v>
      </c>
      <c r="B356" s="33">
        <f t="shared" si="17"/>
        <v>30</v>
      </c>
      <c r="C356" s="5">
        <f>Model_30y!V356</f>
        <v>9358.4056658918289</v>
      </c>
      <c r="D356" s="5">
        <f>Model_15y!V356</f>
        <v>9358.4056658918289</v>
      </c>
      <c r="E356" s="2">
        <f>Model_Renter!C356</f>
        <v>9358.4056658918289</v>
      </c>
      <c r="F356" s="24">
        <f t="shared" si="15"/>
        <v>1</v>
      </c>
    </row>
    <row r="357" spans="1:6" x14ac:dyDescent="0.25">
      <c r="A357" s="31">
        <f t="shared" si="16"/>
        <v>355</v>
      </c>
      <c r="B357" s="33">
        <f t="shared" si="17"/>
        <v>30</v>
      </c>
      <c r="C357" s="5">
        <f>Model_30y!V357</f>
        <v>9379.5070668990866</v>
      </c>
      <c r="D357" s="5">
        <f>Model_15y!V357</f>
        <v>9379.5070668990866</v>
      </c>
      <c r="E357" s="2">
        <f>Model_Renter!C357</f>
        <v>9379.5070668990866</v>
      </c>
      <c r="F357" s="24">
        <f t="shared" si="15"/>
        <v>1</v>
      </c>
    </row>
    <row r="358" spans="1:6" x14ac:dyDescent="0.25">
      <c r="A358" s="31">
        <f t="shared" si="16"/>
        <v>356</v>
      </c>
      <c r="B358" s="33">
        <f t="shared" si="17"/>
        <v>30</v>
      </c>
      <c r="C358" s="5">
        <f>Model_30y!V358</f>
        <v>9400.6944376260562</v>
      </c>
      <c r="D358" s="5">
        <f>Model_15y!V358</f>
        <v>9400.6944376260562</v>
      </c>
      <c r="E358" s="2">
        <f>Model_Renter!C358</f>
        <v>9400.6944376260562</v>
      </c>
      <c r="F358" s="24">
        <f t="shared" si="15"/>
        <v>1</v>
      </c>
    </row>
    <row r="359" spans="1:6" x14ac:dyDescent="0.25">
      <c r="A359" s="31">
        <f t="shared" si="16"/>
        <v>357</v>
      </c>
      <c r="B359" s="33">
        <f t="shared" si="17"/>
        <v>30</v>
      </c>
      <c r="C359" s="5">
        <f>Model_30y!V359</f>
        <v>9421.968128324017</v>
      </c>
      <c r="D359" s="5">
        <f>Model_15y!V359</f>
        <v>9421.968128324017</v>
      </c>
      <c r="E359" s="2">
        <f>Model_Renter!C359</f>
        <v>9421.968128324017</v>
      </c>
      <c r="F359" s="24">
        <f t="shared" si="15"/>
        <v>1</v>
      </c>
    </row>
    <row r="360" spans="1:6" x14ac:dyDescent="0.25">
      <c r="A360" s="31">
        <f t="shared" si="16"/>
        <v>358</v>
      </c>
      <c r="B360" s="33">
        <f t="shared" si="17"/>
        <v>30</v>
      </c>
      <c r="C360" s="5">
        <f>Model_30y!V360</f>
        <v>9443.3284906712179</v>
      </c>
      <c r="D360" s="5">
        <f>Model_15y!V360</f>
        <v>9443.3284906712179</v>
      </c>
      <c r="E360" s="2">
        <f>Model_Renter!C360</f>
        <v>9443.3284906712179</v>
      </c>
      <c r="F360" s="24">
        <f t="shared" si="15"/>
        <v>1</v>
      </c>
    </row>
    <row r="361" spans="1:6" x14ac:dyDescent="0.25">
      <c r="A361" s="31">
        <f t="shared" si="16"/>
        <v>359</v>
      </c>
      <c r="B361" s="33">
        <f t="shared" si="17"/>
        <v>30</v>
      </c>
      <c r="C361" s="5">
        <f>Model_30y!V361</f>
        <v>9464.7758777786821</v>
      </c>
      <c r="D361" s="5">
        <f>Model_15y!V361</f>
        <v>9464.7758777786821</v>
      </c>
      <c r="E361" s="2">
        <f>Model_Renter!C361</f>
        <v>9464.7758777786821</v>
      </c>
      <c r="F361" s="24">
        <f t="shared" si="15"/>
        <v>1</v>
      </c>
    </row>
    <row r="362" spans="1:6" x14ac:dyDescent="0.25">
      <c r="A362" s="31">
        <f t="shared" si="16"/>
        <v>360</v>
      </c>
      <c r="B362" s="33">
        <f t="shared" si="17"/>
        <v>30</v>
      </c>
      <c r="C362" s="5">
        <f>Model_30y!V362</f>
        <v>9486.310644196059</v>
      </c>
      <c r="D362" s="5">
        <f>Model_15y!V362</f>
        <v>9486.310644196059</v>
      </c>
      <c r="E362" s="2">
        <f>Model_Renter!C362</f>
        <v>9486.310644196059</v>
      </c>
      <c r="F362" s="24">
        <f t="shared" si="15"/>
        <v>1</v>
      </c>
    </row>
    <row r="363" spans="1:6" x14ac:dyDescent="0.25">
      <c r="A363" s="31">
        <f t="shared" si="16"/>
        <v>361</v>
      </c>
      <c r="B363" s="33">
        <f t="shared" si="17"/>
        <v>31</v>
      </c>
      <c r="C363" s="5">
        <f>Model_30y!V363</f>
        <v>9574.803198777443</v>
      </c>
      <c r="D363" s="5">
        <f>Model_15y!V363</f>
        <v>9574.803198777443</v>
      </c>
      <c r="E363" s="2">
        <f>Model_Renter!C363</f>
        <v>9574.803198777443</v>
      </c>
      <c r="F363" s="24">
        <f t="shared" si="15"/>
        <v>1</v>
      </c>
    </row>
    <row r="364" spans="1:6" x14ac:dyDescent="0.25">
      <c r="A364" s="31">
        <f t="shared" si="16"/>
        <v>362</v>
      </c>
      <c r="B364" s="33">
        <f t="shared" si="17"/>
        <v>31</v>
      </c>
      <c r="C364" s="5">
        <f>Model_30y!V364</f>
        <v>9596.5137932473808</v>
      </c>
      <c r="D364" s="5">
        <f>Model_15y!V364</f>
        <v>9596.5137932473808</v>
      </c>
      <c r="E364" s="2">
        <f>Model_Renter!C364</f>
        <v>9596.5137932473808</v>
      </c>
      <c r="F364" s="24">
        <f t="shared" si="15"/>
        <v>1</v>
      </c>
    </row>
    <row r="365" spans="1:6" x14ac:dyDescent="0.25">
      <c r="A365" s="31">
        <f t="shared" si="16"/>
        <v>363</v>
      </c>
      <c r="B365" s="33">
        <f t="shared" si="17"/>
        <v>31</v>
      </c>
      <c r="C365" s="5">
        <f>Model_30y!V365</f>
        <v>9618.3128393666084</v>
      </c>
      <c r="D365" s="5">
        <f>Model_15y!V365</f>
        <v>9618.3128393666084</v>
      </c>
      <c r="E365" s="2">
        <f>Model_Renter!C365</f>
        <v>9618.3128393666084</v>
      </c>
      <c r="F365" s="24">
        <f t="shared" si="15"/>
        <v>1</v>
      </c>
    </row>
    <row r="366" spans="1:6" x14ac:dyDescent="0.25">
      <c r="A366" s="31">
        <f t="shared" si="16"/>
        <v>364</v>
      </c>
      <c r="B366" s="33">
        <f t="shared" si="17"/>
        <v>31</v>
      </c>
      <c r="C366" s="5">
        <f>Model_30y!V366</f>
        <v>9640.2006974980886</v>
      </c>
      <c r="D366" s="5">
        <f>Model_15y!V366</f>
        <v>9640.2006974980886</v>
      </c>
      <c r="E366" s="2">
        <f>Model_Renter!C366</f>
        <v>9640.2006974980886</v>
      </c>
      <c r="F366" s="24">
        <f t="shared" si="15"/>
        <v>1</v>
      </c>
    </row>
    <row r="367" spans="1:6" x14ac:dyDescent="0.25">
      <c r="A367" s="31">
        <f t="shared" si="16"/>
        <v>365</v>
      </c>
      <c r="B367" s="33">
        <f t="shared" si="17"/>
        <v>31</v>
      </c>
      <c r="C367" s="5">
        <f>Model_30y!V367</f>
        <v>9662.1777294729582</v>
      </c>
      <c r="D367" s="5">
        <f>Model_15y!V367</f>
        <v>9662.1777294729582</v>
      </c>
      <c r="E367" s="2">
        <f>Model_Renter!C367</f>
        <v>9662.1777294729582</v>
      </c>
      <c r="F367" s="24">
        <f t="shared" si="15"/>
        <v>1</v>
      </c>
    </row>
    <row r="368" spans="1:6" x14ac:dyDescent="0.25">
      <c r="A368" s="31">
        <f t="shared" si="16"/>
        <v>366</v>
      </c>
      <c r="B368" s="33">
        <f t="shared" si="17"/>
        <v>31</v>
      </c>
      <c r="C368" s="5">
        <f>Model_30y!V368</f>
        <v>9684.2442985964881</v>
      </c>
      <c r="D368" s="5">
        <f>Model_15y!V368</f>
        <v>9684.2442985964881</v>
      </c>
      <c r="E368" s="2">
        <f>Model_Renter!C368</f>
        <v>9684.2442985964881</v>
      </c>
      <c r="F368" s="24">
        <f t="shared" si="15"/>
        <v>1</v>
      </c>
    </row>
    <row r="369" spans="1:6" x14ac:dyDescent="0.25">
      <c r="A369" s="31">
        <f t="shared" si="16"/>
        <v>367</v>
      </c>
      <c r="B369" s="33">
        <f t="shared" si="17"/>
        <v>31</v>
      </c>
      <c r="C369" s="5">
        <f>Model_30y!V369</f>
        <v>9706.4007696541084</v>
      </c>
      <c r="D369" s="5">
        <f>Model_15y!V369</f>
        <v>9706.4007696541084</v>
      </c>
      <c r="E369" s="2">
        <f>Model_Renter!C369</f>
        <v>9706.4007696541084</v>
      </c>
      <c r="F369" s="24">
        <f t="shared" si="15"/>
        <v>1</v>
      </c>
    </row>
    <row r="370" spans="1:6" x14ac:dyDescent="0.25">
      <c r="A370" s="31">
        <f t="shared" si="16"/>
        <v>368</v>
      </c>
      <c r="B370" s="33">
        <f t="shared" si="17"/>
        <v>31</v>
      </c>
      <c r="C370" s="5">
        <f>Model_30y!V370</f>
        <v>9728.6475089174273</v>
      </c>
      <c r="D370" s="5">
        <f>Model_15y!V370</f>
        <v>9728.6475089174273</v>
      </c>
      <c r="E370" s="2">
        <f>Model_Renter!C370</f>
        <v>9728.6475089174273</v>
      </c>
      <c r="F370" s="24">
        <f t="shared" si="15"/>
        <v>1</v>
      </c>
    </row>
    <row r="371" spans="1:6" x14ac:dyDescent="0.25">
      <c r="A371" s="31">
        <f t="shared" si="16"/>
        <v>369</v>
      </c>
      <c r="B371" s="33">
        <f t="shared" si="17"/>
        <v>31</v>
      </c>
      <c r="C371" s="5">
        <f>Model_30y!V371</f>
        <v>9750.9848841502862</v>
      </c>
      <c r="D371" s="5">
        <f>Model_15y!V371</f>
        <v>9750.9848841502862</v>
      </c>
      <c r="E371" s="2">
        <f>Model_Renter!C371</f>
        <v>9750.9848841502862</v>
      </c>
      <c r="F371" s="24">
        <f t="shared" si="15"/>
        <v>1</v>
      </c>
    </row>
    <row r="372" spans="1:6" x14ac:dyDescent="0.25">
      <c r="A372" s="31">
        <f t="shared" si="16"/>
        <v>370</v>
      </c>
      <c r="B372" s="33">
        <f t="shared" si="17"/>
        <v>31</v>
      </c>
      <c r="C372" s="5">
        <f>Model_30y!V372</f>
        <v>9773.4132646148464</v>
      </c>
      <c r="D372" s="5">
        <f>Model_15y!V372</f>
        <v>9773.4132646148464</v>
      </c>
      <c r="E372" s="2">
        <f>Model_Renter!C372</f>
        <v>9773.4132646148464</v>
      </c>
      <c r="F372" s="24">
        <f t="shared" si="15"/>
        <v>1</v>
      </c>
    </row>
    <row r="373" spans="1:6" x14ac:dyDescent="0.25">
      <c r="A373" s="31">
        <f t="shared" si="16"/>
        <v>371</v>
      </c>
      <c r="B373" s="33">
        <f t="shared" si="17"/>
        <v>31</v>
      </c>
      <c r="C373" s="5">
        <f>Model_30y!V373</f>
        <v>9795.9330210776843</v>
      </c>
      <c r="D373" s="5">
        <f>Model_15y!V373</f>
        <v>9795.9330210776843</v>
      </c>
      <c r="E373" s="2">
        <f>Model_Renter!C373</f>
        <v>9795.9330210776843</v>
      </c>
      <c r="F373" s="24">
        <f t="shared" si="15"/>
        <v>1</v>
      </c>
    </row>
    <row r="374" spans="1:6" x14ac:dyDescent="0.25">
      <c r="A374" s="31">
        <f t="shared" si="16"/>
        <v>372</v>
      </c>
      <c r="B374" s="33">
        <f t="shared" si="17"/>
        <v>31</v>
      </c>
      <c r="C374" s="5">
        <f>Model_30y!V374</f>
        <v>9818.5445258159307</v>
      </c>
      <c r="D374" s="5">
        <f>Model_15y!V374</f>
        <v>9818.5445258159307</v>
      </c>
      <c r="E374" s="2">
        <f>Model_Renter!C374</f>
        <v>9818.5445258159307</v>
      </c>
      <c r="F374" s="24">
        <f t="shared" si="15"/>
        <v>1</v>
      </c>
    </row>
    <row r="375" spans="1:6" x14ac:dyDescent="0.25">
      <c r="A375" s="31">
        <f t="shared" si="16"/>
        <v>373</v>
      </c>
      <c r="B375" s="33">
        <f t="shared" si="17"/>
        <v>32</v>
      </c>
      <c r="C375" s="5">
        <f>Model_30y!V375</f>
        <v>9911.4617081263859</v>
      </c>
      <c r="D375" s="5">
        <f>Model_15y!V375</f>
        <v>9911.4617081263859</v>
      </c>
      <c r="E375" s="2">
        <f>Model_Renter!C375</f>
        <v>9911.4617081263859</v>
      </c>
      <c r="F375" s="24">
        <f t="shared" si="15"/>
        <v>1</v>
      </c>
    </row>
    <row r="376" spans="1:6" x14ac:dyDescent="0.25">
      <c r="A376" s="31">
        <f t="shared" si="16"/>
        <v>374</v>
      </c>
      <c r="B376" s="33">
        <f t="shared" si="17"/>
        <v>32</v>
      </c>
      <c r="C376" s="5">
        <f>Model_30y!V376</f>
        <v>9934.2578323198213</v>
      </c>
      <c r="D376" s="5">
        <f>Model_15y!V376</f>
        <v>9934.2578323198213</v>
      </c>
      <c r="E376" s="2">
        <f>Model_Renter!C376</f>
        <v>9934.2578323198213</v>
      </c>
      <c r="F376" s="24">
        <f t="shared" si="15"/>
        <v>1</v>
      </c>
    </row>
    <row r="377" spans="1:6" x14ac:dyDescent="0.25">
      <c r="A377" s="31">
        <f t="shared" si="16"/>
        <v>375</v>
      </c>
      <c r="B377" s="33">
        <f t="shared" si="17"/>
        <v>32</v>
      </c>
      <c r="C377" s="5">
        <f>Model_30y!V377</f>
        <v>9957.1468307450086</v>
      </c>
      <c r="D377" s="5">
        <f>Model_15y!V377</f>
        <v>9957.1468307450086</v>
      </c>
      <c r="E377" s="2">
        <f>Model_Renter!C377</f>
        <v>9957.1468307450086</v>
      </c>
      <c r="F377" s="24">
        <f t="shared" si="15"/>
        <v>1</v>
      </c>
    </row>
    <row r="378" spans="1:6" x14ac:dyDescent="0.25">
      <c r="A378" s="31">
        <f t="shared" si="16"/>
        <v>376</v>
      </c>
      <c r="B378" s="33">
        <f t="shared" si="17"/>
        <v>32</v>
      </c>
      <c r="C378" s="5">
        <f>Model_30y!V378</f>
        <v>9980.129081783065</v>
      </c>
      <c r="D378" s="5">
        <f>Model_15y!V378</f>
        <v>9980.129081783065</v>
      </c>
      <c r="E378" s="2">
        <f>Model_Renter!C378</f>
        <v>9980.129081783065</v>
      </c>
      <c r="F378" s="24">
        <f t="shared" si="15"/>
        <v>1</v>
      </c>
    </row>
    <row r="379" spans="1:6" x14ac:dyDescent="0.25">
      <c r="A379" s="31">
        <f t="shared" si="16"/>
        <v>377</v>
      </c>
      <c r="B379" s="33">
        <f t="shared" si="17"/>
        <v>32</v>
      </c>
      <c r="C379" s="5">
        <f>Model_30y!V379</f>
        <v>10003.204965356676</v>
      </c>
      <c r="D379" s="5">
        <f>Model_15y!V379</f>
        <v>10003.204965356676</v>
      </c>
      <c r="E379" s="2">
        <f>Model_Renter!C379</f>
        <v>10003.204965356676</v>
      </c>
      <c r="F379" s="24">
        <f t="shared" si="15"/>
        <v>1</v>
      </c>
    </row>
    <row r="380" spans="1:6" x14ac:dyDescent="0.25">
      <c r="A380" s="31">
        <f t="shared" si="16"/>
        <v>378</v>
      </c>
      <c r="B380" s="33">
        <f t="shared" si="17"/>
        <v>32</v>
      </c>
      <c r="C380" s="5">
        <f>Model_30y!V380</f>
        <v>10026.374862936382</v>
      </c>
      <c r="D380" s="5">
        <f>Model_15y!V380</f>
        <v>10026.374862936382</v>
      </c>
      <c r="E380" s="2">
        <f>Model_Renter!C380</f>
        <v>10026.374862936382</v>
      </c>
      <c r="F380" s="24">
        <f t="shared" si="15"/>
        <v>1</v>
      </c>
    </row>
    <row r="381" spans="1:6" x14ac:dyDescent="0.25">
      <c r="A381" s="31">
        <f t="shared" si="16"/>
        <v>379</v>
      </c>
      <c r="B381" s="33">
        <f t="shared" si="17"/>
        <v>32</v>
      </c>
      <c r="C381" s="5">
        <f>Model_30y!V381</f>
        <v>10049.639157546884</v>
      </c>
      <c r="D381" s="5">
        <f>Model_15y!V381</f>
        <v>10049.639157546884</v>
      </c>
      <c r="E381" s="2">
        <f>Model_Renter!C381</f>
        <v>10049.639157546884</v>
      </c>
      <c r="F381" s="24">
        <f t="shared" si="15"/>
        <v>1</v>
      </c>
    </row>
    <row r="382" spans="1:6" x14ac:dyDescent="0.25">
      <c r="A382" s="31">
        <f t="shared" si="16"/>
        <v>380</v>
      </c>
      <c r="B382" s="33">
        <f t="shared" si="17"/>
        <v>32</v>
      </c>
      <c r="C382" s="5">
        <f>Model_30y!V382</f>
        <v>10072.998233773367</v>
      </c>
      <c r="D382" s="5">
        <f>Model_15y!V382</f>
        <v>10072.998233773367</v>
      </c>
      <c r="E382" s="2">
        <f>Model_Renter!C382</f>
        <v>10072.998233773367</v>
      </c>
      <c r="F382" s="24">
        <f t="shared" si="15"/>
        <v>1</v>
      </c>
    </row>
    <row r="383" spans="1:6" x14ac:dyDescent="0.25">
      <c r="A383" s="31">
        <f t="shared" si="16"/>
        <v>381</v>
      </c>
      <c r="B383" s="33">
        <f t="shared" si="17"/>
        <v>32</v>
      </c>
      <c r="C383" s="5">
        <f>Model_30y!V383</f>
        <v>10096.452477767871</v>
      </c>
      <c r="D383" s="5">
        <f>Model_15y!V383</f>
        <v>10096.452477767871</v>
      </c>
      <c r="E383" s="2">
        <f>Model_Renter!C383</f>
        <v>10096.452477767871</v>
      </c>
      <c r="F383" s="24">
        <f t="shared" si="15"/>
        <v>1</v>
      </c>
    </row>
    <row r="384" spans="1:6" x14ac:dyDescent="0.25">
      <c r="A384" s="31">
        <f t="shared" si="16"/>
        <v>382</v>
      </c>
      <c r="B384" s="33">
        <f t="shared" si="17"/>
        <v>32</v>
      </c>
      <c r="C384" s="5">
        <f>Model_30y!V384</f>
        <v>10120.002277255657</v>
      </c>
      <c r="D384" s="5">
        <f>Model_15y!V384</f>
        <v>10120.002277255657</v>
      </c>
      <c r="E384" s="2">
        <f>Model_Renter!C384</f>
        <v>10120.002277255657</v>
      </c>
      <c r="F384" s="24">
        <f t="shared" si="15"/>
        <v>1</v>
      </c>
    </row>
    <row r="385" spans="1:6" x14ac:dyDescent="0.25">
      <c r="A385" s="31">
        <f t="shared" si="16"/>
        <v>383</v>
      </c>
      <c r="B385" s="33">
        <f t="shared" si="17"/>
        <v>32</v>
      </c>
      <c r="C385" s="5">
        <f>Model_30y!V385</f>
        <v>10143.64802154164</v>
      </c>
      <c r="D385" s="5">
        <f>Model_15y!V385</f>
        <v>10143.64802154164</v>
      </c>
      <c r="E385" s="2">
        <f>Model_Renter!C385</f>
        <v>10143.64802154164</v>
      </c>
      <c r="F385" s="24">
        <f t="shared" si="15"/>
        <v>1</v>
      </c>
    </row>
    <row r="386" spans="1:6" x14ac:dyDescent="0.25">
      <c r="A386" s="31">
        <f t="shared" si="16"/>
        <v>384</v>
      </c>
      <c r="B386" s="33">
        <f t="shared" si="17"/>
        <v>32</v>
      </c>
      <c r="C386" s="5">
        <f>Model_30y!V386</f>
        <v>10167.390101516798</v>
      </c>
      <c r="D386" s="5">
        <f>Model_15y!V386</f>
        <v>10167.390101516798</v>
      </c>
      <c r="E386" s="2">
        <f>Model_Renter!C386</f>
        <v>10167.390101516798</v>
      </c>
      <c r="F386" s="24">
        <f t="shared" si="15"/>
        <v>1</v>
      </c>
    </row>
    <row r="387" spans="1:6" x14ac:dyDescent="0.25">
      <c r="A387" s="31">
        <f t="shared" si="16"/>
        <v>385</v>
      </c>
      <c r="B387" s="33">
        <f t="shared" si="17"/>
        <v>33</v>
      </c>
      <c r="C387" s="5">
        <f>Model_30y!V387</f>
        <v>10264.953142942773</v>
      </c>
      <c r="D387" s="5">
        <f>Model_15y!V387</f>
        <v>10264.953142942773</v>
      </c>
      <c r="E387" s="2">
        <f>Model_Renter!C387</f>
        <v>10264.953142942773</v>
      </c>
      <c r="F387" s="24">
        <f t="shared" ref="F387:F450" si="18">IF(AND(C387-D387&lt;1, C387-E387&lt;1), 1, 0)</f>
        <v>1</v>
      </c>
    </row>
    <row r="388" spans="1:6" x14ac:dyDescent="0.25">
      <c r="A388" s="31">
        <f t="shared" ref="A388:A443" si="19">A387+1</f>
        <v>386</v>
      </c>
      <c r="B388" s="33">
        <f t="shared" ref="B388:B451" si="20">ROUNDUP(A388/12, 0)</f>
        <v>33</v>
      </c>
      <c r="C388" s="5">
        <f>Model_30y!V388</f>
        <v>10288.889073345881</v>
      </c>
      <c r="D388" s="5">
        <f>Model_15y!V388</f>
        <v>10288.889073345881</v>
      </c>
      <c r="E388" s="2">
        <f>Model_Renter!C388</f>
        <v>10288.889073345881</v>
      </c>
      <c r="F388" s="24">
        <f t="shared" si="18"/>
        <v>1</v>
      </c>
    </row>
    <row r="389" spans="1:6" x14ac:dyDescent="0.25">
      <c r="A389" s="31">
        <f t="shared" si="19"/>
        <v>387</v>
      </c>
      <c r="B389" s="33">
        <f t="shared" si="20"/>
        <v>33</v>
      </c>
      <c r="C389" s="5">
        <f>Model_30y!V389</f>
        <v>10312.922521692328</v>
      </c>
      <c r="D389" s="5">
        <f>Model_15y!V389</f>
        <v>10312.922521692328</v>
      </c>
      <c r="E389" s="2">
        <f>Model_Renter!C389</f>
        <v>10312.922521692328</v>
      </c>
      <c r="F389" s="24">
        <f t="shared" si="18"/>
        <v>1</v>
      </c>
    </row>
    <row r="390" spans="1:6" x14ac:dyDescent="0.25">
      <c r="A390" s="31">
        <f t="shared" si="19"/>
        <v>388</v>
      </c>
      <c r="B390" s="33">
        <f t="shared" si="20"/>
        <v>33</v>
      </c>
      <c r="C390" s="5">
        <f>Model_30y!V390</f>
        <v>10337.053885282287</v>
      </c>
      <c r="D390" s="5">
        <f>Model_15y!V390</f>
        <v>10337.053885282287</v>
      </c>
      <c r="E390" s="2">
        <f>Model_Renter!C390</f>
        <v>10337.053885282287</v>
      </c>
      <c r="F390" s="24">
        <f t="shared" si="18"/>
        <v>1</v>
      </c>
    </row>
    <row r="391" spans="1:6" x14ac:dyDescent="0.25">
      <c r="A391" s="31">
        <f t="shared" si="19"/>
        <v>389</v>
      </c>
      <c r="B391" s="33">
        <f t="shared" si="20"/>
        <v>33</v>
      </c>
      <c r="C391" s="5">
        <f>Model_30y!V391</f>
        <v>10361.283563034578</v>
      </c>
      <c r="D391" s="5">
        <f>Model_15y!V391</f>
        <v>10361.283563034578</v>
      </c>
      <c r="E391" s="2">
        <f>Model_Renter!C391</f>
        <v>10361.283563034578</v>
      </c>
      <c r="F391" s="24">
        <f t="shared" si="18"/>
        <v>1</v>
      </c>
    </row>
    <row r="392" spans="1:6" x14ac:dyDescent="0.25">
      <c r="A392" s="31">
        <f t="shared" si="19"/>
        <v>390</v>
      </c>
      <c r="B392" s="33">
        <f t="shared" si="20"/>
        <v>33</v>
      </c>
      <c r="C392" s="5">
        <f>Model_30y!V392</f>
        <v>10385.61195549327</v>
      </c>
      <c r="D392" s="5">
        <f>Model_15y!V392</f>
        <v>10385.61195549327</v>
      </c>
      <c r="E392" s="2">
        <f>Model_Renter!C392</f>
        <v>10385.61195549327</v>
      </c>
      <c r="F392" s="24">
        <f t="shared" si="18"/>
        <v>1</v>
      </c>
    </row>
    <row r="393" spans="1:6" x14ac:dyDescent="0.25">
      <c r="A393" s="31">
        <f t="shared" si="19"/>
        <v>391</v>
      </c>
      <c r="B393" s="33">
        <f t="shared" si="20"/>
        <v>33</v>
      </c>
      <c r="C393" s="5">
        <f>Model_30y!V393</f>
        <v>10410.039464834297</v>
      </c>
      <c r="D393" s="5">
        <f>Model_15y!V393</f>
        <v>10410.039464834297</v>
      </c>
      <c r="E393" s="2">
        <f>Model_Renter!C393</f>
        <v>10410.039464834297</v>
      </c>
      <c r="F393" s="24">
        <f t="shared" si="18"/>
        <v>1</v>
      </c>
    </row>
    <row r="394" spans="1:6" x14ac:dyDescent="0.25">
      <c r="A394" s="31">
        <f t="shared" si="19"/>
        <v>392</v>
      </c>
      <c r="B394" s="33">
        <f t="shared" si="20"/>
        <v>33</v>
      </c>
      <c r="C394" s="5">
        <f>Model_30y!V394</f>
        <v>10434.566494872106</v>
      </c>
      <c r="D394" s="5">
        <f>Model_15y!V394</f>
        <v>10434.566494872106</v>
      </c>
      <c r="E394" s="2">
        <f>Model_Renter!C394</f>
        <v>10434.566494872106</v>
      </c>
      <c r="F394" s="24">
        <f t="shared" si="18"/>
        <v>1</v>
      </c>
    </row>
    <row r="395" spans="1:6" x14ac:dyDescent="0.25">
      <c r="A395" s="31">
        <f t="shared" si="19"/>
        <v>393</v>
      </c>
      <c r="B395" s="33">
        <f t="shared" si="20"/>
        <v>33</v>
      </c>
      <c r="C395" s="5">
        <f>Model_30y!V395</f>
        <v>10459.193451066332</v>
      </c>
      <c r="D395" s="5">
        <f>Model_15y!V395</f>
        <v>10459.193451066332</v>
      </c>
      <c r="E395" s="2">
        <f>Model_Renter!C395</f>
        <v>10459.193451066332</v>
      </c>
      <c r="F395" s="24">
        <f t="shared" si="18"/>
        <v>1</v>
      </c>
    </row>
    <row r="396" spans="1:6" x14ac:dyDescent="0.25">
      <c r="A396" s="31">
        <f t="shared" si="19"/>
        <v>394</v>
      </c>
      <c r="B396" s="33">
        <f t="shared" si="20"/>
        <v>33</v>
      </c>
      <c r="C396" s="5">
        <f>Model_30y!V396</f>
        <v>10483.920740528511</v>
      </c>
      <c r="D396" s="5">
        <f>Model_15y!V396</f>
        <v>10483.920740528511</v>
      </c>
      <c r="E396" s="2">
        <f>Model_Renter!C396</f>
        <v>10483.920740528511</v>
      </c>
      <c r="F396" s="24">
        <f t="shared" si="18"/>
        <v>1</v>
      </c>
    </row>
    <row r="397" spans="1:6" x14ac:dyDescent="0.25">
      <c r="A397" s="31">
        <f t="shared" si="19"/>
        <v>395</v>
      </c>
      <c r="B397" s="33">
        <f t="shared" si="20"/>
        <v>33</v>
      </c>
      <c r="C397" s="5">
        <f>Model_30y!V397</f>
        <v>10508.74877202879</v>
      </c>
      <c r="D397" s="5">
        <f>Model_15y!V397</f>
        <v>10508.74877202879</v>
      </c>
      <c r="E397" s="2">
        <f>Model_Renter!C397</f>
        <v>10508.74877202879</v>
      </c>
      <c r="F397" s="24">
        <f t="shared" si="18"/>
        <v>1</v>
      </c>
    </row>
    <row r="398" spans="1:6" x14ac:dyDescent="0.25">
      <c r="A398" s="31">
        <f t="shared" si="19"/>
        <v>396</v>
      </c>
      <c r="B398" s="33">
        <f t="shared" si="20"/>
        <v>33</v>
      </c>
      <c r="C398" s="5">
        <f>Model_30y!V398</f>
        <v>10533.677956002708</v>
      </c>
      <c r="D398" s="5">
        <f>Model_15y!V398</f>
        <v>10533.677956002708</v>
      </c>
      <c r="E398" s="2">
        <f>Model_Renter!C398</f>
        <v>10533.677956002708</v>
      </c>
      <c r="F398" s="24">
        <f t="shared" si="18"/>
        <v>1</v>
      </c>
    </row>
    <row r="399" spans="1:6" x14ac:dyDescent="0.25">
      <c r="A399" s="31">
        <f t="shared" si="19"/>
        <v>397</v>
      </c>
      <c r="B399" s="33">
        <f t="shared" si="20"/>
        <v>34</v>
      </c>
      <c r="C399" s="5">
        <f>Model_30y!V399</f>
        <v>10636.11914949998</v>
      </c>
      <c r="D399" s="5">
        <f>Model_15y!V399</f>
        <v>10636.11914949998</v>
      </c>
      <c r="E399" s="2">
        <f>Model_Renter!C399</f>
        <v>10636.11914949998</v>
      </c>
      <c r="F399" s="24">
        <f t="shared" si="18"/>
        <v>1</v>
      </c>
    </row>
    <row r="400" spans="1:6" x14ac:dyDescent="0.25">
      <c r="A400" s="31">
        <f t="shared" si="19"/>
        <v>398</v>
      </c>
      <c r="B400" s="33">
        <f t="shared" si="20"/>
        <v>34</v>
      </c>
      <c r="C400" s="5">
        <f>Model_30y!V400</f>
        <v>10661.251876423245</v>
      </c>
      <c r="D400" s="5">
        <f>Model_15y!V400</f>
        <v>10661.251876423245</v>
      </c>
      <c r="E400" s="2">
        <f>Model_Renter!C400</f>
        <v>10661.251876423245</v>
      </c>
      <c r="F400" s="24">
        <f t="shared" si="18"/>
        <v>1</v>
      </c>
    </row>
    <row r="401" spans="1:6" x14ac:dyDescent="0.25">
      <c r="A401" s="31">
        <f t="shared" si="19"/>
        <v>399</v>
      </c>
      <c r="B401" s="33">
        <f t="shared" si="20"/>
        <v>34</v>
      </c>
      <c r="C401" s="5">
        <f>Model_30y!V401</f>
        <v>10686.486997187012</v>
      </c>
      <c r="D401" s="5">
        <f>Model_15y!V401</f>
        <v>10686.486997187012</v>
      </c>
      <c r="E401" s="2">
        <f>Model_Renter!C401</f>
        <v>10686.486997187012</v>
      </c>
      <c r="F401" s="24">
        <f t="shared" si="18"/>
        <v>1</v>
      </c>
    </row>
    <row r="402" spans="1:6" x14ac:dyDescent="0.25">
      <c r="A402" s="31">
        <f t="shared" si="19"/>
        <v>400</v>
      </c>
      <c r="B402" s="33">
        <f t="shared" si="20"/>
        <v>34</v>
      </c>
      <c r="C402" s="5">
        <f>Model_30y!V402</f>
        <v>10711.82492895647</v>
      </c>
      <c r="D402" s="5">
        <f>Model_15y!V402</f>
        <v>10711.82492895647</v>
      </c>
      <c r="E402" s="2">
        <f>Model_Renter!C402</f>
        <v>10711.82492895647</v>
      </c>
      <c r="F402" s="24">
        <f t="shared" si="18"/>
        <v>1</v>
      </c>
    </row>
    <row r="403" spans="1:6" x14ac:dyDescent="0.25">
      <c r="A403" s="31">
        <f t="shared" si="19"/>
        <v>401</v>
      </c>
      <c r="B403" s="33">
        <f t="shared" si="20"/>
        <v>34</v>
      </c>
      <c r="C403" s="5">
        <f>Model_30y!V403</f>
        <v>10737.266090596377</v>
      </c>
      <c r="D403" s="5">
        <f>Model_15y!V403</f>
        <v>10737.266090596377</v>
      </c>
      <c r="E403" s="2">
        <f>Model_Renter!C403</f>
        <v>10737.266090596377</v>
      </c>
      <c r="F403" s="24">
        <f t="shared" si="18"/>
        <v>1</v>
      </c>
    </row>
    <row r="404" spans="1:6" x14ac:dyDescent="0.25">
      <c r="A404" s="31">
        <f t="shared" si="19"/>
        <v>402</v>
      </c>
      <c r="B404" s="33">
        <f t="shared" si="20"/>
        <v>34</v>
      </c>
      <c r="C404" s="5">
        <f>Model_30y!V404</f>
        <v>10762.810902678004</v>
      </c>
      <c r="D404" s="5">
        <f>Model_15y!V404</f>
        <v>10762.810902678004</v>
      </c>
      <c r="E404" s="2">
        <f>Model_Renter!C404</f>
        <v>10762.810902678004</v>
      </c>
      <c r="F404" s="24">
        <f t="shared" si="18"/>
        <v>1</v>
      </c>
    </row>
    <row r="405" spans="1:6" x14ac:dyDescent="0.25">
      <c r="A405" s="31">
        <f t="shared" si="19"/>
        <v>403</v>
      </c>
      <c r="B405" s="33">
        <f t="shared" si="20"/>
        <v>34</v>
      </c>
      <c r="C405" s="5">
        <f>Model_30y!V405</f>
        <v>10788.459787486081</v>
      </c>
      <c r="D405" s="5">
        <f>Model_15y!V405</f>
        <v>10788.459787486081</v>
      </c>
      <c r="E405" s="2">
        <f>Model_Renter!C405</f>
        <v>10788.459787486081</v>
      </c>
      <c r="F405" s="24">
        <f t="shared" si="18"/>
        <v>1</v>
      </c>
    </row>
    <row r="406" spans="1:6" x14ac:dyDescent="0.25">
      <c r="A406" s="31">
        <f t="shared" si="19"/>
        <v>404</v>
      </c>
      <c r="B406" s="33">
        <f t="shared" si="20"/>
        <v>34</v>
      </c>
      <c r="C406" s="5">
        <f>Model_30y!V406</f>
        <v>10814.213169025781</v>
      </c>
      <c r="D406" s="5">
        <f>Model_15y!V406</f>
        <v>10814.213169025781</v>
      </c>
      <c r="E406" s="2">
        <f>Model_Renter!C406</f>
        <v>10814.213169025781</v>
      </c>
      <c r="F406" s="24">
        <f t="shared" si="18"/>
        <v>1</v>
      </c>
    </row>
    <row r="407" spans="1:6" x14ac:dyDescent="0.25">
      <c r="A407" s="31">
        <f t="shared" si="19"/>
        <v>405</v>
      </c>
      <c r="B407" s="33">
        <f t="shared" si="20"/>
        <v>34</v>
      </c>
      <c r="C407" s="5">
        <f>Model_30y!V407</f>
        <v>10840.07147302972</v>
      </c>
      <c r="D407" s="5">
        <f>Model_15y!V407</f>
        <v>10840.07147302972</v>
      </c>
      <c r="E407" s="2">
        <f>Model_Renter!C407</f>
        <v>10840.07147302972</v>
      </c>
      <c r="F407" s="24">
        <f t="shared" si="18"/>
        <v>1</v>
      </c>
    </row>
    <row r="408" spans="1:6" x14ac:dyDescent="0.25">
      <c r="A408" s="31">
        <f t="shared" si="19"/>
        <v>406</v>
      </c>
      <c r="B408" s="33">
        <f t="shared" si="20"/>
        <v>34</v>
      </c>
      <c r="C408" s="5">
        <f>Model_30y!V408</f>
        <v>10866.035126965005</v>
      </c>
      <c r="D408" s="5">
        <f>Model_15y!V408</f>
        <v>10866.035126965005</v>
      </c>
      <c r="E408" s="2">
        <f>Model_Renter!C408</f>
        <v>10866.035126965005</v>
      </c>
      <c r="F408" s="24">
        <f t="shared" si="18"/>
        <v>1</v>
      </c>
    </row>
    <row r="409" spans="1:6" x14ac:dyDescent="0.25">
      <c r="A409" s="31">
        <f t="shared" si="19"/>
        <v>407</v>
      </c>
      <c r="B409" s="33">
        <f t="shared" si="20"/>
        <v>34</v>
      </c>
      <c r="C409" s="5">
        <f>Model_30y!V409</f>
        <v>10892.104560040299</v>
      </c>
      <c r="D409" s="5">
        <f>Model_15y!V409</f>
        <v>10892.104560040299</v>
      </c>
      <c r="E409" s="2">
        <f>Model_Renter!C409</f>
        <v>10892.104560040299</v>
      </c>
      <c r="F409" s="24">
        <f t="shared" si="18"/>
        <v>1</v>
      </c>
    </row>
    <row r="410" spans="1:6" x14ac:dyDescent="0.25">
      <c r="A410" s="31">
        <f t="shared" si="19"/>
        <v>408</v>
      </c>
      <c r="B410" s="33">
        <f t="shared" si="20"/>
        <v>34</v>
      </c>
      <c r="C410" s="5">
        <f>Model_30y!V410</f>
        <v>10918.280203212913</v>
      </c>
      <c r="D410" s="5">
        <f>Model_15y!V410</f>
        <v>10918.280203212913</v>
      </c>
      <c r="E410" s="2">
        <f>Model_Renter!C410</f>
        <v>10918.280203212913</v>
      </c>
      <c r="F410" s="24">
        <f t="shared" si="18"/>
        <v>1</v>
      </c>
    </row>
    <row r="411" spans="1:6" x14ac:dyDescent="0.25">
      <c r="A411" s="31">
        <f t="shared" si="19"/>
        <v>409</v>
      </c>
      <c r="B411" s="33">
        <f t="shared" si="20"/>
        <v>35</v>
      </c>
      <c r="C411" s="5">
        <f>Model_30y!V411</f>
        <v>11025.84345638505</v>
      </c>
      <c r="D411" s="5">
        <f>Model_15y!V411</f>
        <v>11025.84345638505</v>
      </c>
      <c r="E411" s="2">
        <f>Model_Renter!C411</f>
        <v>11025.84345638505</v>
      </c>
      <c r="F411" s="24">
        <f t="shared" si="18"/>
        <v>1</v>
      </c>
    </row>
    <row r="412" spans="1:6" x14ac:dyDescent="0.25">
      <c r="A412" s="31">
        <f t="shared" si="19"/>
        <v>410</v>
      </c>
      <c r="B412" s="33">
        <f t="shared" si="20"/>
        <v>35</v>
      </c>
      <c r="C412" s="5">
        <f>Model_30y!V412</f>
        <v>11052.232819654477</v>
      </c>
      <c r="D412" s="5">
        <f>Model_15y!V412</f>
        <v>11052.232819654477</v>
      </c>
      <c r="E412" s="2">
        <f>Model_Renter!C412</f>
        <v>11052.232819654477</v>
      </c>
      <c r="F412" s="24">
        <f t="shared" si="18"/>
        <v>1</v>
      </c>
    </row>
    <row r="413" spans="1:6" x14ac:dyDescent="0.25">
      <c r="A413" s="31">
        <f t="shared" si="19"/>
        <v>411</v>
      </c>
      <c r="B413" s="33">
        <f t="shared" si="20"/>
        <v>35</v>
      </c>
      <c r="C413" s="5">
        <f>Model_30y!V413</f>
        <v>11078.729696456432</v>
      </c>
      <c r="D413" s="5">
        <f>Model_15y!V413</f>
        <v>11078.729696456432</v>
      </c>
      <c r="E413" s="2">
        <f>Model_Renter!C413</f>
        <v>11078.729696456432</v>
      </c>
      <c r="F413" s="24">
        <f t="shared" si="18"/>
        <v>1</v>
      </c>
    </row>
    <row r="414" spans="1:6" x14ac:dyDescent="0.25">
      <c r="A414" s="31">
        <f t="shared" si="19"/>
        <v>412</v>
      </c>
      <c r="B414" s="33">
        <f t="shared" si="20"/>
        <v>35</v>
      </c>
      <c r="C414" s="5">
        <f>Model_30y!V414</f>
        <v>11105.334524814363</v>
      </c>
      <c r="D414" s="5">
        <f>Model_15y!V414</f>
        <v>11105.334524814363</v>
      </c>
      <c r="E414" s="2">
        <f>Model_Renter!C414</f>
        <v>11105.334524814363</v>
      </c>
      <c r="F414" s="24">
        <f t="shared" si="18"/>
        <v>1</v>
      </c>
    </row>
    <row r="415" spans="1:6" x14ac:dyDescent="0.25">
      <c r="A415" s="31">
        <f t="shared" si="19"/>
        <v>413</v>
      </c>
      <c r="B415" s="33">
        <f t="shared" si="20"/>
        <v>35</v>
      </c>
      <c r="C415" s="5">
        <f>Model_30y!V415</f>
        <v>11132.047744536265</v>
      </c>
      <c r="D415" s="5">
        <f>Model_15y!V415</f>
        <v>11132.047744536265</v>
      </c>
      <c r="E415" s="2">
        <f>Model_Renter!C415</f>
        <v>11132.047744536265</v>
      </c>
      <c r="F415" s="24">
        <f t="shared" si="18"/>
        <v>1</v>
      </c>
    </row>
    <row r="416" spans="1:6" x14ac:dyDescent="0.25">
      <c r="A416" s="31">
        <f t="shared" si="19"/>
        <v>414</v>
      </c>
      <c r="B416" s="33">
        <f t="shared" si="20"/>
        <v>35</v>
      </c>
      <c r="C416" s="5">
        <f>Model_30y!V416</f>
        <v>11158.869797221974</v>
      </c>
      <c r="D416" s="5">
        <f>Model_15y!V416</f>
        <v>11158.869797221974</v>
      </c>
      <c r="E416" s="2">
        <f>Model_Renter!C416</f>
        <v>11158.869797221974</v>
      </c>
      <c r="F416" s="24">
        <f t="shared" si="18"/>
        <v>1</v>
      </c>
    </row>
    <row r="417" spans="1:6" x14ac:dyDescent="0.25">
      <c r="A417" s="31">
        <f t="shared" si="19"/>
        <v>415</v>
      </c>
      <c r="B417" s="33">
        <f t="shared" si="20"/>
        <v>35</v>
      </c>
      <c r="C417" s="5">
        <f>Model_30y!V417</f>
        <v>11185.801126270455</v>
      </c>
      <c r="D417" s="5">
        <f>Model_15y!V417</f>
        <v>11185.801126270455</v>
      </c>
      <c r="E417" s="2">
        <f>Model_Renter!C417</f>
        <v>11185.801126270455</v>
      </c>
      <c r="F417" s="24">
        <f t="shared" si="18"/>
        <v>1</v>
      </c>
    </row>
    <row r="418" spans="1:6" x14ac:dyDescent="0.25">
      <c r="A418" s="31">
        <f t="shared" si="19"/>
        <v>416</v>
      </c>
      <c r="B418" s="33">
        <f t="shared" si="20"/>
        <v>35</v>
      </c>
      <c r="C418" s="5">
        <f>Model_30y!V418</f>
        <v>11212.842176887139</v>
      </c>
      <c r="D418" s="5">
        <f>Model_15y!V418</f>
        <v>11212.842176887139</v>
      </c>
      <c r="E418" s="2">
        <f>Model_Renter!C418</f>
        <v>11212.842176887139</v>
      </c>
      <c r="F418" s="24">
        <f t="shared" si="18"/>
        <v>1</v>
      </c>
    </row>
    <row r="419" spans="1:6" x14ac:dyDescent="0.25">
      <c r="A419" s="31">
        <f t="shared" si="19"/>
        <v>417</v>
      </c>
      <c r="B419" s="33">
        <f t="shared" si="20"/>
        <v>35</v>
      </c>
      <c r="C419" s="5">
        <f>Model_30y!V419</f>
        <v>11239.993396091273</v>
      </c>
      <c r="D419" s="5">
        <f>Model_15y!V419</f>
        <v>11239.993396091273</v>
      </c>
      <c r="E419" s="2">
        <f>Model_Renter!C419</f>
        <v>11239.993396091273</v>
      </c>
      <c r="F419" s="24">
        <f t="shared" si="18"/>
        <v>1</v>
      </c>
    </row>
    <row r="420" spans="1:6" x14ac:dyDescent="0.25">
      <c r="A420" s="31">
        <f t="shared" si="19"/>
        <v>418</v>
      </c>
      <c r="B420" s="33">
        <f t="shared" si="20"/>
        <v>35</v>
      </c>
      <c r="C420" s="5">
        <f>Model_30y!V420</f>
        <v>11267.255232723324</v>
      </c>
      <c r="D420" s="5">
        <f>Model_15y!V420</f>
        <v>11267.255232723324</v>
      </c>
      <c r="E420" s="2">
        <f>Model_Renter!C420</f>
        <v>11267.255232723324</v>
      </c>
      <c r="F420" s="24">
        <f t="shared" si="18"/>
        <v>1</v>
      </c>
    </row>
    <row r="421" spans="1:6" x14ac:dyDescent="0.25">
      <c r="A421" s="31">
        <f t="shared" si="19"/>
        <v>419</v>
      </c>
      <c r="B421" s="33">
        <f t="shared" si="20"/>
        <v>35</v>
      </c>
      <c r="C421" s="5">
        <f>Model_30y!V421</f>
        <v>11294.628137452382</v>
      </c>
      <c r="D421" s="5">
        <f>Model_15y!V421</f>
        <v>11294.628137452382</v>
      </c>
      <c r="E421" s="2">
        <f>Model_Renter!C421</f>
        <v>11294.628137452382</v>
      </c>
      <c r="F421" s="24">
        <f t="shared" si="18"/>
        <v>1</v>
      </c>
    </row>
    <row r="422" spans="1:6" x14ac:dyDescent="0.25">
      <c r="A422" s="31">
        <f t="shared" si="19"/>
        <v>420</v>
      </c>
      <c r="B422" s="33">
        <f t="shared" si="20"/>
        <v>35</v>
      </c>
      <c r="C422" s="5">
        <f>Model_30y!V422</f>
        <v>11322.112562783625</v>
      </c>
      <c r="D422" s="5">
        <f>Model_15y!V422</f>
        <v>11322.112562783625</v>
      </c>
      <c r="E422" s="2">
        <f>Model_Renter!C422</f>
        <v>11322.112562783625</v>
      </c>
      <c r="F422" s="24">
        <f t="shared" si="18"/>
        <v>1</v>
      </c>
    </row>
    <row r="423" spans="1:6" x14ac:dyDescent="0.25">
      <c r="A423" s="31">
        <f t="shared" si="19"/>
        <v>421</v>
      </c>
      <c r="B423" s="33">
        <f t="shared" si="20"/>
        <v>36</v>
      </c>
      <c r="C423" s="5">
        <f>Model_30y!V423</f>
        <v>11435.053978614369</v>
      </c>
      <c r="D423" s="5">
        <f>Model_15y!V423</f>
        <v>11435.053978614369</v>
      </c>
      <c r="E423" s="2">
        <f>Model_Renter!C423</f>
        <v>11435.053978614369</v>
      </c>
      <c r="F423" s="24">
        <f t="shared" si="18"/>
        <v>1</v>
      </c>
    </row>
    <row r="424" spans="1:6" x14ac:dyDescent="0.25">
      <c r="A424" s="31">
        <f t="shared" si="19"/>
        <v>422</v>
      </c>
      <c r="B424" s="33">
        <f t="shared" si="20"/>
        <v>36</v>
      </c>
      <c r="C424" s="5">
        <f>Model_30y!V424</f>
        <v>11462.762810047267</v>
      </c>
      <c r="D424" s="5">
        <f>Model_15y!V424</f>
        <v>11462.762810047267</v>
      </c>
      <c r="E424" s="2">
        <f>Model_Renter!C424</f>
        <v>11462.762810047267</v>
      </c>
      <c r="F424" s="24">
        <f t="shared" si="18"/>
        <v>1</v>
      </c>
    </row>
    <row r="425" spans="1:6" x14ac:dyDescent="0.25">
      <c r="A425" s="31">
        <f t="shared" si="19"/>
        <v>423</v>
      </c>
      <c r="B425" s="33">
        <f t="shared" si="20"/>
        <v>36</v>
      </c>
      <c r="C425" s="5">
        <f>Model_30y!V425</f>
        <v>11490.584530689322</v>
      </c>
      <c r="D425" s="5">
        <f>Model_15y!V425</f>
        <v>11490.584530689322</v>
      </c>
      <c r="E425" s="2">
        <f>Model_Renter!C425</f>
        <v>11490.584530689322</v>
      </c>
      <c r="F425" s="24">
        <f t="shared" si="18"/>
        <v>1</v>
      </c>
    </row>
    <row r="426" spans="1:6" x14ac:dyDescent="0.25">
      <c r="A426" s="31">
        <f t="shared" si="19"/>
        <v>424</v>
      </c>
      <c r="B426" s="33">
        <f t="shared" si="20"/>
        <v>36</v>
      </c>
      <c r="C426" s="5">
        <f>Model_30y!V426</f>
        <v>11518.51960046515</v>
      </c>
      <c r="D426" s="5">
        <f>Model_15y!V426</f>
        <v>11518.51960046515</v>
      </c>
      <c r="E426" s="2">
        <f>Model_Renter!C426</f>
        <v>11518.51960046515</v>
      </c>
      <c r="F426" s="24">
        <f t="shared" si="18"/>
        <v>1</v>
      </c>
    </row>
    <row r="427" spans="1:6" x14ac:dyDescent="0.25">
      <c r="A427" s="31">
        <f t="shared" si="19"/>
        <v>425</v>
      </c>
      <c r="B427" s="33">
        <f t="shared" si="20"/>
        <v>36</v>
      </c>
      <c r="C427" s="5">
        <f>Model_30y!V427</f>
        <v>11546.568481173146</v>
      </c>
      <c r="D427" s="5">
        <f>Model_15y!V427</f>
        <v>11546.568481173146</v>
      </c>
      <c r="E427" s="2">
        <f>Model_Renter!C427</f>
        <v>11546.568481173146</v>
      </c>
      <c r="F427" s="24">
        <f t="shared" si="18"/>
        <v>1</v>
      </c>
    </row>
    <row r="428" spans="1:6" x14ac:dyDescent="0.25">
      <c r="A428" s="31">
        <f t="shared" si="19"/>
        <v>426</v>
      </c>
      <c r="B428" s="33">
        <f t="shared" si="20"/>
        <v>36</v>
      </c>
      <c r="C428" s="5">
        <f>Model_30y!V428</f>
        <v>11574.731636493138</v>
      </c>
      <c r="D428" s="5">
        <f>Model_15y!V428</f>
        <v>11574.731636493138</v>
      </c>
      <c r="E428" s="2">
        <f>Model_Renter!C428</f>
        <v>11574.731636493138</v>
      </c>
      <c r="F428" s="24">
        <f t="shared" si="18"/>
        <v>1</v>
      </c>
    </row>
    <row r="429" spans="1:6" x14ac:dyDescent="0.25">
      <c r="A429" s="31">
        <f t="shared" si="19"/>
        <v>427</v>
      </c>
      <c r="B429" s="33">
        <f t="shared" si="20"/>
        <v>36</v>
      </c>
      <c r="C429" s="5">
        <f>Model_30y!V429</f>
        <v>11603.009531994045</v>
      </c>
      <c r="D429" s="5">
        <f>Model_15y!V429</f>
        <v>11603.009531994045</v>
      </c>
      <c r="E429" s="2">
        <f>Model_Renter!C429</f>
        <v>11603.009531994045</v>
      </c>
      <c r="F429" s="24">
        <f t="shared" si="18"/>
        <v>1</v>
      </c>
    </row>
    <row r="430" spans="1:6" x14ac:dyDescent="0.25">
      <c r="A430" s="31">
        <f t="shared" si="19"/>
        <v>428</v>
      </c>
      <c r="B430" s="33">
        <f t="shared" si="20"/>
        <v>36</v>
      </c>
      <c r="C430" s="5">
        <f>Model_30y!V430</f>
        <v>11631.402635141561</v>
      </c>
      <c r="D430" s="5">
        <f>Model_15y!V430</f>
        <v>11631.402635141561</v>
      </c>
      <c r="E430" s="2">
        <f>Model_Renter!C430</f>
        <v>11631.402635141561</v>
      </c>
      <c r="F430" s="24">
        <f t="shared" si="18"/>
        <v>1</v>
      </c>
    </row>
    <row r="431" spans="1:6" x14ac:dyDescent="0.25">
      <c r="A431" s="31">
        <f t="shared" si="19"/>
        <v>429</v>
      </c>
      <c r="B431" s="33">
        <f t="shared" si="20"/>
        <v>36</v>
      </c>
      <c r="C431" s="5">
        <f>Model_30y!V431</f>
        <v>11659.911415305907</v>
      </c>
      <c r="D431" s="5">
        <f>Model_15y!V431</f>
        <v>11659.911415305907</v>
      </c>
      <c r="E431" s="2">
        <f>Model_Renter!C431</f>
        <v>11659.911415305907</v>
      </c>
      <c r="F431" s="24">
        <f t="shared" si="18"/>
        <v>1</v>
      </c>
    </row>
    <row r="432" spans="1:6" x14ac:dyDescent="0.25">
      <c r="A432" s="31">
        <f t="shared" si="19"/>
        <v>430</v>
      </c>
      <c r="B432" s="33">
        <f t="shared" si="20"/>
        <v>36</v>
      </c>
      <c r="C432" s="5">
        <f>Model_30y!V432</f>
        <v>11688.53634376956</v>
      </c>
      <c r="D432" s="5">
        <f>Model_15y!V432</f>
        <v>11688.53634376956</v>
      </c>
      <c r="E432" s="2">
        <f>Model_Renter!C432</f>
        <v>11688.53634376956</v>
      </c>
      <c r="F432" s="24">
        <f t="shared" si="18"/>
        <v>1</v>
      </c>
    </row>
    <row r="433" spans="1:6" x14ac:dyDescent="0.25">
      <c r="A433" s="31">
        <f t="shared" si="19"/>
        <v>431</v>
      </c>
      <c r="B433" s="33">
        <f t="shared" si="20"/>
        <v>36</v>
      </c>
      <c r="C433" s="5">
        <f>Model_30y!V433</f>
        <v>11717.277893735072</v>
      </c>
      <c r="D433" s="5">
        <f>Model_15y!V433</f>
        <v>11717.277893735072</v>
      </c>
      <c r="E433" s="2">
        <f>Model_Renter!C433</f>
        <v>11717.277893735072</v>
      </c>
      <c r="F433" s="24">
        <f t="shared" si="18"/>
        <v>1</v>
      </c>
    </row>
    <row r="434" spans="1:6" x14ac:dyDescent="0.25">
      <c r="A434" s="31">
        <f t="shared" si="19"/>
        <v>432</v>
      </c>
      <c r="B434" s="33">
        <f t="shared" si="20"/>
        <v>36</v>
      </c>
      <c r="C434" s="5">
        <f>Model_30y!V434</f>
        <v>11746.136540332876</v>
      </c>
      <c r="D434" s="5">
        <f>Model_15y!V434</f>
        <v>11746.136540332876</v>
      </c>
      <c r="E434" s="2">
        <f>Model_Renter!C434</f>
        <v>11746.136540332876</v>
      </c>
      <c r="F434" s="24">
        <f t="shared" si="18"/>
        <v>1</v>
      </c>
    </row>
    <row r="435" spans="1:6" x14ac:dyDescent="0.25">
      <c r="A435" s="31">
        <f t="shared" si="19"/>
        <v>433</v>
      </c>
      <c r="B435" s="33">
        <f t="shared" si="20"/>
        <v>37</v>
      </c>
      <c r="C435" s="5">
        <f>Model_30y!V435</f>
        <v>11864.725026955159</v>
      </c>
      <c r="D435" s="5">
        <f>Model_15y!V435</f>
        <v>11864.725026955159</v>
      </c>
      <c r="E435" s="2">
        <f>Model_Renter!C435</f>
        <v>11864.725026955159</v>
      </c>
      <c r="F435" s="24">
        <f t="shared" si="18"/>
        <v>1</v>
      </c>
    </row>
    <row r="436" spans="1:6" x14ac:dyDescent="0.25">
      <c r="A436" s="31">
        <f t="shared" si="19"/>
        <v>434</v>
      </c>
      <c r="B436" s="33">
        <f t="shared" si="20"/>
        <v>37</v>
      </c>
      <c r="C436" s="5">
        <f>Model_30y!V436</f>
        <v>11893.819299959701</v>
      </c>
      <c r="D436" s="5">
        <f>Model_15y!V436</f>
        <v>11893.819299959701</v>
      </c>
      <c r="E436" s="2">
        <f>Model_Renter!C436</f>
        <v>11893.819299959701</v>
      </c>
      <c r="F436" s="24">
        <f t="shared" si="18"/>
        <v>1</v>
      </c>
    </row>
    <row r="437" spans="1:6" x14ac:dyDescent="0.25">
      <c r="A437" s="31">
        <f t="shared" si="19"/>
        <v>435</v>
      </c>
      <c r="B437" s="33">
        <f t="shared" si="20"/>
        <v>37</v>
      </c>
      <c r="C437" s="5">
        <f>Model_30y!V437</f>
        <v>11923.032106633858</v>
      </c>
      <c r="D437" s="5">
        <f>Model_15y!V437</f>
        <v>11923.032106633858</v>
      </c>
      <c r="E437" s="2">
        <f>Model_Renter!C437</f>
        <v>11923.032106633858</v>
      </c>
      <c r="F437" s="24">
        <f t="shared" si="18"/>
        <v>1</v>
      </c>
    </row>
    <row r="438" spans="1:6" x14ac:dyDescent="0.25">
      <c r="A438" s="31">
        <f t="shared" si="19"/>
        <v>436</v>
      </c>
      <c r="B438" s="33">
        <f t="shared" si="20"/>
        <v>37</v>
      </c>
      <c r="C438" s="5">
        <f>Model_30y!V438</f>
        <v>11952.363929898476</v>
      </c>
      <c r="D438" s="5">
        <f>Model_15y!V438</f>
        <v>11952.363929898476</v>
      </c>
      <c r="E438" s="2">
        <f>Model_Renter!C438</f>
        <v>11952.363929898476</v>
      </c>
      <c r="F438" s="24">
        <f t="shared" si="18"/>
        <v>1</v>
      </c>
    </row>
    <row r="439" spans="1:6" x14ac:dyDescent="0.25">
      <c r="A439" s="31">
        <f t="shared" si="19"/>
        <v>437</v>
      </c>
      <c r="B439" s="33">
        <f t="shared" si="20"/>
        <v>37</v>
      </c>
      <c r="C439" s="5">
        <f>Model_30y!V439</f>
        <v>11981.815254641871</v>
      </c>
      <c r="D439" s="5">
        <f>Model_15y!V439</f>
        <v>11981.815254641871</v>
      </c>
      <c r="E439" s="2">
        <f>Model_Renter!C439</f>
        <v>11981.815254641871</v>
      </c>
      <c r="F439" s="24">
        <f t="shared" si="18"/>
        <v>1</v>
      </c>
    </row>
    <row r="440" spans="1:6" x14ac:dyDescent="0.25">
      <c r="A440" s="31">
        <f t="shared" si="19"/>
        <v>438</v>
      </c>
      <c r="B440" s="33">
        <f t="shared" si="20"/>
        <v>37</v>
      </c>
      <c r="C440" s="5">
        <f>Model_30y!V440</f>
        <v>12011.386567727866</v>
      </c>
      <c r="D440" s="5">
        <f>Model_15y!V440</f>
        <v>12011.386567727866</v>
      </c>
      <c r="E440" s="2">
        <f>Model_Renter!C440</f>
        <v>12011.386567727866</v>
      </c>
      <c r="F440" s="24">
        <f t="shared" si="18"/>
        <v>1</v>
      </c>
    </row>
    <row r="441" spans="1:6" x14ac:dyDescent="0.25">
      <c r="A441" s="31">
        <f t="shared" si="19"/>
        <v>439</v>
      </c>
      <c r="B441" s="33">
        <f t="shared" si="20"/>
        <v>37</v>
      </c>
      <c r="C441" s="5">
        <f>Model_30y!V441</f>
        <v>12041.078358003819</v>
      </c>
      <c r="D441" s="5">
        <f>Model_15y!V441</f>
        <v>12041.078358003819</v>
      </c>
      <c r="E441" s="2">
        <f>Model_Renter!C441</f>
        <v>12041.078358003819</v>
      </c>
      <c r="F441" s="24">
        <f t="shared" si="18"/>
        <v>1</v>
      </c>
    </row>
    <row r="442" spans="1:6" x14ac:dyDescent="0.25">
      <c r="A442" s="31">
        <f t="shared" si="19"/>
        <v>440</v>
      </c>
      <c r="B442" s="33">
        <f t="shared" si="20"/>
        <v>37</v>
      </c>
      <c r="C442" s="5">
        <f>Model_30y!V442</f>
        <v>12070.891116308712</v>
      </c>
      <c r="D442" s="5">
        <f>Model_15y!V442</f>
        <v>12070.891116308712</v>
      </c>
      <c r="E442" s="2">
        <f>Model_Renter!C442</f>
        <v>12070.891116308712</v>
      </c>
      <c r="F442" s="24">
        <f t="shared" si="18"/>
        <v>1</v>
      </c>
    </row>
    <row r="443" spans="1:6" x14ac:dyDescent="0.25">
      <c r="A443" s="31">
        <f t="shared" si="19"/>
        <v>441</v>
      </c>
      <c r="B443" s="33">
        <f t="shared" si="20"/>
        <v>37</v>
      </c>
      <c r="C443" s="5">
        <f>Model_30y!V443</f>
        <v>12100.825335481271</v>
      </c>
      <c r="D443" s="5">
        <f>Model_15y!V443</f>
        <v>12100.825335481271</v>
      </c>
      <c r="E443" s="2">
        <f>Model_Renter!C443</f>
        <v>12100.825335481271</v>
      </c>
      <c r="F443" s="24">
        <f t="shared" si="18"/>
        <v>1</v>
      </c>
    </row>
    <row r="444" spans="1:6" x14ac:dyDescent="0.25">
      <c r="A444" s="31">
        <f>A443+1</f>
        <v>442</v>
      </c>
      <c r="B444" s="33">
        <f t="shared" si="20"/>
        <v>37</v>
      </c>
      <c r="C444" s="5">
        <f>Model_30y!V444</f>
        <v>12130.881510368108</v>
      </c>
      <c r="D444" s="5">
        <f>Model_15y!V444</f>
        <v>12130.881510368108</v>
      </c>
      <c r="E444" s="2">
        <f>Model_Renter!C444</f>
        <v>12130.881510368108</v>
      </c>
      <c r="F444" s="24">
        <f t="shared" si="18"/>
        <v>1</v>
      </c>
    </row>
    <row r="445" spans="1:6" x14ac:dyDescent="0.25">
      <c r="A445" s="31">
        <f t="shared" ref="A445:A508" si="21">A444+1</f>
        <v>443</v>
      </c>
      <c r="B445" s="33">
        <f t="shared" si="20"/>
        <v>37</v>
      </c>
      <c r="C445" s="5">
        <f>Model_30y!V445</f>
        <v>12161.060137831895</v>
      </c>
      <c r="D445" s="5">
        <f>Model_15y!V445</f>
        <v>12161.060137831895</v>
      </c>
      <c r="E445" s="2">
        <f>Model_Renter!C445</f>
        <v>12161.060137831895</v>
      </c>
      <c r="F445" s="24">
        <f t="shared" si="18"/>
        <v>1</v>
      </c>
    </row>
    <row r="446" spans="1:6" x14ac:dyDescent="0.25">
      <c r="A446" s="31">
        <f t="shared" si="21"/>
        <v>444</v>
      </c>
      <c r="B446" s="33">
        <f t="shared" si="20"/>
        <v>37</v>
      </c>
      <c r="C446" s="5">
        <f>Model_30y!V446</f>
        <v>12191.361716759589</v>
      </c>
      <c r="D446" s="5">
        <f>Model_15y!V446</f>
        <v>12191.361716759589</v>
      </c>
      <c r="E446" s="2">
        <f>Model_Renter!C446</f>
        <v>12191.361716759589</v>
      </c>
      <c r="F446" s="24">
        <f t="shared" si="18"/>
        <v>1</v>
      </c>
    </row>
    <row r="447" spans="1:6" x14ac:dyDescent="0.25">
      <c r="A447" s="31">
        <f t="shared" si="21"/>
        <v>445</v>
      </c>
      <c r="B447" s="33">
        <f t="shared" si="20"/>
        <v>38</v>
      </c>
      <c r="C447" s="5">
        <f>Model_30y!V447</f>
        <v>12315.879627712986</v>
      </c>
      <c r="D447" s="5">
        <f>Model_15y!V447</f>
        <v>12315.879627712986</v>
      </c>
      <c r="E447" s="2">
        <f>Model_Renter!C447</f>
        <v>12315.879627712986</v>
      </c>
      <c r="F447" s="24">
        <f t="shared" si="18"/>
        <v>1</v>
      </c>
    </row>
    <row r="448" spans="1:6" x14ac:dyDescent="0.25">
      <c r="A448" s="31">
        <f t="shared" si="21"/>
        <v>446</v>
      </c>
      <c r="B448" s="33">
        <f t="shared" si="20"/>
        <v>38</v>
      </c>
      <c r="C448" s="5">
        <f>Model_30y!V448</f>
        <v>12346.428614367756</v>
      </c>
      <c r="D448" s="5">
        <f>Model_15y!V448</f>
        <v>12346.428614367756</v>
      </c>
      <c r="E448" s="2">
        <f>Model_Renter!C448</f>
        <v>12346.428614367756</v>
      </c>
      <c r="F448" s="24">
        <f t="shared" si="18"/>
        <v>1</v>
      </c>
    </row>
    <row r="449" spans="1:6" x14ac:dyDescent="0.25">
      <c r="A449" s="31">
        <f t="shared" si="21"/>
        <v>447</v>
      </c>
      <c r="B449" s="33">
        <f t="shared" si="20"/>
        <v>38</v>
      </c>
      <c r="C449" s="5">
        <f>Model_30y!V449</f>
        <v>12377.102061375623</v>
      </c>
      <c r="D449" s="5">
        <f>Model_15y!V449</f>
        <v>12377.102061375623</v>
      </c>
      <c r="E449" s="2">
        <f>Model_Renter!C449</f>
        <v>12377.102061375623</v>
      </c>
      <c r="F449" s="24">
        <f t="shared" si="18"/>
        <v>1</v>
      </c>
    </row>
    <row r="450" spans="1:6" x14ac:dyDescent="0.25">
      <c r="A450" s="31">
        <f t="shared" si="21"/>
        <v>448</v>
      </c>
      <c r="B450" s="33">
        <f t="shared" si="20"/>
        <v>38</v>
      </c>
      <c r="C450" s="5">
        <f>Model_30y!V450</f>
        <v>12407.90047580347</v>
      </c>
      <c r="D450" s="5">
        <f>Model_15y!V450</f>
        <v>12407.90047580347</v>
      </c>
      <c r="E450" s="2">
        <f>Model_Renter!C450</f>
        <v>12407.90047580347</v>
      </c>
      <c r="F450" s="24">
        <f t="shared" si="18"/>
        <v>1</v>
      </c>
    </row>
    <row r="451" spans="1:6" x14ac:dyDescent="0.25">
      <c r="A451" s="31">
        <f t="shared" si="21"/>
        <v>449</v>
      </c>
      <c r="B451" s="33">
        <f t="shared" si="20"/>
        <v>38</v>
      </c>
      <c r="C451" s="5">
        <f>Model_30y!V451</f>
        <v>12438.824366784036</v>
      </c>
      <c r="D451" s="5">
        <f>Model_15y!V451</f>
        <v>12438.824366784036</v>
      </c>
      <c r="E451" s="2">
        <f>Model_Renter!C451</f>
        <v>12438.824366784036</v>
      </c>
      <c r="F451" s="24">
        <f t="shared" ref="F451:F514" si="22">IF(AND(C451-D451&lt;1, C451-E451&lt;1), 1, 0)</f>
        <v>1</v>
      </c>
    </row>
    <row r="452" spans="1:6" x14ac:dyDescent="0.25">
      <c r="A452" s="31">
        <f t="shared" si="21"/>
        <v>450</v>
      </c>
      <c r="B452" s="33">
        <f t="shared" ref="B452:B515" si="23">ROUNDUP(A452/12, 0)</f>
        <v>38</v>
      </c>
      <c r="C452" s="5">
        <f>Model_30y!V452</f>
        <v>12469.87424552433</v>
      </c>
      <c r="D452" s="5">
        <f>Model_15y!V452</f>
        <v>12469.87424552433</v>
      </c>
      <c r="E452" s="2">
        <f>Model_Renter!C452</f>
        <v>12469.87424552433</v>
      </c>
      <c r="F452" s="24">
        <f t="shared" si="22"/>
        <v>1</v>
      </c>
    </row>
    <row r="453" spans="1:6" x14ac:dyDescent="0.25">
      <c r="A453" s="31">
        <f t="shared" si="21"/>
        <v>451</v>
      </c>
      <c r="B453" s="33">
        <f t="shared" si="23"/>
        <v>38</v>
      </c>
      <c r="C453" s="5">
        <f>Model_30y!V453</f>
        <v>12501.050625314079</v>
      </c>
      <c r="D453" s="5">
        <f>Model_15y!V453</f>
        <v>12501.050625314079</v>
      </c>
      <c r="E453" s="2">
        <f>Model_Renter!C453</f>
        <v>12501.050625314079</v>
      </c>
      <c r="F453" s="24">
        <f t="shared" si="22"/>
        <v>1</v>
      </c>
    </row>
    <row r="454" spans="1:6" x14ac:dyDescent="0.25">
      <c r="A454" s="31">
        <f t="shared" si="21"/>
        <v>452</v>
      </c>
      <c r="B454" s="33">
        <f t="shared" si="23"/>
        <v>38</v>
      </c>
      <c r="C454" s="5">
        <f>Model_30y!V454</f>
        <v>12532.354021534216</v>
      </c>
      <c r="D454" s="5">
        <f>Model_15y!V454</f>
        <v>12532.354021534216</v>
      </c>
      <c r="E454" s="2">
        <f>Model_Renter!C454</f>
        <v>12532.354021534216</v>
      </c>
      <c r="F454" s="24">
        <f t="shared" si="22"/>
        <v>1</v>
      </c>
    </row>
    <row r="455" spans="1:6" x14ac:dyDescent="0.25">
      <c r="A455" s="31">
        <f t="shared" si="21"/>
        <v>453</v>
      </c>
      <c r="B455" s="33">
        <f t="shared" si="23"/>
        <v>38</v>
      </c>
      <c r="C455" s="5">
        <f>Model_30y!V455</f>
        <v>12563.784951665404</v>
      </c>
      <c r="D455" s="5">
        <f>Model_15y!V455</f>
        <v>12563.784951665404</v>
      </c>
      <c r="E455" s="2">
        <f>Model_Renter!C455</f>
        <v>12563.784951665404</v>
      </c>
      <c r="F455" s="24">
        <f t="shared" si="22"/>
        <v>1</v>
      </c>
    </row>
    <row r="456" spans="1:6" x14ac:dyDescent="0.25">
      <c r="A456" s="31">
        <f t="shared" si="21"/>
        <v>454</v>
      </c>
      <c r="B456" s="33">
        <f t="shared" si="23"/>
        <v>38</v>
      </c>
      <c r="C456" s="5">
        <f>Model_30y!V456</f>
        <v>12595.343935296582</v>
      </c>
      <c r="D456" s="5">
        <f>Model_15y!V456</f>
        <v>12595.343935296582</v>
      </c>
      <c r="E456" s="2">
        <f>Model_Renter!C456</f>
        <v>12595.343935296582</v>
      </c>
      <c r="F456" s="24">
        <f t="shared" si="22"/>
        <v>1</v>
      </c>
    </row>
    <row r="457" spans="1:6" x14ac:dyDescent="0.25">
      <c r="A457" s="31">
        <f t="shared" si="21"/>
        <v>455</v>
      </c>
      <c r="B457" s="33">
        <f t="shared" si="23"/>
        <v>38</v>
      </c>
      <c r="C457" s="5">
        <f>Model_30y!V457</f>
        <v>12627.031494133558</v>
      </c>
      <c r="D457" s="5">
        <f>Model_15y!V457</f>
        <v>12627.031494133558</v>
      </c>
      <c r="E457" s="2">
        <f>Model_Renter!C457</f>
        <v>12627.031494133558</v>
      </c>
      <c r="F457" s="24">
        <f t="shared" si="22"/>
        <v>1</v>
      </c>
    </row>
    <row r="458" spans="1:6" x14ac:dyDescent="0.25">
      <c r="A458" s="31">
        <f t="shared" si="21"/>
        <v>456</v>
      </c>
      <c r="B458" s="33">
        <f t="shared" si="23"/>
        <v>38</v>
      </c>
      <c r="C458" s="5">
        <f>Model_30y!V458</f>
        <v>12658.84815200764</v>
      </c>
      <c r="D458" s="5">
        <f>Model_15y!V458</f>
        <v>12658.84815200764</v>
      </c>
      <c r="E458" s="2">
        <f>Model_Renter!C458</f>
        <v>12658.84815200764</v>
      </c>
      <c r="F458" s="24">
        <f t="shared" si="22"/>
        <v>1</v>
      </c>
    </row>
    <row r="459" spans="1:6" x14ac:dyDescent="0.25">
      <c r="A459" s="31">
        <f t="shared" si="21"/>
        <v>457</v>
      </c>
      <c r="B459" s="33">
        <f t="shared" si="23"/>
        <v>39</v>
      </c>
      <c r="C459" s="5">
        <f>Model_30y!V459</f>
        <v>12789.591958508705</v>
      </c>
      <c r="D459" s="5">
        <f>Model_15y!V459</f>
        <v>12789.591958508705</v>
      </c>
      <c r="E459" s="2">
        <f>Model_Renter!C459</f>
        <v>12789.591958508705</v>
      </c>
      <c r="F459" s="24">
        <f t="shared" si="22"/>
        <v>1</v>
      </c>
    </row>
    <row r="460" spans="1:6" x14ac:dyDescent="0.25">
      <c r="A460" s="31">
        <f t="shared" si="21"/>
        <v>458</v>
      </c>
      <c r="B460" s="33">
        <f t="shared" si="23"/>
        <v>39</v>
      </c>
      <c r="C460" s="5">
        <f>Model_30y!V460</f>
        <v>12821.668394496215</v>
      </c>
      <c r="D460" s="5">
        <f>Model_15y!V460</f>
        <v>12821.668394496215</v>
      </c>
      <c r="E460" s="2">
        <f>Model_Renter!C460</f>
        <v>12821.668394496215</v>
      </c>
      <c r="F460" s="24">
        <f t="shared" si="22"/>
        <v>1</v>
      </c>
    </row>
    <row r="461" spans="1:6" x14ac:dyDescent="0.25">
      <c r="A461" s="31">
        <f t="shared" si="21"/>
        <v>459</v>
      </c>
      <c r="B461" s="33">
        <f t="shared" si="23"/>
        <v>39</v>
      </c>
      <c r="C461" s="5">
        <f>Model_30y!V461</f>
        <v>12853.875513854475</v>
      </c>
      <c r="D461" s="5">
        <f>Model_15y!V461</f>
        <v>12853.875513854475</v>
      </c>
      <c r="E461" s="2">
        <f>Model_Renter!C461</f>
        <v>12853.875513854475</v>
      </c>
      <c r="F461" s="24">
        <f t="shared" si="22"/>
        <v>1</v>
      </c>
    </row>
    <row r="462" spans="1:6" x14ac:dyDescent="0.25">
      <c r="A462" s="31">
        <f t="shared" si="21"/>
        <v>460</v>
      </c>
      <c r="B462" s="33">
        <f t="shared" si="23"/>
        <v>39</v>
      </c>
      <c r="C462" s="5">
        <f>Model_30y!V462</f>
        <v>12886.213849003714</v>
      </c>
      <c r="D462" s="5">
        <f>Model_15y!V462</f>
        <v>12886.213849003714</v>
      </c>
      <c r="E462" s="2">
        <f>Model_Renter!C462</f>
        <v>12886.213849003714</v>
      </c>
      <c r="F462" s="24">
        <f t="shared" si="22"/>
        <v>1</v>
      </c>
    </row>
    <row r="463" spans="1:6" x14ac:dyDescent="0.25">
      <c r="A463" s="31">
        <f t="shared" si="21"/>
        <v>461</v>
      </c>
      <c r="B463" s="33">
        <f t="shared" si="23"/>
        <v>39</v>
      </c>
      <c r="C463" s="5">
        <f>Model_30y!V463</f>
        <v>12918.68393453331</v>
      </c>
      <c r="D463" s="5">
        <f>Model_15y!V463</f>
        <v>12918.68393453331</v>
      </c>
      <c r="E463" s="2">
        <f>Model_Renter!C463</f>
        <v>12918.68393453331</v>
      </c>
      <c r="F463" s="24">
        <f t="shared" si="22"/>
        <v>1</v>
      </c>
    </row>
    <row r="464" spans="1:6" x14ac:dyDescent="0.25">
      <c r="A464" s="31">
        <f t="shared" si="21"/>
        <v>462</v>
      </c>
      <c r="B464" s="33">
        <f t="shared" si="23"/>
        <v>39</v>
      </c>
      <c r="C464" s="5">
        <f>Model_30y!V464</f>
        <v>12951.286307210617</v>
      </c>
      <c r="D464" s="5">
        <f>Model_15y!V464</f>
        <v>12951.286307210617</v>
      </c>
      <c r="E464" s="2">
        <f>Model_Renter!C464</f>
        <v>12951.286307210617</v>
      </c>
      <c r="F464" s="24">
        <f t="shared" si="22"/>
        <v>1</v>
      </c>
    </row>
    <row r="465" spans="1:6" x14ac:dyDescent="0.25">
      <c r="A465" s="31">
        <f t="shared" si="21"/>
        <v>463</v>
      </c>
      <c r="B465" s="33">
        <f t="shared" si="23"/>
        <v>39</v>
      </c>
      <c r="C465" s="5">
        <f>Model_30y!V465</f>
        <v>12984.021505989853</v>
      </c>
      <c r="D465" s="5">
        <f>Model_15y!V465</f>
        <v>12984.021505989853</v>
      </c>
      <c r="E465" s="2">
        <f>Model_Renter!C465</f>
        <v>12984.021505989853</v>
      </c>
      <c r="F465" s="24">
        <f t="shared" si="22"/>
        <v>1</v>
      </c>
    </row>
    <row r="466" spans="1:6" x14ac:dyDescent="0.25">
      <c r="A466" s="31">
        <f t="shared" si="21"/>
        <v>464</v>
      </c>
      <c r="B466" s="33">
        <f t="shared" si="23"/>
        <v>39</v>
      </c>
      <c r="C466" s="5">
        <f>Model_30y!V466</f>
        <v>13016.890072020999</v>
      </c>
      <c r="D466" s="5">
        <f>Model_15y!V466</f>
        <v>13016.890072020999</v>
      </c>
      <c r="E466" s="2">
        <f>Model_Renter!C466</f>
        <v>13016.890072020999</v>
      </c>
      <c r="F466" s="24">
        <f t="shared" si="22"/>
        <v>1</v>
      </c>
    </row>
    <row r="467" spans="1:6" x14ac:dyDescent="0.25">
      <c r="A467" s="31">
        <f t="shared" si="21"/>
        <v>465</v>
      </c>
      <c r="B467" s="33">
        <f t="shared" si="23"/>
        <v>39</v>
      </c>
      <c r="C467" s="5">
        <f>Model_30y!V467</f>
        <v>13049.892548658747</v>
      </c>
      <c r="D467" s="5">
        <f>Model_15y!V467</f>
        <v>13049.892548658747</v>
      </c>
      <c r="E467" s="2">
        <f>Model_Renter!C467</f>
        <v>13049.892548658747</v>
      </c>
      <c r="F467" s="24">
        <f t="shared" si="22"/>
        <v>1</v>
      </c>
    </row>
    <row r="468" spans="1:6" x14ac:dyDescent="0.25">
      <c r="A468" s="31">
        <f t="shared" si="21"/>
        <v>466</v>
      </c>
      <c r="B468" s="33">
        <f t="shared" si="23"/>
        <v>39</v>
      </c>
      <c r="C468" s="5">
        <f>Model_30y!V468</f>
        <v>13083.029481471482</v>
      </c>
      <c r="D468" s="5">
        <f>Model_15y!V468</f>
        <v>13083.029481471482</v>
      </c>
      <c r="E468" s="2">
        <f>Model_Renter!C468</f>
        <v>13083.029481471482</v>
      </c>
      <c r="F468" s="24">
        <f t="shared" si="22"/>
        <v>1</v>
      </c>
    </row>
    <row r="469" spans="1:6" x14ac:dyDescent="0.25">
      <c r="A469" s="31">
        <f t="shared" si="21"/>
        <v>467</v>
      </c>
      <c r="B469" s="33">
        <f t="shared" si="23"/>
        <v>39</v>
      </c>
      <c r="C469" s="5">
        <f>Model_30y!V469</f>
        <v>13116.301418250308</v>
      </c>
      <c r="D469" s="5">
        <f>Model_15y!V469</f>
        <v>13116.301418250308</v>
      </c>
      <c r="E469" s="2">
        <f>Model_Renter!C469</f>
        <v>13116.301418250308</v>
      </c>
      <c r="F469" s="24">
        <f t="shared" si="22"/>
        <v>1</v>
      </c>
    </row>
    <row r="470" spans="1:6" x14ac:dyDescent="0.25">
      <c r="A470" s="31">
        <f t="shared" si="21"/>
        <v>468</v>
      </c>
      <c r="B470" s="33">
        <f t="shared" si="23"/>
        <v>39</v>
      </c>
      <c r="C470" s="5">
        <f>Model_30y!V470</f>
        <v>13149.708909018093</v>
      </c>
      <c r="D470" s="5">
        <f>Model_15y!V470</f>
        <v>13149.708909018093</v>
      </c>
      <c r="E470" s="2">
        <f>Model_Renter!C470</f>
        <v>13149.708909018093</v>
      </c>
      <c r="F470" s="24">
        <f t="shared" si="22"/>
        <v>1</v>
      </c>
    </row>
    <row r="471" spans="1:6" x14ac:dyDescent="0.25">
      <c r="A471" s="31">
        <f t="shared" si="21"/>
        <v>469</v>
      </c>
      <c r="B471" s="33">
        <f t="shared" si="23"/>
        <v>40</v>
      </c>
      <c r="C471" s="5">
        <f>Model_30y!V471</f>
        <v>13286.989905844212</v>
      </c>
      <c r="D471" s="5">
        <f>Model_15y!V471</f>
        <v>13286.989905844212</v>
      </c>
      <c r="E471" s="2">
        <f>Model_Renter!C471</f>
        <v>13286.989905844212</v>
      </c>
      <c r="F471" s="24">
        <f t="shared" si="22"/>
        <v>1</v>
      </c>
    </row>
    <row r="472" spans="1:6" x14ac:dyDescent="0.25">
      <c r="A472" s="31">
        <f t="shared" si="21"/>
        <v>470</v>
      </c>
      <c r="B472" s="33">
        <f t="shared" si="23"/>
        <v>40</v>
      </c>
      <c r="C472" s="5">
        <f>Model_30y!V472</f>
        <v>13320.670163631095</v>
      </c>
      <c r="D472" s="5">
        <f>Model_15y!V472</f>
        <v>13320.670163631095</v>
      </c>
      <c r="E472" s="2">
        <f>Model_Renter!C472</f>
        <v>13320.670163631095</v>
      </c>
      <c r="F472" s="24">
        <f t="shared" si="22"/>
        <v>1</v>
      </c>
    </row>
    <row r="473" spans="1:6" x14ac:dyDescent="0.25">
      <c r="A473" s="31">
        <f t="shared" si="21"/>
        <v>471</v>
      </c>
      <c r="B473" s="33">
        <f t="shared" si="23"/>
        <v>40</v>
      </c>
      <c r="C473" s="5">
        <f>Model_30y!V473</f>
        <v>13354.487638957267</v>
      </c>
      <c r="D473" s="5">
        <f>Model_15y!V473</f>
        <v>13354.487638957267</v>
      </c>
      <c r="E473" s="2">
        <f>Model_Renter!C473</f>
        <v>13354.487638957267</v>
      </c>
      <c r="F473" s="24">
        <f t="shared" si="22"/>
        <v>1</v>
      </c>
    </row>
    <row r="474" spans="1:6" x14ac:dyDescent="0.25">
      <c r="A474" s="31">
        <f t="shared" si="21"/>
        <v>472</v>
      </c>
      <c r="B474" s="33">
        <f t="shared" si="23"/>
        <v>40</v>
      </c>
      <c r="C474" s="5">
        <f>Model_30y!V474</f>
        <v>13388.442890863969</v>
      </c>
      <c r="D474" s="5">
        <f>Model_15y!V474</f>
        <v>13388.442890863969</v>
      </c>
      <c r="E474" s="2">
        <f>Model_Renter!C474</f>
        <v>13388.442890863969</v>
      </c>
      <c r="F474" s="24">
        <f t="shared" si="22"/>
        <v>1</v>
      </c>
    </row>
    <row r="475" spans="1:6" x14ac:dyDescent="0.25">
      <c r="A475" s="31">
        <f t="shared" si="21"/>
        <v>473</v>
      </c>
      <c r="B475" s="33">
        <f t="shared" si="23"/>
        <v>40</v>
      </c>
      <c r="C475" s="5">
        <f>Model_30y!V475</f>
        <v>13422.536480670044</v>
      </c>
      <c r="D475" s="5">
        <f>Model_15y!V475</f>
        <v>13422.536480670044</v>
      </c>
      <c r="E475" s="2">
        <f>Model_Renter!C475</f>
        <v>13422.536480670044</v>
      </c>
      <c r="F475" s="24">
        <f t="shared" si="22"/>
        <v>1</v>
      </c>
    </row>
    <row r="476" spans="1:6" x14ac:dyDescent="0.25">
      <c r="A476" s="31">
        <f t="shared" si="21"/>
        <v>474</v>
      </c>
      <c r="B476" s="33">
        <f t="shared" si="23"/>
        <v>40</v>
      </c>
      <c r="C476" s="5">
        <f>Model_30y!V476</f>
        <v>13456.768971981217</v>
      </c>
      <c r="D476" s="5">
        <f>Model_15y!V476</f>
        <v>13456.768971981217</v>
      </c>
      <c r="E476" s="2">
        <f>Model_Renter!C476</f>
        <v>13456.768971981217</v>
      </c>
      <c r="F476" s="24">
        <f t="shared" si="22"/>
        <v>1</v>
      </c>
    </row>
    <row r="477" spans="1:6" x14ac:dyDescent="0.25">
      <c r="A477" s="31">
        <f t="shared" si="21"/>
        <v>475</v>
      </c>
      <c r="B477" s="33">
        <f t="shared" si="23"/>
        <v>40</v>
      </c>
      <c r="C477" s="5">
        <f>Model_30y!V477</f>
        <v>13491.140930699416</v>
      </c>
      <c r="D477" s="5">
        <f>Model_15y!V477</f>
        <v>13491.140930699416</v>
      </c>
      <c r="E477" s="2">
        <f>Model_Renter!C477</f>
        <v>13491.140930699416</v>
      </c>
      <c r="F477" s="24">
        <f t="shared" si="22"/>
        <v>1</v>
      </c>
    </row>
    <row r="478" spans="1:6" x14ac:dyDescent="0.25">
      <c r="A478" s="31">
        <f t="shared" si="21"/>
        <v>476</v>
      </c>
      <c r="B478" s="33">
        <f t="shared" si="23"/>
        <v>40</v>
      </c>
      <c r="C478" s="5">
        <f>Model_30y!V478</f>
        <v>13525.652925032118</v>
      </c>
      <c r="D478" s="5">
        <f>Model_15y!V478</f>
        <v>13525.652925032118</v>
      </c>
      <c r="E478" s="2">
        <f>Model_Renter!C478</f>
        <v>13525.652925032118</v>
      </c>
      <c r="F478" s="24">
        <f t="shared" si="22"/>
        <v>1</v>
      </c>
    </row>
    <row r="479" spans="1:6" x14ac:dyDescent="0.25">
      <c r="A479" s="31">
        <f t="shared" si="21"/>
        <v>477</v>
      </c>
      <c r="B479" s="33">
        <f t="shared" si="23"/>
        <v>40</v>
      </c>
      <c r="C479" s="5">
        <f>Model_30y!V479</f>
        <v>13560.305525501752</v>
      </c>
      <c r="D479" s="5">
        <f>Model_15y!V479</f>
        <v>13560.305525501752</v>
      </c>
      <c r="E479" s="2">
        <f>Model_Renter!C479</f>
        <v>13560.305525501752</v>
      </c>
      <c r="F479" s="24">
        <f t="shared" si="22"/>
        <v>1</v>
      </c>
    </row>
    <row r="480" spans="1:6" x14ac:dyDescent="0.25">
      <c r="A480" s="31">
        <f t="shared" si="21"/>
        <v>478</v>
      </c>
      <c r="B480" s="33">
        <f t="shared" si="23"/>
        <v>40</v>
      </c>
      <c r="C480" s="5">
        <f>Model_30y!V480</f>
        <v>13595.099304955125</v>
      </c>
      <c r="D480" s="5">
        <f>Model_15y!V480</f>
        <v>13595.099304955125</v>
      </c>
      <c r="E480" s="2">
        <f>Model_Renter!C480</f>
        <v>13595.099304955125</v>
      </c>
      <c r="F480" s="24">
        <f t="shared" si="22"/>
        <v>1</v>
      </c>
    </row>
    <row r="481" spans="1:6" x14ac:dyDescent="0.25">
      <c r="A481" s="31">
        <f t="shared" si="21"/>
        <v>479</v>
      </c>
      <c r="B481" s="33">
        <f t="shared" si="23"/>
        <v>40</v>
      </c>
      <c r="C481" s="5">
        <f>Model_30y!V481</f>
        <v>13630.034838572894</v>
      </c>
      <c r="D481" s="5">
        <f>Model_15y!V481</f>
        <v>13630.034838572894</v>
      </c>
      <c r="E481" s="2">
        <f>Model_Renter!C481</f>
        <v>13630.034838572894</v>
      </c>
      <c r="F481" s="24">
        <f t="shared" si="22"/>
        <v>1</v>
      </c>
    </row>
    <row r="482" spans="1:6" x14ac:dyDescent="0.25">
      <c r="A482" s="31">
        <f t="shared" si="21"/>
        <v>480</v>
      </c>
      <c r="B482" s="33">
        <f t="shared" si="23"/>
        <v>40</v>
      </c>
      <c r="C482" s="5">
        <f>Model_30y!V482</f>
        <v>13665.112703879066</v>
      </c>
      <c r="D482" s="5">
        <f>Model_15y!V482</f>
        <v>13665.112703879066</v>
      </c>
      <c r="E482" s="2">
        <f>Model_Renter!C482</f>
        <v>13665.112703879066</v>
      </c>
      <c r="F482" s="24">
        <f t="shared" si="22"/>
        <v>1</v>
      </c>
    </row>
    <row r="483" spans="1:6" x14ac:dyDescent="0.25">
      <c r="A483" s="31">
        <f t="shared" si="21"/>
        <v>481</v>
      </c>
      <c r="B483" s="33">
        <f t="shared" si="23"/>
        <v>41</v>
      </c>
      <c r="C483" s="5">
        <f>Model_30y!V483</f>
        <v>13809.257750546491</v>
      </c>
      <c r="D483" s="5">
        <f>Model_15y!V483</f>
        <v>13809.257750546491</v>
      </c>
      <c r="E483" s="2">
        <f>Model_Renter!C483</f>
        <v>13809.257750546491</v>
      </c>
      <c r="F483" s="24">
        <f t="shared" si="22"/>
        <v>1</v>
      </c>
    </row>
    <row r="484" spans="1:6" x14ac:dyDescent="0.25">
      <c r="A484" s="31">
        <f t="shared" si="21"/>
        <v>482</v>
      </c>
      <c r="B484" s="33">
        <f t="shared" si="23"/>
        <v>41</v>
      </c>
      <c r="C484" s="5">
        <f>Model_30y!V484</f>
        <v>13844.62202122272</v>
      </c>
      <c r="D484" s="5">
        <f>Model_15y!V484</f>
        <v>13844.62202122272</v>
      </c>
      <c r="E484" s="2">
        <f>Model_Renter!C484</f>
        <v>13844.62202122272</v>
      </c>
      <c r="F484" s="24">
        <f t="shared" si="22"/>
        <v>1</v>
      </c>
    </row>
    <row r="485" spans="1:6" x14ac:dyDescent="0.25">
      <c r="A485" s="31">
        <f t="shared" si="21"/>
        <v>483</v>
      </c>
      <c r="B485" s="33">
        <f t="shared" si="23"/>
        <v>41</v>
      </c>
      <c r="C485" s="5">
        <f>Model_30y!V485</f>
        <v>13880.130370315201</v>
      </c>
      <c r="D485" s="5">
        <f>Model_15y!V485</f>
        <v>13880.130370315201</v>
      </c>
      <c r="E485" s="2">
        <f>Model_Renter!C485</f>
        <v>13880.130370315201</v>
      </c>
      <c r="F485" s="24">
        <f t="shared" si="22"/>
        <v>1</v>
      </c>
    </row>
    <row r="486" spans="1:6" x14ac:dyDescent="0.25">
      <c r="A486" s="31">
        <f t="shared" si="21"/>
        <v>484</v>
      </c>
      <c r="B486" s="33">
        <f t="shared" si="23"/>
        <v>41</v>
      </c>
      <c r="C486" s="5">
        <f>Model_30y!V486</f>
        <v>13915.783384817238</v>
      </c>
      <c r="D486" s="5">
        <f>Model_15y!V486</f>
        <v>13915.783384817238</v>
      </c>
      <c r="E486" s="2">
        <f>Model_Renter!C486</f>
        <v>13915.783384817238</v>
      </c>
      <c r="F486" s="24">
        <f t="shared" si="22"/>
        <v>1</v>
      </c>
    </row>
    <row r="487" spans="1:6" x14ac:dyDescent="0.25">
      <c r="A487" s="31">
        <f t="shared" si="21"/>
        <v>485</v>
      </c>
      <c r="B487" s="33">
        <f t="shared" si="23"/>
        <v>41</v>
      </c>
      <c r="C487" s="5">
        <f>Model_30y!V487</f>
        <v>13951.581654113617</v>
      </c>
      <c r="D487" s="5">
        <f>Model_15y!V487</f>
        <v>13951.581654113617</v>
      </c>
      <c r="E487" s="2">
        <f>Model_Renter!C487</f>
        <v>13951.581654113617</v>
      </c>
      <c r="F487" s="24">
        <f t="shared" si="22"/>
        <v>1</v>
      </c>
    </row>
    <row r="488" spans="1:6" x14ac:dyDescent="0.25">
      <c r="A488" s="31">
        <f t="shared" si="21"/>
        <v>486</v>
      </c>
      <c r="B488" s="33">
        <f t="shared" si="23"/>
        <v>41</v>
      </c>
      <c r="C488" s="5">
        <f>Model_30y!V488</f>
        <v>13987.525769990349</v>
      </c>
      <c r="D488" s="5">
        <f>Model_15y!V488</f>
        <v>13987.525769990349</v>
      </c>
      <c r="E488" s="2">
        <f>Model_Renter!C488</f>
        <v>13987.525769990349</v>
      </c>
      <c r="F488" s="24">
        <f t="shared" si="22"/>
        <v>1</v>
      </c>
    </row>
    <row r="489" spans="1:6" x14ac:dyDescent="0.25">
      <c r="A489" s="31">
        <f t="shared" si="21"/>
        <v>487</v>
      </c>
      <c r="B489" s="33">
        <f t="shared" si="23"/>
        <v>41</v>
      </c>
      <c r="C489" s="5">
        <f>Model_30y!V489</f>
        <v>14023.616326644458</v>
      </c>
      <c r="D489" s="5">
        <f>Model_15y!V489</f>
        <v>14023.616326644458</v>
      </c>
      <c r="E489" s="2">
        <f>Model_Renter!C489</f>
        <v>14023.616326644458</v>
      </c>
      <c r="F489" s="24">
        <f t="shared" si="22"/>
        <v>1</v>
      </c>
    </row>
    <row r="490" spans="1:6" x14ac:dyDescent="0.25">
      <c r="A490" s="31">
        <f t="shared" si="21"/>
        <v>488</v>
      </c>
      <c r="B490" s="33">
        <f t="shared" si="23"/>
        <v>41</v>
      </c>
      <c r="C490" s="5">
        <f>Model_30y!V490</f>
        <v>14059.853920693795</v>
      </c>
      <c r="D490" s="5">
        <f>Model_15y!V490</f>
        <v>14059.853920693795</v>
      </c>
      <c r="E490" s="2">
        <f>Model_Renter!C490</f>
        <v>14059.853920693795</v>
      </c>
      <c r="F490" s="24">
        <f t="shared" si="22"/>
        <v>1</v>
      </c>
    </row>
    <row r="491" spans="1:6" x14ac:dyDescent="0.25">
      <c r="A491" s="31">
        <f t="shared" si="21"/>
        <v>489</v>
      </c>
      <c r="B491" s="33">
        <f t="shared" si="23"/>
        <v>41</v>
      </c>
      <c r="C491" s="5">
        <f>Model_30y!V491</f>
        <v>14096.239151186912</v>
      </c>
      <c r="D491" s="5">
        <f>Model_15y!V491</f>
        <v>14096.239151186912</v>
      </c>
      <c r="E491" s="2">
        <f>Model_Renter!C491</f>
        <v>14096.239151186912</v>
      </c>
      <c r="F491" s="24">
        <f t="shared" si="22"/>
        <v>1</v>
      </c>
    </row>
    <row r="492" spans="1:6" x14ac:dyDescent="0.25">
      <c r="A492" s="31">
        <f t="shared" si="21"/>
        <v>490</v>
      </c>
      <c r="B492" s="33">
        <f t="shared" si="23"/>
        <v>41</v>
      </c>
      <c r="C492" s="5">
        <f>Model_30y!V492</f>
        <v>14132.772619612953</v>
      </c>
      <c r="D492" s="5">
        <f>Model_15y!V492</f>
        <v>14132.772619612953</v>
      </c>
      <c r="E492" s="2">
        <f>Model_Renter!C492</f>
        <v>14132.772619612953</v>
      </c>
      <c r="F492" s="24">
        <f t="shared" si="22"/>
        <v>1</v>
      </c>
    </row>
    <row r="493" spans="1:6" x14ac:dyDescent="0.25">
      <c r="A493" s="31">
        <f t="shared" si="21"/>
        <v>491</v>
      </c>
      <c r="B493" s="33">
        <f t="shared" si="23"/>
        <v>41</v>
      </c>
      <c r="C493" s="5">
        <f>Model_30y!V493</f>
        <v>14169.454929911608</v>
      </c>
      <c r="D493" s="5">
        <f>Model_15y!V493</f>
        <v>14169.454929911608</v>
      </c>
      <c r="E493" s="2">
        <f>Model_Renter!C493</f>
        <v>14169.454929911608</v>
      </c>
      <c r="F493" s="24">
        <f t="shared" si="22"/>
        <v>1</v>
      </c>
    </row>
    <row r="494" spans="1:6" x14ac:dyDescent="0.25">
      <c r="A494" s="31">
        <f t="shared" si="21"/>
        <v>492</v>
      </c>
      <c r="B494" s="33">
        <f t="shared" si="23"/>
        <v>41</v>
      </c>
      <c r="C494" s="5">
        <f>Model_30y!V494</f>
        <v>14206.286688483091</v>
      </c>
      <c r="D494" s="5">
        <f>Model_15y!V494</f>
        <v>14206.286688483091</v>
      </c>
      <c r="E494" s="2">
        <f>Model_Renter!C494</f>
        <v>14206.286688483091</v>
      </c>
      <c r="F494" s="24">
        <f t="shared" si="22"/>
        <v>1</v>
      </c>
    </row>
    <row r="495" spans="1:6" x14ac:dyDescent="0.25">
      <c r="A495" s="31">
        <f t="shared" si="21"/>
        <v>493</v>
      </c>
      <c r="B495" s="33">
        <f t="shared" si="23"/>
        <v>42</v>
      </c>
      <c r="C495" s="5">
        <f>Model_30y!V495</f>
        <v>14357.638987483888</v>
      </c>
      <c r="D495" s="5">
        <f>Model_15y!V495</f>
        <v>14357.638987483888</v>
      </c>
      <c r="E495" s="2">
        <f>Model_Renter!C495</f>
        <v>14357.638987483888</v>
      </c>
      <c r="F495" s="24">
        <f t="shared" si="22"/>
        <v>1</v>
      </c>
    </row>
    <row r="496" spans="1:6" x14ac:dyDescent="0.25">
      <c r="A496" s="31">
        <f t="shared" si="21"/>
        <v>494</v>
      </c>
      <c r="B496" s="33">
        <f t="shared" si="23"/>
        <v>42</v>
      </c>
      <c r="C496" s="5">
        <f>Model_30y!V496</f>
        <v>14394.771471693928</v>
      </c>
      <c r="D496" s="5">
        <f>Model_15y!V496</f>
        <v>14394.771471693928</v>
      </c>
      <c r="E496" s="2">
        <f>Model_Renter!C496</f>
        <v>14394.771471693928</v>
      </c>
      <c r="F496" s="24">
        <f t="shared" si="22"/>
        <v>1</v>
      </c>
    </row>
    <row r="497" spans="1:6" x14ac:dyDescent="0.25">
      <c r="A497" s="31">
        <f t="shared" si="21"/>
        <v>495</v>
      </c>
      <c r="B497" s="33">
        <f t="shared" si="23"/>
        <v>42</v>
      </c>
      <c r="C497" s="5">
        <f>Model_30y!V497</f>
        <v>14432.055238241033</v>
      </c>
      <c r="D497" s="5">
        <f>Model_15y!V497</f>
        <v>14432.055238241033</v>
      </c>
      <c r="E497" s="2">
        <f>Model_Renter!C497</f>
        <v>14432.055238241033</v>
      </c>
      <c r="F497" s="24">
        <f t="shared" si="22"/>
        <v>1</v>
      </c>
    </row>
    <row r="498" spans="1:6" x14ac:dyDescent="0.25">
      <c r="A498" s="31">
        <f t="shared" si="21"/>
        <v>496</v>
      </c>
      <c r="B498" s="33">
        <f t="shared" si="23"/>
        <v>42</v>
      </c>
      <c r="C498" s="5">
        <f>Model_30y!V498</f>
        <v>14469.490903468171</v>
      </c>
      <c r="D498" s="5">
        <f>Model_15y!V498</f>
        <v>14469.490903468171</v>
      </c>
      <c r="E498" s="2">
        <f>Model_Renter!C498</f>
        <v>14469.490903468171</v>
      </c>
      <c r="F498" s="24">
        <f t="shared" si="22"/>
        <v>1</v>
      </c>
    </row>
    <row r="499" spans="1:6" x14ac:dyDescent="0.25">
      <c r="A499" s="31">
        <f t="shared" si="21"/>
        <v>497</v>
      </c>
      <c r="B499" s="33">
        <f t="shared" si="23"/>
        <v>42</v>
      </c>
      <c r="C499" s="5">
        <f>Model_30y!V499</f>
        <v>14507.079086229367</v>
      </c>
      <c r="D499" s="5">
        <f>Model_15y!V499</f>
        <v>14507.079086229367</v>
      </c>
      <c r="E499" s="2">
        <f>Model_Renter!C499</f>
        <v>14507.079086229367</v>
      </c>
      <c r="F499" s="24">
        <f t="shared" si="22"/>
        <v>1</v>
      </c>
    </row>
    <row r="500" spans="1:6" x14ac:dyDescent="0.25">
      <c r="A500" s="31">
        <f t="shared" si="21"/>
        <v>498</v>
      </c>
      <c r="B500" s="33">
        <f t="shared" si="23"/>
        <v>42</v>
      </c>
      <c r="C500" s="5">
        <f>Model_30y!V500</f>
        <v>14544.820407899939</v>
      </c>
      <c r="D500" s="5">
        <f>Model_15y!V500</f>
        <v>14544.820407899939</v>
      </c>
      <c r="E500" s="2">
        <f>Model_Renter!C500</f>
        <v>14544.820407899939</v>
      </c>
      <c r="F500" s="24">
        <f t="shared" si="22"/>
        <v>1</v>
      </c>
    </row>
    <row r="501" spans="1:6" x14ac:dyDescent="0.25">
      <c r="A501" s="31">
        <f t="shared" si="21"/>
        <v>499</v>
      </c>
      <c r="B501" s="33">
        <f t="shared" si="23"/>
        <v>42</v>
      </c>
      <c r="C501" s="5">
        <f>Model_30y!V501</f>
        <v>14582.715492386751</v>
      </c>
      <c r="D501" s="5">
        <f>Model_15y!V501</f>
        <v>14582.715492386751</v>
      </c>
      <c r="E501" s="2">
        <f>Model_Renter!C501</f>
        <v>14582.715492386751</v>
      </c>
      <c r="F501" s="24">
        <f t="shared" si="22"/>
        <v>1</v>
      </c>
    </row>
    <row r="502" spans="1:6" x14ac:dyDescent="0.25">
      <c r="A502" s="31">
        <f t="shared" si="21"/>
        <v>500</v>
      </c>
      <c r="B502" s="33">
        <f t="shared" si="23"/>
        <v>42</v>
      </c>
      <c r="C502" s="5">
        <f>Model_30y!V502</f>
        <v>14620.764966138557</v>
      </c>
      <c r="D502" s="5">
        <f>Model_15y!V502</f>
        <v>14620.764966138557</v>
      </c>
      <c r="E502" s="2">
        <f>Model_Renter!C502</f>
        <v>14620.764966138557</v>
      </c>
      <c r="F502" s="24">
        <f t="shared" si="22"/>
        <v>1</v>
      </c>
    </row>
    <row r="503" spans="1:6" x14ac:dyDescent="0.25">
      <c r="A503" s="31">
        <f t="shared" si="21"/>
        <v>501</v>
      </c>
      <c r="B503" s="33">
        <f t="shared" si="23"/>
        <v>42</v>
      </c>
      <c r="C503" s="5">
        <f>Model_30y!V503</f>
        <v>14658.969458156329</v>
      </c>
      <c r="D503" s="5">
        <f>Model_15y!V503</f>
        <v>14658.969458156329</v>
      </c>
      <c r="E503" s="2">
        <f>Model_Renter!C503</f>
        <v>14658.969458156329</v>
      </c>
      <c r="F503" s="24">
        <f t="shared" si="22"/>
        <v>1</v>
      </c>
    </row>
    <row r="504" spans="1:6" x14ac:dyDescent="0.25">
      <c r="A504" s="31">
        <f t="shared" si="21"/>
        <v>502</v>
      </c>
      <c r="B504" s="33">
        <f t="shared" si="23"/>
        <v>42</v>
      </c>
      <c r="C504" s="5">
        <f>Model_30y!V504</f>
        <v>14697.329600003673</v>
      </c>
      <c r="D504" s="5">
        <f>Model_15y!V504</f>
        <v>14697.329600003673</v>
      </c>
      <c r="E504" s="2">
        <f>Model_Renter!C504</f>
        <v>14697.329600003673</v>
      </c>
      <c r="F504" s="24">
        <f t="shared" si="22"/>
        <v>1</v>
      </c>
    </row>
    <row r="505" spans="1:6" x14ac:dyDescent="0.25">
      <c r="A505" s="31">
        <f t="shared" si="21"/>
        <v>503</v>
      </c>
      <c r="B505" s="33">
        <f t="shared" si="23"/>
        <v>42</v>
      </c>
      <c r="C505" s="5">
        <f>Model_30y!V505</f>
        <v>14735.846025817262</v>
      </c>
      <c r="D505" s="5">
        <f>Model_15y!V505</f>
        <v>14735.846025817262</v>
      </c>
      <c r="E505" s="2">
        <f>Model_Renter!C505</f>
        <v>14735.846025817262</v>
      </c>
      <c r="F505" s="24">
        <f t="shared" si="22"/>
        <v>1</v>
      </c>
    </row>
    <row r="506" spans="1:6" x14ac:dyDescent="0.25">
      <c r="A506" s="31">
        <f t="shared" si="21"/>
        <v>504</v>
      </c>
      <c r="B506" s="33">
        <f t="shared" si="23"/>
        <v>42</v>
      </c>
      <c r="C506" s="5">
        <f>Model_30y!V506</f>
        <v>14774.519372317316</v>
      </c>
      <c r="D506" s="5">
        <f>Model_15y!V506</f>
        <v>14774.519372317316</v>
      </c>
      <c r="E506" s="2">
        <f>Model_Renter!C506</f>
        <v>14774.519372317316</v>
      </c>
      <c r="F506" s="24">
        <f t="shared" si="22"/>
        <v>1</v>
      </c>
    </row>
    <row r="507" spans="1:6" x14ac:dyDescent="0.25">
      <c r="A507" s="31">
        <f t="shared" si="21"/>
        <v>505</v>
      </c>
      <c r="B507" s="33">
        <f t="shared" si="23"/>
        <v>43</v>
      </c>
      <c r="C507" s="5">
        <f>Model_30y!V507</f>
        <v>14933.439286268154</v>
      </c>
      <c r="D507" s="5">
        <f>Model_15y!V507</f>
        <v>14933.439286268154</v>
      </c>
      <c r="E507" s="2">
        <f>Model_Renter!C507</f>
        <v>14933.439286268154</v>
      </c>
      <c r="F507" s="24">
        <f t="shared" si="22"/>
        <v>1</v>
      </c>
    </row>
    <row r="508" spans="1:6" x14ac:dyDescent="0.25">
      <c r="A508" s="31">
        <f t="shared" si="21"/>
        <v>506</v>
      </c>
      <c r="B508" s="33">
        <f t="shared" si="23"/>
        <v>43</v>
      </c>
      <c r="C508" s="5">
        <f>Model_30y!V508</f>
        <v>14972.428394688695</v>
      </c>
      <c r="D508" s="5">
        <f>Model_15y!V508</f>
        <v>14972.428394688695</v>
      </c>
      <c r="E508" s="2">
        <f>Model_Renter!C508</f>
        <v>14972.428394688695</v>
      </c>
      <c r="F508" s="24">
        <f t="shared" si="22"/>
        <v>1</v>
      </c>
    </row>
    <row r="509" spans="1:6" x14ac:dyDescent="0.25">
      <c r="A509" s="31">
        <f t="shared" ref="A509:A542" si="24">A508+1</f>
        <v>507</v>
      </c>
      <c r="B509" s="33">
        <f t="shared" si="23"/>
        <v>43</v>
      </c>
      <c r="C509" s="5">
        <f>Model_30y!V509</f>
        <v>15011.576349563156</v>
      </c>
      <c r="D509" s="5">
        <f>Model_15y!V509</f>
        <v>15011.576349563156</v>
      </c>
      <c r="E509" s="2">
        <f>Model_Renter!C509</f>
        <v>15011.576349563156</v>
      </c>
      <c r="F509" s="24">
        <f t="shared" si="22"/>
        <v>1</v>
      </c>
    </row>
    <row r="510" spans="1:6" x14ac:dyDescent="0.25">
      <c r="A510" s="31">
        <f t="shared" si="24"/>
        <v>508</v>
      </c>
      <c r="B510" s="33">
        <f t="shared" si="23"/>
        <v>43</v>
      </c>
      <c r="C510" s="5">
        <f>Model_30y!V510</f>
        <v>15050.883798051653</v>
      </c>
      <c r="D510" s="5">
        <f>Model_15y!V510</f>
        <v>15050.883798051653</v>
      </c>
      <c r="E510" s="2">
        <f>Model_Renter!C510</f>
        <v>15050.883798051653</v>
      </c>
      <c r="F510" s="24">
        <f t="shared" si="22"/>
        <v>1</v>
      </c>
    </row>
    <row r="511" spans="1:6" x14ac:dyDescent="0.25">
      <c r="A511" s="31">
        <f t="shared" si="24"/>
        <v>509</v>
      </c>
      <c r="B511" s="33">
        <f t="shared" si="23"/>
        <v>43</v>
      </c>
      <c r="C511" s="5">
        <f>Model_30y!V511</f>
        <v>15090.351389950911</v>
      </c>
      <c r="D511" s="5">
        <f>Model_15y!V511</f>
        <v>15090.351389950911</v>
      </c>
      <c r="E511" s="2">
        <f>Model_Renter!C511</f>
        <v>15090.351389950911</v>
      </c>
      <c r="F511" s="24">
        <f t="shared" si="22"/>
        <v>1</v>
      </c>
    </row>
    <row r="512" spans="1:6" x14ac:dyDescent="0.25">
      <c r="A512" s="31">
        <f t="shared" si="24"/>
        <v>510</v>
      </c>
      <c r="B512" s="33">
        <f t="shared" si="23"/>
        <v>43</v>
      </c>
      <c r="C512" s="5">
        <f>Model_30y!V512</f>
        <v>15129.979777705006</v>
      </c>
      <c r="D512" s="5">
        <f>Model_15y!V512</f>
        <v>15129.979777705006</v>
      </c>
      <c r="E512" s="2">
        <f>Model_Renter!C512</f>
        <v>15129.979777705006</v>
      </c>
      <c r="F512" s="24">
        <f t="shared" si="22"/>
        <v>1</v>
      </c>
    </row>
    <row r="513" spans="1:6" x14ac:dyDescent="0.25">
      <c r="A513" s="31">
        <f t="shared" si="24"/>
        <v>511</v>
      </c>
      <c r="B513" s="33">
        <f t="shared" si="23"/>
        <v>43</v>
      </c>
      <c r="C513" s="5">
        <f>Model_30y!V513</f>
        <v>15169.769616416163</v>
      </c>
      <c r="D513" s="5">
        <f>Model_15y!V513</f>
        <v>15169.769616416163</v>
      </c>
      <c r="E513" s="2">
        <f>Model_Renter!C513</f>
        <v>15169.769616416163</v>
      </c>
      <c r="F513" s="24">
        <f t="shared" si="22"/>
        <v>1</v>
      </c>
    </row>
    <row r="514" spans="1:6" x14ac:dyDescent="0.25">
      <c r="A514" s="31">
        <f t="shared" si="24"/>
        <v>512</v>
      </c>
      <c r="B514" s="33">
        <f t="shared" si="23"/>
        <v>43</v>
      </c>
      <c r="C514" s="5">
        <f>Model_30y!V514</f>
        <v>15209.721563855555</v>
      </c>
      <c r="D514" s="5">
        <f>Model_15y!V514</f>
        <v>15209.721563855555</v>
      </c>
      <c r="E514" s="2">
        <f>Model_Renter!C514</f>
        <v>15209.721563855555</v>
      </c>
      <c r="F514" s="24">
        <f t="shared" si="22"/>
        <v>1</v>
      </c>
    </row>
    <row r="515" spans="1:6" x14ac:dyDescent="0.25">
      <c r="A515" s="31">
        <f t="shared" si="24"/>
        <v>513</v>
      </c>
      <c r="B515" s="33">
        <f t="shared" si="23"/>
        <v>43</v>
      </c>
      <c r="C515" s="5">
        <f>Model_30y!V515</f>
        <v>15249.836280474216</v>
      </c>
      <c r="D515" s="5">
        <f>Model_15y!V515</f>
        <v>15249.836280474216</v>
      </c>
      <c r="E515" s="2">
        <f>Model_Renter!C515</f>
        <v>15249.836280474216</v>
      </c>
      <c r="F515" s="24">
        <f t="shared" ref="F515:F542" si="25">IF(AND(C515-D515&lt;1, C515-E515&lt;1), 1, 0)</f>
        <v>1</v>
      </c>
    </row>
    <row r="516" spans="1:6" x14ac:dyDescent="0.25">
      <c r="A516" s="31">
        <f t="shared" si="24"/>
        <v>514</v>
      </c>
      <c r="B516" s="33">
        <f t="shared" ref="B516:B542" si="26">ROUNDUP(A516/12, 0)</f>
        <v>43</v>
      </c>
      <c r="C516" s="5">
        <f>Model_30y!V516</f>
        <v>15290.114429413929</v>
      </c>
      <c r="D516" s="5">
        <f>Model_15y!V516</f>
        <v>15290.114429413929</v>
      </c>
      <c r="E516" s="2">
        <f>Model_Renter!C516</f>
        <v>15290.114429413929</v>
      </c>
      <c r="F516" s="24">
        <f t="shared" si="25"/>
        <v>1</v>
      </c>
    </row>
    <row r="517" spans="1:6" x14ac:dyDescent="0.25">
      <c r="A517" s="31">
        <f t="shared" si="24"/>
        <v>515</v>
      </c>
      <c r="B517" s="33">
        <f t="shared" si="26"/>
        <v>43</v>
      </c>
      <c r="C517" s="5">
        <f>Model_30y!V517</f>
        <v>15330.556676518196</v>
      </c>
      <c r="D517" s="5">
        <f>Model_15y!V517</f>
        <v>15330.556676518196</v>
      </c>
      <c r="E517" s="2">
        <f>Model_Renter!C517</f>
        <v>15330.556676518196</v>
      </c>
      <c r="F517" s="24">
        <f t="shared" si="25"/>
        <v>1</v>
      </c>
    </row>
    <row r="518" spans="1:6" x14ac:dyDescent="0.25">
      <c r="A518" s="31">
        <f t="shared" si="24"/>
        <v>516</v>
      </c>
      <c r="B518" s="33">
        <f t="shared" si="26"/>
        <v>43</v>
      </c>
      <c r="C518" s="5">
        <f>Model_30y!V518</f>
        <v>15371.163690343257</v>
      </c>
      <c r="D518" s="5">
        <f>Model_15y!V518</f>
        <v>15371.163690343257</v>
      </c>
      <c r="E518" s="2">
        <f>Model_Renter!C518</f>
        <v>15371.163690343257</v>
      </c>
      <c r="F518" s="24">
        <f t="shared" si="25"/>
        <v>1</v>
      </c>
    </row>
    <row r="519" spans="1:6" x14ac:dyDescent="0.25">
      <c r="A519" s="31">
        <f t="shared" si="24"/>
        <v>517</v>
      </c>
      <c r="B519" s="33">
        <f t="shared" si="26"/>
        <v>44</v>
      </c>
      <c r="C519" s="5">
        <f>Model_30y!V519</f>
        <v>15538.029599991636</v>
      </c>
      <c r="D519" s="5">
        <f>Model_15y!V519</f>
        <v>15538.029599991636</v>
      </c>
      <c r="E519" s="2">
        <f>Model_Renter!C519</f>
        <v>15538.029599991636</v>
      </c>
      <c r="F519" s="24">
        <f t="shared" si="25"/>
        <v>1</v>
      </c>
    </row>
    <row r="520" spans="1:6" x14ac:dyDescent="0.25">
      <c r="A520" s="31">
        <f t="shared" si="24"/>
        <v>518</v>
      </c>
      <c r="B520" s="33">
        <f t="shared" si="26"/>
        <v>44</v>
      </c>
      <c r="C520" s="5">
        <f>Model_30y!V520</f>
        <v>15578.968163833204</v>
      </c>
      <c r="D520" s="5">
        <f>Model_15y!V520</f>
        <v>15578.968163833204</v>
      </c>
      <c r="E520" s="2">
        <f>Model_Renter!C520</f>
        <v>15578.968163833204</v>
      </c>
      <c r="F520" s="24">
        <f t="shared" si="25"/>
        <v>1</v>
      </c>
    </row>
    <row r="521" spans="1:6" x14ac:dyDescent="0.25">
      <c r="A521" s="31">
        <f t="shared" si="24"/>
        <v>519</v>
      </c>
      <c r="B521" s="33">
        <f t="shared" si="26"/>
        <v>44</v>
      </c>
      <c r="C521" s="5">
        <f>Model_30y!V521</f>
        <v>15620.073516451388</v>
      </c>
      <c r="D521" s="5">
        <f>Model_15y!V521</f>
        <v>15620.073516451388</v>
      </c>
      <c r="E521" s="2">
        <f>Model_Renter!C521</f>
        <v>15620.073516451388</v>
      </c>
      <c r="F521" s="24">
        <f t="shared" si="25"/>
        <v>1</v>
      </c>
    </row>
    <row r="522" spans="1:6" x14ac:dyDescent="0.25">
      <c r="A522" s="31">
        <f t="shared" si="24"/>
        <v>520</v>
      </c>
      <c r="B522" s="33">
        <f t="shared" si="26"/>
        <v>44</v>
      </c>
      <c r="C522" s="5">
        <f>Model_30y!V522</f>
        <v>15661.34633736431</v>
      </c>
      <c r="D522" s="5">
        <f>Model_15y!V522</f>
        <v>15661.34633736431</v>
      </c>
      <c r="E522" s="2">
        <f>Model_Renter!C522</f>
        <v>15661.34633736431</v>
      </c>
      <c r="F522" s="24">
        <f t="shared" si="25"/>
        <v>1</v>
      </c>
    </row>
    <row r="523" spans="1:6" x14ac:dyDescent="0.25">
      <c r="A523" s="31">
        <f t="shared" si="24"/>
        <v>521</v>
      </c>
      <c r="B523" s="33">
        <f t="shared" si="26"/>
        <v>44</v>
      </c>
      <c r="C523" s="5">
        <f>Model_30y!V523</f>
        <v>15702.787308858529</v>
      </c>
      <c r="D523" s="5">
        <f>Model_15y!V523</f>
        <v>15702.787308858529</v>
      </c>
      <c r="E523" s="2">
        <f>Model_Renter!C523</f>
        <v>15702.787308858529</v>
      </c>
      <c r="F523" s="24">
        <f t="shared" si="25"/>
        <v>1</v>
      </c>
    </row>
    <row r="524" spans="1:6" x14ac:dyDescent="0.25">
      <c r="A524" s="31">
        <f t="shared" si="24"/>
        <v>522</v>
      </c>
      <c r="B524" s="33">
        <f t="shared" si="26"/>
        <v>44</v>
      </c>
      <c r="C524" s="5">
        <f>Model_30y!V524</f>
        <v>15744.397116000331</v>
      </c>
      <c r="D524" s="5">
        <f>Model_15y!V524</f>
        <v>15744.397116000331</v>
      </c>
      <c r="E524" s="2">
        <f>Model_Renter!C524</f>
        <v>15744.397116000331</v>
      </c>
      <c r="F524" s="24">
        <f t="shared" si="25"/>
        <v>1</v>
      </c>
    </row>
    <row r="525" spans="1:6" x14ac:dyDescent="0.25">
      <c r="A525" s="31">
        <f t="shared" si="24"/>
        <v>523</v>
      </c>
      <c r="B525" s="33">
        <f t="shared" si="26"/>
        <v>44</v>
      </c>
      <c r="C525" s="5">
        <f>Model_30y!V525</f>
        <v>15786.176446647043</v>
      </c>
      <c r="D525" s="5">
        <f>Model_15y!V525</f>
        <v>15786.176446647043</v>
      </c>
      <c r="E525" s="2">
        <f>Model_Renter!C525</f>
        <v>15786.176446647043</v>
      </c>
      <c r="F525" s="24">
        <f t="shared" si="25"/>
        <v>1</v>
      </c>
    </row>
    <row r="526" spans="1:6" x14ac:dyDescent="0.25">
      <c r="A526" s="31">
        <f t="shared" si="24"/>
        <v>524</v>
      </c>
      <c r="B526" s="33">
        <f t="shared" si="26"/>
        <v>44</v>
      </c>
      <c r="C526" s="5">
        <f>Model_30y!V526</f>
        <v>15828.125991458408</v>
      </c>
      <c r="D526" s="5">
        <f>Model_15y!V526</f>
        <v>15828.125991458408</v>
      </c>
      <c r="E526" s="2">
        <f>Model_Renter!C526</f>
        <v>15828.125991458408</v>
      </c>
      <c r="F526" s="24">
        <f t="shared" si="25"/>
        <v>1</v>
      </c>
    </row>
    <row r="527" spans="1:6" x14ac:dyDescent="0.25">
      <c r="A527" s="31">
        <f t="shared" si="24"/>
        <v>525</v>
      </c>
      <c r="B527" s="33">
        <f t="shared" si="26"/>
        <v>44</v>
      </c>
      <c r="C527" s="5">
        <f>Model_30y!V527</f>
        <v>15870.246443908001</v>
      </c>
      <c r="D527" s="5">
        <f>Model_15y!V527</f>
        <v>15870.246443908001</v>
      </c>
      <c r="E527" s="2">
        <f>Model_Renter!C527</f>
        <v>15870.246443908001</v>
      </c>
      <c r="F527" s="24">
        <f t="shared" si="25"/>
        <v>1</v>
      </c>
    </row>
    <row r="528" spans="1:6" x14ac:dyDescent="0.25">
      <c r="A528" s="31">
        <f t="shared" si="24"/>
        <v>526</v>
      </c>
      <c r="B528" s="33">
        <f t="shared" si="26"/>
        <v>44</v>
      </c>
      <c r="C528" s="5">
        <f>Model_30y!V528</f>
        <v>15912.538500294699</v>
      </c>
      <c r="D528" s="5">
        <f>Model_15y!V528</f>
        <v>15912.538500294699</v>
      </c>
      <c r="E528" s="2">
        <f>Model_Renter!C528</f>
        <v>15912.538500294699</v>
      </c>
      <c r="F528" s="24">
        <f t="shared" si="25"/>
        <v>1</v>
      </c>
    </row>
    <row r="529" spans="1:6" x14ac:dyDescent="0.25">
      <c r="A529" s="31">
        <f t="shared" si="24"/>
        <v>527</v>
      </c>
      <c r="B529" s="33">
        <f t="shared" si="26"/>
        <v>44</v>
      </c>
      <c r="C529" s="5">
        <f>Model_30y!V529</f>
        <v>15955.00285975418</v>
      </c>
      <c r="D529" s="5">
        <f>Model_15y!V529</f>
        <v>15955.00285975418</v>
      </c>
      <c r="E529" s="2">
        <f>Model_Renter!C529</f>
        <v>15955.00285975418</v>
      </c>
      <c r="F529" s="24">
        <f t="shared" si="25"/>
        <v>1</v>
      </c>
    </row>
    <row r="530" spans="1:6" x14ac:dyDescent="0.25">
      <c r="A530" s="31">
        <f t="shared" si="24"/>
        <v>528</v>
      </c>
      <c r="B530" s="33">
        <f t="shared" si="26"/>
        <v>44</v>
      </c>
      <c r="C530" s="5">
        <f>Model_30y!V530</f>
        <v>15997.640224270493</v>
      </c>
      <c r="D530" s="5">
        <f>Model_15y!V530</f>
        <v>15997.640224270493</v>
      </c>
      <c r="E530" s="2">
        <f>Model_Renter!C530</f>
        <v>15997.640224270493</v>
      </c>
      <c r="F530" s="24">
        <f t="shared" si="25"/>
        <v>1</v>
      </c>
    </row>
    <row r="531" spans="1:6" x14ac:dyDescent="0.25">
      <c r="A531" s="31">
        <f t="shared" si="24"/>
        <v>529</v>
      </c>
      <c r="B531" s="33">
        <f t="shared" si="26"/>
        <v>45</v>
      </c>
      <c r="C531" s="5">
        <f>Model_30y!V531</f>
        <v>16172.849429401291</v>
      </c>
      <c r="D531" s="5">
        <f>Model_15y!V531</f>
        <v>16172.849429401291</v>
      </c>
      <c r="E531" s="2">
        <f>Model_Renter!C531</f>
        <v>16172.849429401291</v>
      </c>
      <c r="F531" s="24">
        <f t="shared" si="25"/>
        <v>1</v>
      </c>
    </row>
    <row r="532" spans="1:6" x14ac:dyDescent="0.25">
      <c r="A532" s="31">
        <f t="shared" si="24"/>
        <v>530</v>
      </c>
      <c r="B532" s="33">
        <f t="shared" si="26"/>
        <v>45</v>
      </c>
      <c r="C532" s="5">
        <f>Model_30y!V532</f>
        <v>16215.834921434936</v>
      </c>
      <c r="D532" s="5">
        <f>Model_15y!V532</f>
        <v>16215.834921434936</v>
      </c>
      <c r="E532" s="2">
        <f>Model_Renter!C532</f>
        <v>16215.834921434936</v>
      </c>
      <c r="F532" s="24">
        <f t="shared" si="25"/>
        <v>1</v>
      </c>
    </row>
    <row r="533" spans="1:6" x14ac:dyDescent="0.25">
      <c r="A533" s="31">
        <f t="shared" si="24"/>
        <v>531</v>
      </c>
      <c r="B533" s="33">
        <f t="shared" si="26"/>
        <v>45</v>
      </c>
      <c r="C533" s="5">
        <f>Model_30y!V533</f>
        <v>16258.995541684029</v>
      </c>
      <c r="D533" s="5">
        <f>Model_15y!V533</f>
        <v>16258.995541684029</v>
      </c>
      <c r="E533" s="2">
        <f>Model_Renter!C533</f>
        <v>16258.995541684029</v>
      </c>
      <c r="F533" s="24">
        <f t="shared" si="25"/>
        <v>1</v>
      </c>
    </row>
    <row r="534" spans="1:6" x14ac:dyDescent="0.25">
      <c r="A534" s="31">
        <f t="shared" si="24"/>
        <v>532</v>
      </c>
      <c r="B534" s="33">
        <f t="shared" si="26"/>
        <v>45</v>
      </c>
      <c r="C534" s="5">
        <f>Model_30y!V534</f>
        <v>16302.332003642596</v>
      </c>
      <c r="D534" s="5">
        <f>Model_15y!V534</f>
        <v>16302.332003642596</v>
      </c>
      <c r="E534" s="2">
        <f>Model_Renter!C534</f>
        <v>16302.332003642596</v>
      </c>
      <c r="F534" s="24">
        <f t="shared" si="25"/>
        <v>1</v>
      </c>
    </row>
    <row r="535" spans="1:6" x14ac:dyDescent="0.25">
      <c r="A535" s="31">
        <f t="shared" si="24"/>
        <v>533</v>
      </c>
      <c r="B535" s="33">
        <f t="shared" si="26"/>
        <v>45</v>
      </c>
      <c r="C535" s="5">
        <f>Model_30y!V535</f>
        <v>16345.845023711527</v>
      </c>
      <c r="D535" s="5">
        <f>Model_15y!V535</f>
        <v>16345.845023711527</v>
      </c>
      <c r="E535" s="2">
        <f>Model_Renter!C535</f>
        <v>16345.845023711527</v>
      </c>
      <c r="F535" s="24">
        <f t="shared" si="25"/>
        <v>1</v>
      </c>
    </row>
    <row r="536" spans="1:6" x14ac:dyDescent="0.25">
      <c r="A536" s="31">
        <f t="shared" si="24"/>
        <v>534</v>
      </c>
      <c r="B536" s="33">
        <f t="shared" si="26"/>
        <v>45</v>
      </c>
      <c r="C536" s="5">
        <f>Model_30y!V536</f>
        <v>16389.53532121042</v>
      </c>
      <c r="D536" s="5">
        <f>Model_15y!V536</f>
        <v>16389.53532121042</v>
      </c>
      <c r="E536" s="2">
        <f>Model_Renter!C536</f>
        <v>16389.53532121042</v>
      </c>
      <c r="F536" s="24">
        <f t="shared" si="25"/>
        <v>1</v>
      </c>
    </row>
    <row r="537" spans="1:6" x14ac:dyDescent="0.25">
      <c r="A537" s="31">
        <f t="shared" si="24"/>
        <v>535</v>
      </c>
      <c r="B537" s="33">
        <f t="shared" si="26"/>
        <v>45</v>
      </c>
      <c r="C537" s="5">
        <f>Model_30y!V537</f>
        <v>16433.403618389468</v>
      </c>
      <c r="D537" s="5">
        <f>Model_15y!V537</f>
        <v>16433.403618389468</v>
      </c>
      <c r="E537" s="2">
        <f>Model_Renter!C537</f>
        <v>16433.403618389468</v>
      </c>
      <c r="F537" s="24">
        <f t="shared" si="25"/>
        <v>1</v>
      </c>
    </row>
    <row r="538" spans="1:6" x14ac:dyDescent="0.25">
      <c r="A538" s="31">
        <f t="shared" si="24"/>
        <v>536</v>
      </c>
      <c r="B538" s="33">
        <f t="shared" si="26"/>
        <v>45</v>
      </c>
      <c r="C538" s="5">
        <f>Model_30y!V538</f>
        <v>16477.450640441399</v>
      </c>
      <c r="D538" s="5">
        <f>Model_15y!V538</f>
        <v>16477.450640441399</v>
      </c>
      <c r="E538" s="2">
        <f>Model_Renter!C538</f>
        <v>16477.450640441399</v>
      </c>
      <c r="F538" s="24">
        <f t="shared" si="25"/>
        <v>1</v>
      </c>
    </row>
    <row r="539" spans="1:6" x14ac:dyDescent="0.25">
      <c r="A539" s="31">
        <f t="shared" si="24"/>
        <v>537</v>
      </c>
      <c r="B539" s="33">
        <f t="shared" si="26"/>
        <v>45</v>
      </c>
      <c r="C539" s="5">
        <f>Model_30y!V539</f>
        <v>16521.677115513474</v>
      </c>
      <c r="D539" s="5">
        <f>Model_15y!V539</f>
        <v>16521.677115513474</v>
      </c>
      <c r="E539" s="2">
        <f>Model_Renter!C539</f>
        <v>16521.677115513474</v>
      </c>
      <c r="F539" s="24">
        <f t="shared" si="25"/>
        <v>1</v>
      </c>
    </row>
    <row r="540" spans="1:6" x14ac:dyDescent="0.25">
      <c r="A540" s="31">
        <f t="shared" si="24"/>
        <v>538</v>
      </c>
      <c r="B540" s="33">
        <f t="shared" si="26"/>
        <v>45</v>
      </c>
      <c r="C540" s="5">
        <f>Model_30y!V540</f>
        <v>16566.083774719504</v>
      </c>
      <c r="D540" s="5">
        <f>Model_15y!V540</f>
        <v>16566.083774719504</v>
      </c>
      <c r="E540" s="2">
        <f>Model_Renter!C540</f>
        <v>16566.083774719504</v>
      </c>
      <c r="F540" s="24">
        <f t="shared" si="25"/>
        <v>1</v>
      </c>
    </row>
    <row r="541" spans="1:6" x14ac:dyDescent="0.25">
      <c r="A541" s="31">
        <f t="shared" si="24"/>
        <v>539</v>
      </c>
      <c r="B541" s="33">
        <f t="shared" si="26"/>
        <v>45</v>
      </c>
      <c r="C541" s="5">
        <f>Model_30y!V541</f>
        <v>16610.67135215196</v>
      </c>
      <c r="D541" s="5">
        <f>Model_15y!V541</f>
        <v>16610.67135215196</v>
      </c>
      <c r="E541" s="2">
        <f>Model_Renter!C541</f>
        <v>16610.67135215196</v>
      </c>
      <c r="F541" s="24">
        <f t="shared" si="25"/>
        <v>1</v>
      </c>
    </row>
    <row r="542" spans="1:6" x14ac:dyDescent="0.25">
      <c r="A542" s="31">
        <f t="shared" si="24"/>
        <v>540</v>
      </c>
      <c r="B542" s="33">
        <f t="shared" si="26"/>
        <v>45</v>
      </c>
      <c r="C542" s="5">
        <f>Model_30y!V542</f>
        <v>16655.440584894088</v>
      </c>
      <c r="D542" s="5">
        <f>Model_15y!V542</f>
        <v>16655.440584894088</v>
      </c>
      <c r="E542" s="2">
        <f>Model_Renter!C542</f>
        <v>16655.440584894088</v>
      </c>
      <c r="F542" s="24">
        <f t="shared" si="25"/>
        <v>1</v>
      </c>
    </row>
  </sheetData>
  <sheetProtection algorithmName="SHA-512" hashValue="QS991WusDtkVRnwhaHViPSiP1S38TWNL3Utr/jWtD61SIKhQMGLAtdt/5+v0oeAw/HZoW9LJscpCiX3btzBU/w==" saltValue="MmNpFIX8TZUhSVREiTFD7A=="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Overview</vt:lpstr>
      <vt:lpstr>Assumptions</vt:lpstr>
      <vt:lpstr>Results</vt:lpstr>
      <vt:lpstr>Model_30y</vt:lpstr>
      <vt:lpstr>Model_15y</vt:lpstr>
      <vt:lpstr>Model_Renter</vt:lpstr>
      <vt:lpstr>Images</vt:lpstr>
      <vt:lpstr>Monthly_Investment_Check</vt:lpstr>
      <vt:lpstr>Net_Worth_Calculations</vt:lpstr>
      <vt:lpstr>IRR_Calculations</vt:lpstr>
      <vt:lpstr>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Nicholas Beaver</dc:creator>
  <cp:lastModifiedBy>Nicholas Beaver</cp:lastModifiedBy>
  <cp:lastPrinted>2025-12-21T23:24:04Z</cp:lastPrinted>
  <dcterms:created xsi:type="dcterms:W3CDTF">2015-06-05T18:17:20Z</dcterms:created>
  <dcterms:modified xsi:type="dcterms:W3CDTF">2025-12-22T13:22:29Z</dcterms:modified>
</cp:coreProperties>
</file>